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E632AEC6DA55CE8811E89D8218F57F32A1990894" xr6:coauthVersionLast="47" xr6:coauthVersionMax="47" xr10:uidLastSave="{C06F0650-AA09-457D-AE56-1C58DEB7AD6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31" i="3" s="1"/>
  <c r="R206" i="3"/>
  <c r="R205" i="3"/>
  <c r="R204" i="3"/>
  <c r="R203" i="3"/>
  <c r="R202" i="3"/>
  <c r="R201" i="3"/>
  <c r="R200" i="3"/>
  <c r="R199" i="3"/>
  <c r="R198" i="3"/>
  <c r="R197" i="3"/>
  <c r="R196" i="3"/>
  <c r="R195" i="3"/>
  <c r="R194" i="3"/>
  <c r="R193" i="3"/>
  <c r="R192" i="3"/>
  <c r="R191" i="3"/>
  <c r="R190" i="3"/>
  <c r="R189" i="3"/>
  <c r="R188" i="3"/>
  <c r="R187" i="3"/>
  <c r="O131" i="3"/>
  <c r="N131" i="3"/>
  <c r="M131" i="3"/>
  <c r="L131" i="3"/>
  <c r="K131" i="3"/>
  <c r="E131" i="3"/>
  <c r="O130" i="3"/>
  <c r="N130" i="3"/>
  <c r="M130" i="3"/>
  <c r="L130" i="3"/>
  <c r="K130" i="3"/>
  <c r="F130" i="3"/>
  <c r="E130" i="3"/>
  <c r="G130" i="3" s="1"/>
  <c r="O129" i="3"/>
  <c r="N129" i="3"/>
  <c r="M129" i="3"/>
  <c r="L129" i="3"/>
  <c r="K129" i="3"/>
  <c r="F129" i="3"/>
  <c r="E129" i="3"/>
  <c r="G129" i="3" s="1"/>
  <c r="O128" i="3"/>
  <c r="N128" i="3"/>
  <c r="M128" i="3"/>
  <c r="L128" i="3"/>
  <c r="K128" i="3"/>
  <c r="F128" i="3"/>
  <c r="E128" i="3"/>
  <c r="G128" i="3" s="1"/>
  <c r="O127" i="3"/>
  <c r="N127" i="3"/>
  <c r="M127" i="3"/>
  <c r="L127" i="3"/>
  <c r="K127" i="3"/>
  <c r="F127" i="3"/>
  <c r="E127" i="3"/>
  <c r="G127" i="3" s="1"/>
  <c r="O126" i="3"/>
  <c r="N126" i="3"/>
  <c r="M126" i="3"/>
  <c r="L126" i="3"/>
  <c r="K126" i="3"/>
  <c r="F126" i="3"/>
  <c r="E126" i="3"/>
  <c r="G126" i="3" s="1"/>
  <c r="E112" i="3"/>
  <c r="D112" i="3"/>
  <c r="C112" i="3"/>
  <c r="F112" i="3" s="1"/>
  <c r="E111" i="3"/>
  <c r="D111" i="3"/>
  <c r="C111" i="3"/>
  <c r="F111" i="3" s="1"/>
  <c r="E110" i="3"/>
  <c r="D110" i="3"/>
  <c r="C110" i="3"/>
  <c r="F110" i="3" s="1"/>
  <c r="E109" i="3"/>
  <c r="D109" i="3"/>
  <c r="C109" i="3"/>
  <c r="F109" i="3" s="1"/>
  <c r="F92" i="3"/>
  <c r="E100" i="3" s="1"/>
  <c r="E92" i="3"/>
  <c r="D92" i="3"/>
  <c r="C92" i="3"/>
  <c r="F91" i="3"/>
  <c r="C99" i="3" s="1"/>
  <c r="E91" i="3"/>
  <c r="D91" i="3"/>
  <c r="C91" i="3"/>
  <c r="E90" i="3"/>
  <c r="D90" i="3"/>
  <c r="C90" i="3"/>
  <c r="W142" i="3" s="1"/>
  <c r="F89" i="3"/>
  <c r="V173" i="3" s="1"/>
  <c r="E89" i="3"/>
  <c r="D89" i="3"/>
  <c r="C89" i="3"/>
  <c r="U142" i="3" s="1"/>
  <c r="E88" i="3"/>
  <c r="D88" i="3"/>
  <c r="F88" i="3" s="1"/>
  <c r="C88" i="3"/>
  <c r="S142" i="3" s="1"/>
  <c r="E73" i="3"/>
  <c r="D73" i="3"/>
  <c r="C73" i="3"/>
  <c r="F73" i="3" s="1"/>
  <c r="E72" i="3"/>
  <c r="D72" i="3"/>
  <c r="C72" i="3"/>
  <c r="F72" i="3" s="1"/>
  <c r="E71" i="3"/>
  <c r="D71" i="3"/>
  <c r="C71" i="3"/>
  <c r="F71" i="3" s="1"/>
  <c r="E53" i="3"/>
  <c r="D53" i="3"/>
  <c r="C53" i="3"/>
  <c r="F53" i="3" s="1"/>
  <c r="E52" i="3"/>
  <c r="F52" i="3" s="1"/>
  <c r="D52" i="3"/>
  <c r="C52" i="3"/>
  <c r="E51" i="3"/>
  <c r="D51" i="3"/>
  <c r="C51" i="3"/>
  <c r="F51" i="3" s="1"/>
  <c r="E50" i="3"/>
  <c r="D50" i="3"/>
  <c r="F50" i="3" s="1"/>
  <c r="C50" i="3"/>
  <c r="E49" i="3"/>
  <c r="D49" i="3"/>
  <c r="C49" i="3"/>
  <c r="F49" i="3" s="1"/>
  <c r="E48" i="3"/>
  <c r="D48" i="3"/>
  <c r="C48" i="3"/>
  <c r="F48" i="3" s="1"/>
  <c r="E32" i="3"/>
  <c r="D32" i="3"/>
  <c r="C32" i="3"/>
  <c r="F32" i="3" s="1"/>
  <c r="E31" i="3"/>
  <c r="D31" i="3"/>
  <c r="C31" i="3"/>
  <c r="F31" i="3" s="1"/>
  <c r="E30" i="3"/>
  <c r="D30" i="3"/>
  <c r="F30" i="3" s="1"/>
  <c r="C30" i="3"/>
  <c r="E29" i="3"/>
  <c r="D29" i="3"/>
  <c r="C29" i="3"/>
  <c r="F29" i="3" s="1"/>
  <c r="E16" i="3"/>
  <c r="D16" i="3"/>
  <c r="F16" i="3" s="1"/>
  <c r="C16" i="3"/>
  <c r="Q142" i="3" s="1"/>
  <c r="D9" i="3"/>
  <c r="C9" i="3"/>
  <c r="C8" i="3"/>
  <c r="D8" i="3" s="1"/>
  <c r="E62" i="3" l="1"/>
  <c r="D62" i="3"/>
  <c r="C62" i="3"/>
  <c r="D39" i="3"/>
  <c r="C39" i="3"/>
  <c r="E39" i="3"/>
  <c r="E57" i="3"/>
  <c r="D57" i="3"/>
  <c r="C57" i="3"/>
  <c r="E116" i="3"/>
  <c r="D116" i="3"/>
  <c r="C116" i="3"/>
  <c r="D59" i="3"/>
  <c r="E59" i="3"/>
  <c r="C59" i="3"/>
  <c r="E58" i="3"/>
  <c r="D58" i="3"/>
  <c r="C58" i="3"/>
  <c r="E36" i="3"/>
  <c r="D36" i="3"/>
  <c r="C36" i="3"/>
  <c r="T173" i="3"/>
  <c r="T168" i="3"/>
  <c r="T163" i="3"/>
  <c r="T158" i="3"/>
  <c r="T153" i="3"/>
  <c r="T148" i="3"/>
  <c r="T172" i="3"/>
  <c r="T167" i="3"/>
  <c r="T162" i="3"/>
  <c r="T157" i="3"/>
  <c r="T152" i="3"/>
  <c r="T147" i="3"/>
  <c r="T171" i="3"/>
  <c r="T166" i="3"/>
  <c r="T161" i="3"/>
  <c r="T156" i="3"/>
  <c r="T151" i="3"/>
  <c r="T146" i="3"/>
  <c r="E96" i="3"/>
  <c r="D96" i="3"/>
  <c r="T170" i="3"/>
  <c r="T165" i="3"/>
  <c r="T160" i="3"/>
  <c r="T155" i="3"/>
  <c r="T150" i="3"/>
  <c r="T145" i="3"/>
  <c r="C96" i="3"/>
  <c r="T174" i="3"/>
  <c r="T169" i="3"/>
  <c r="T164" i="3"/>
  <c r="T159" i="3"/>
  <c r="T154" i="3"/>
  <c r="T149" i="3"/>
  <c r="T144" i="3"/>
  <c r="D117" i="3"/>
  <c r="C117" i="3"/>
  <c r="E117" i="3"/>
  <c r="E60" i="3"/>
  <c r="D60" i="3"/>
  <c r="C60" i="3"/>
  <c r="E118" i="3"/>
  <c r="D118" i="3"/>
  <c r="C118" i="3"/>
  <c r="E79" i="3"/>
  <c r="D79" i="3"/>
  <c r="C79" i="3"/>
  <c r="C37" i="3"/>
  <c r="E37" i="3"/>
  <c r="D37" i="3"/>
  <c r="G131" i="3"/>
  <c r="E77" i="3"/>
  <c r="D77" i="3"/>
  <c r="C77" i="3"/>
  <c r="C78" i="3"/>
  <c r="E78" i="3"/>
  <c r="D78" i="3"/>
  <c r="R174" i="3"/>
  <c r="R169" i="3"/>
  <c r="R164" i="3"/>
  <c r="R159" i="3"/>
  <c r="R154" i="3"/>
  <c r="R149" i="3"/>
  <c r="R144" i="3"/>
  <c r="E20" i="3"/>
  <c r="D20" i="3"/>
  <c r="C20" i="3"/>
  <c r="R173" i="3"/>
  <c r="R168" i="3"/>
  <c r="R163" i="3"/>
  <c r="R158" i="3"/>
  <c r="R153" i="3"/>
  <c r="R148" i="3"/>
  <c r="R172" i="3"/>
  <c r="R167" i="3"/>
  <c r="R162" i="3"/>
  <c r="R157" i="3"/>
  <c r="R152" i="3"/>
  <c r="R147" i="3"/>
  <c r="R171" i="3"/>
  <c r="R166" i="3"/>
  <c r="R161" i="3"/>
  <c r="R156" i="3"/>
  <c r="R151" i="3"/>
  <c r="R146" i="3"/>
  <c r="R170" i="3"/>
  <c r="R165" i="3"/>
  <c r="R160" i="3"/>
  <c r="R155" i="3"/>
  <c r="R150" i="3"/>
  <c r="R145" i="3"/>
  <c r="E38" i="3"/>
  <c r="C38" i="3"/>
  <c r="D38" i="3"/>
  <c r="D61" i="3"/>
  <c r="C61" i="3"/>
  <c r="E61" i="3"/>
  <c r="E119" i="3"/>
  <c r="D119" i="3"/>
  <c r="C119" i="3"/>
  <c r="C7" i="3"/>
  <c r="D7" i="3" s="1"/>
  <c r="V144" i="3"/>
  <c r="V149" i="3"/>
  <c r="V154" i="3"/>
  <c r="V159" i="3"/>
  <c r="V164" i="3"/>
  <c r="V169" i="3"/>
  <c r="V174" i="3"/>
  <c r="V145" i="3"/>
  <c r="V150" i="3"/>
  <c r="V155" i="3"/>
  <c r="V160" i="3"/>
  <c r="V165" i="3"/>
  <c r="V170" i="3"/>
  <c r="C97" i="3"/>
  <c r="D97" i="3"/>
  <c r="E97" i="3"/>
  <c r="V146" i="3"/>
  <c r="V151" i="3"/>
  <c r="V156" i="3"/>
  <c r="V161" i="3"/>
  <c r="V166" i="3"/>
  <c r="V171" i="3"/>
  <c r="V147" i="3"/>
  <c r="V152" i="3"/>
  <c r="V157" i="3"/>
  <c r="V162" i="3"/>
  <c r="V167" i="3"/>
  <c r="V172" i="3"/>
  <c r="D99" i="3"/>
  <c r="F90" i="3"/>
  <c r="E99" i="3"/>
  <c r="C100" i="3"/>
  <c r="D100" i="3"/>
  <c r="V148" i="3"/>
  <c r="V153" i="3"/>
  <c r="V158" i="3"/>
  <c r="V163" i="3"/>
  <c r="V168" i="3"/>
  <c r="X173" i="3" l="1"/>
  <c r="X168" i="3"/>
  <c r="X163" i="3"/>
  <c r="X158" i="3"/>
  <c r="X153" i="3"/>
  <c r="X148" i="3"/>
  <c r="D98" i="3"/>
  <c r="X172" i="3"/>
  <c r="X167" i="3"/>
  <c r="X162" i="3"/>
  <c r="X157" i="3"/>
  <c r="X152" i="3"/>
  <c r="X147" i="3"/>
  <c r="E98" i="3"/>
  <c r="X171" i="3"/>
  <c r="X166" i="3"/>
  <c r="X161" i="3"/>
  <c r="X156" i="3"/>
  <c r="X151" i="3"/>
  <c r="X146" i="3"/>
  <c r="C98" i="3"/>
  <c r="X170" i="3"/>
  <c r="X165" i="3"/>
  <c r="X160" i="3"/>
  <c r="X155" i="3"/>
  <c r="X150" i="3"/>
  <c r="X145" i="3"/>
  <c r="X174" i="3"/>
  <c r="X169" i="3"/>
  <c r="X164" i="3"/>
  <c r="X159" i="3"/>
  <c r="X154" i="3"/>
  <c r="X149" i="3"/>
  <c r="X14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Juniper SRX Services Gateway must be configured to use Junos 12.1 X46 or later to meet the minimum required version for DoD.</t>
        </r>
      </text>
    </comment>
    <comment ref="J26" authorId="0" shapeId="0" xr:uid="{00000000-0006-0000-0400-000002000000}">
      <text>
        <r>
          <rPr>
            <sz val="11"/>
            <rFont val="Calibri"/>
          </rPr>
          <t>The Juniper SRX Services Gateway VPN IKE must use NIST FIPS-validated cryptography to implement encryption services for unclassified VPN traffic.</t>
        </r>
      </text>
    </comment>
    <comment ref="K26" authorId="0" shapeId="0" xr:uid="{00000000-0006-0000-0400-000004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L26" authorId="0" shapeId="0" xr:uid="{00000000-0006-0000-0400-000003000000}">
      <text>
        <r>
          <rPr>
            <sz val="11"/>
            <rFont val="Calibri"/>
          </rPr>
          <t>The Juniper SRX Services Gateway must use SSHv2 with privacy options to protect the confidentiality of maintenance and diagnostic communications for nonlocal maintenance sessions using SSH.</t>
        </r>
      </text>
    </comment>
    <comment ref="J32" authorId="0" shapeId="0" xr:uid="{00000000-0006-0000-0400-000005000000}">
      <text>
        <r>
          <rPr>
            <sz val="11"/>
            <rFont val="Calibri"/>
          </rPr>
          <t>The Juniper SRX Services Gateway Firewall must be configured to fail securely in the event of an operational failure of the firewall filtering or boundary protection function.</t>
        </r>
      </text>
    </comment>
    <comment ref="K32" authorId="0" shapeId="0" xr:uid="{00000000-0006-0000-0400-000006000000}">
      <text>
        <r>
          <rPr>
            <sz val="11"/>
            <rFont val="Calibri"/>
          </rPr>
          <t>The Juniper SRX Services Gateway must display the Standard Mandatory DoD Notice and Consent Banner before granting access.</t>
        </r>
      </text>
    </comment>
    <comment ref="J34" authorId="0" shapeId="0" xr:uid="{00000000-0006-0000-0400-000007000000}">
      <text>
        <r>
          <rPr>
            <sz val="11"/>
            <rFont val="Calibri"/>
          </rPr>
          <t>The Juniper SRX Services Gateway Firewall must terminate all communications sessions associated with user traffic after 15 minutes or less of inactivity.</t>
        </r>
      </text>
    </comment>
    <comment ref="K34" authorId="0" shapeId="0" xr:uid="{00000000-0006-0000-0400-00000D000000}">
      <text>
        <r>
          <rPr>
            <sz val="11"/>
            <rFont val="Calibri"/>
          </rPr>
          <t>The Juniper SRX Services Gateway VPN must limit the number of concurrent sessions for user accounts to one (1) and administrative accounts to three (3), or set to an organization-defined number.</t>
        </r>
      </text>
    </comment>
    <comment ref="L34" authorId="0" shapeId="0" xr:uid="{00000000-0006-0000-0400-00000E000000}">
      <text>
        <r>
          <rPr>
            <sz val="11"/>
            <rFont val="Calibri"/>
          </rPr>
          <t>The Juniper SRX Services Gateway VPN must terminate all network connections associated with a communications session at the end of the session.</t>
        </r>
      </text>
    </comment>
    <comment ref="M34" authorId="0" shapeId="0" xr:uid="{00000000-0006-0000-0400-000008000000}">
      <text>
        <r>
          <rPr>
            <sz val="11"/>
            <rFont val="Calibri"/>
          </rPr>
          <t>The Juniper SRX Services Gateway must limit the number of concurrent sessions to a maximum of 10 or less for remote access using SSH.</t>
        </r>
      </text>
    </comment>
    <comment ref="N34" authorId="0" shapeId="0" xr:uid="{00000000-0006-0000-0400-000009000000}">
      <text>
        <r>
          <rPr>
            <sz val="11"/>
            <rFont val="Calibri"/>
          </rPr>
          <t>The Juniper SRX Services Gateway must terminate a device management session after 10 minutes of inactivity, except to fulfill documented and validated mission requirements.</t>
        </r>
      </text>
    </comment>
    <comment ref="O34" authorId="0" shapeId="0" xr:uid="{00000000-0006-0000-0400-00000A000000}">
      <text>
        <r>
          <rPr>
            <sz val="11"/>
            <rFont val="Calibri"/>
          </rPr>
          <t>The Juniper SRX Services Gateway must terminate a device management session if the keep-alive count is exceeded.</t>
        </r>
      </text>
    </comment>
    <comment ref="P34" authorId="0" shapeId="0" xr:uid="{00000000-0006-0000-0400-00000B000000}">
      <text>
        <r>
          <rPr>
            <sz val="11"/>
            <rFont val="Calibri"/>
          </rPr>
          <t>The Juniper SRX Services Gateway must limit the number of sessions per minute to an organization-defined number for SSH to protect remote access management from unauthorized access.</t>
        </r>
      </text>
    </comment>
    <comment ref="Q34" authorId="0" shapeId="0" xr:uid="{00000000-0006-0000-0400-00000C000000}">
      <text>
        <r>
          <rPr>
            <sz val="11"/>
            <rFont val="Calibri"/>
          </rPr>
          <t>The Juniper SRX Services Gateway must automatically terminate a network administrator session after organization-defined conditions or trigger events requiring session disconnect.</t>
        </r>
      </text>
    </comment>
    <comment ref="J35" authorId="0" shapeId="0" xr:uid="{00000000-0006-0000-0400-00000F000000}">
      <text>
        <r>
          <rPr>
            <sz val="11"/>
            <rFont val="Calibri"/>
          </rPr>
          <t>The Juniper SRX Services Gateway Firewall must only allow inbound communications from organization-defined authorized sources routed to organization-defined authorized destinations.</t>
        </r>
      </text>
    </comment>
    <comment ref="K35" authorId="0" shapeId="0" xr:uid="{00000000-0006-0000-0400-000010000000}">
      <text>
        <r>
          <rPr>
            <sz val="11"/>
            <rFont val="Calibri"/>
          </rPr>
          <t>The Juniper SRX Services Gateway Firewall must deny network communications traffic by default and allow network communications traffic by exception (i.e., deny all, permit by exception).</t>
        </r>
      </text>
    </comment>
    <comment ref="L35" authorId="0" shapeId="0" xr:uid="{00000000-0006-0000-0400-000011000000}">
      <text>
        <r>
          <rPr>
            <sz val="11"/>
            <rFont val="Calibri"/>
          </rPr>
          <t>The Juniper SRX Services Gateway VPN must only allow incoming VPN communications from organization-defined authorized sources routed to organization-defined authorized destinations.</t>
        </r>
      </text>
    </comment>
    <comment ref="J38" authorId="0" shapeId="0" xr:uid="{00000000-0006-0000-0400-000012000000}">
      <text>
        <r>
          <rPr>
            <sz val="11"/>
            <rFont val="Calibri"/>
          </rPr>
          <t>The Juniper SRX Services Gateway must be configured with only one local user account to be used as the account of last resort.</t>
        </r>
      </text>
    </comment>
    <comment ref="K38" authorId="0" shapeId="0" xr:uid="{00000000-0006-0000-0400-000013000000}">
      <text>
        <r>
          <rPr>
            <sz val="11"/>
            <rFont val="Calibri"/>
          </rPr>
          <t>For local accounts using password authentication (i.e., the root account and the account of last resort), the Juniper SRX Services Gateway must enforce a minimum 15-character password length.</t>
        </r>
      </text>
    </comment>
    <comment ref="L38" authorId="0" shapeId="0" xr:uid="{00000000-0006-0000-0400-000014000000}">
      <text>
        <r>
          <rPr>
            <sz val="11"/>
            <rFont val="Calibri"/>
          </rPr>
          <t>For local accounts using password authentication (i.e., the root account and the account of last resort), the Juniper SRX Services Gateway must enforce password complexity by setting the password change type to character sets.</t>
        </r>
      </text>
    </comment>
    <comment ref="M38" authorId="0" shapeId="0" xr:uid="{00000000-0006-0000-0400-000015000000}">
      <text>
        <r>
          <rPr>
            <sz val="11"/>
            <rFont val="Calibri"/>
          </rPr>
          <t>For local accounts using password authentication (i.e., the root account and the account of last resort), the Juniper SRX Services Gateway must enforce password complexity by requiring at least one uppercase character be used.</t>
        </r>
      </text>
    </comment>
    <comment ref="N38" authorId="0" shapeId="0" xr:uid="{00000000-0006-0000-0400-000016000000}">
      <text>
        <r>
          <rPr>
            <sz val="11"/>
            <rFont val="Calibri"/>
          </rPr>
          <t>For local accounts using password authentication (i.e., the root account and the account of last resort), the Juniper SRX Services Gateway must enforce password complexity by requiring at least one lowercase character be used.</t>
        </r>
      </text>
    </comment>
    <comment ref="O38" authorId="0" shapeId="0" xr:uid="{00000000-0006-0000-0400-000017000000}">
      <text>
        <r>
          <rPr>
            <sz val="11"/>
            <rFont val="Calibri"/>
          </rPr>
          <t>For local accounts using password authentication (i.e., the root account and the account of last resort), the Juniper SRX Services Gateway must enforce password complexity by requiring at least one numeric character be used.</t>
        </r>
      </text>
    </comment>
    <comment ref="P38" authorId="0" shapeId="0" xr:uid="{00000000-0006-0000-0400-000018000000}">
      <text>
        <r>
          <rPr>
            <sz val="11"/>
            <rFont val="Calibri"/>
          </rPr>
          <t>For local accounts using password authentication (i.e., the root account and the account of last resort), the Juniper SRX Services Gateway must enforce password complexity by requiring at least one special character be used.</t>
        </r>
      </text>
    </comment>
    <comment ref="Q38" authorId="0" shapeId="0" xr:uid="{00000000-0006-0000-0400-000019000000}">
      <text>
        <r>
          <rPr>
            <sz val="11"/>
            <rFont val="Calibri"/>
          </rPr>
          <t>The Juniper SRX Services Gateway must use the SHA256 or later protocol for password authentication for local accounts using password authentication (i.e., the root account and the account of last resort).</t>
        </r>
      </text>
    </comment>
    <comment ref="J39" authorId="0" shapeId="0" xr:uid="{00000000-0006-0000-0400-00001A000000}">
      <text>
        <r>
          <rPr>
            <sz val="11"/>
            <rFont val="Calibri"/>
          </rPr>
          <t>The Juniper SRX Services Gateway Firewall must disable or remove unnecessary network services and functions that are not used as part of its role in the architecture.</t>
        </r>
      </text>
    </comment>
    <comment ref="K39" authorId="0" shapeId="0" xr:uid="{00000000-0006-0000-0400-00001D000000}">
      <text>
        <r>
          <rPr>
            <sz val="11"/>
            <rFont val="Calibri"/>
          </rPr>
          <t>The Juniper SRX Services Gateway Firewall must not be configured as an NTP server since providing this network service is unrelated to the role as a firewall.</t>
        </r>
      </text>
    </comment>
    <comment ref="L39" authorId="0" shapeId="0" xr:uid="{00000000-0006-0000-0400-00001E000000}">
      <text>
        <r>
          <rPr>
            <sz val="11"/>
            <rFont val="Calibri"/>
          </rPr>
          <t>The Juniper SRX Services Gateway Firewall must not be configured as a DNS proxy since providing this network service is unrelated to the role as a Firewall.</t>
        </r>
      </text>
    </comment>
    <comment ref="M39" authorId="0" shapeId="0" xr:uid="{00000000-0006-0000-0400-00001F000000}">
      <text>
        <r>
          <rPr>
            <sz val="11"/>
            <rFont val="Calibri"/>
          </rPr>
          <t>The Juniper SRX Services Gateway Firewall must not be configured as a DHCP server since providing this network service is unrelated to the role as a Firewall.</t>
        </r>
      </text>
    </comment>
    <comment ref="N39" authorId="0" shapeId="0" xr:uid="{00000000-0006-0000-0400-000020000000}">
      <text>
        <r>
          <rPr>
            <sz val="11"/>
            <rFont val="Calibri"/>
          </rPr>
          <t>The Juniper SRX Services Gateway must disable or remove unnecessary network services and functions that are not used as part of its role in the architecture.</t>
        </r>
      </text>
    </comment>
    <comment ref="O39" authorId="0" shapeId="0" xr:uid="{00000000-0006-0000-0400-000021000000}">
      <text>
        <r>
          <rPr>
            <sz val="11"/>
            <rFont val="Calibri"/>
          </rPr>
          <t>The Juniper SRX Services Gateway must be configured to prohibit the use of unnecessary and/or nonsecure functions, ports, protocols, and/or services, as defined in the PPSM CAL and vulnerability assessments.</t>
        </r>
      </text>
    </comment>
    <comment ref="P39" authorId="0" shapeId="0" xr:uid="{00000000-0006-0000-0400-000022000000}">
      <text>
        <r>
          <rPr>
            <sz val="11"/>
            <rFont val="Calibri"/>
          </rPr>
          <t>For nonlocal maintenance sessions, the Juniper SRX Services Gateway must remove or explicitly deny the use of nonsecure protocols.</t>
        </r>
      </text>
    </comment>
    <comment ref="Q39" authorId="0" shapeId="0" xr:uid="{00000000-0006-0000-0400-000023000000}">
      <text>
        <r>
          <rPr>
            <sz val="11"/>
            <rFont val="Calibri"/>
          </rPr>
          <t>The Juniper SRX Services Gateway must ensure access to start a UNIX-level shell is restricted to only the root account.</t>
        </r>
      </text>
    </comment>
    <comment ref="R39" authorId="0" shapeId="0" xr:uid="{00000000-0006-0000-0400-00001B000000}">
      <text>
        <r>
          <rPr>
            <sz val="11"/>
            <rFont val="Calibri"/>
          </rPr>
          <t>For nonlocal maintenance sessions, the Juniper SRX Services Gateway must ensure only zones where management functionality is desired have host-inbound-traffic system-services configured.</t>
        </r>
      </text>
    </comment>
    <comment ref="S39" authorId="0" shapeId="0" xr:uid="{00000000-0006-0000-0400-00001C000000}">
      <text>
        <r>
          <rPr>
            <sz val="11"/>
            <rFont val="Calibri"/>
          </rPr>
          <t>For nonlocal maintenance sessions, the Juniper SRX Services Gateway must explicitly deny the use of J-Web.</t>
        </r>
      </text>
    </comment>
    <comment ref="J41" authorId="0" shapeId="0" xr:uid="{00000000-0006-0000-0400-000024000000}">
      <text>
        <r>
          <rPr>
            <sz val="11"/>
            <rFont val="Calibri"/>
          </rPr>
          <t>For local accounts created on the device, the Juniper SRX Services Gateway must enforce the limit of three consecutive invalid logon attempts by a user during a 15-minute time period.</t>
        </r>
      </text>
    </comment>
    <comment ref="J45" authorId="0" shapeId="0" xr:uid="{00000000-0006-0000-0400-000025000000}">
      <text>
        <r>
          <rPr>
            <sz val="11"/>
            <rFont val="Calibri"/>
          </rPr>
          <t>The Juniper SRX Services Gateway must automatically generate a log event when accounts are enabled.</t>
        </r>
      </text>
    </comment>
    <comment ref="J48" authorId="0" shapeId="0" xr:uid="{00000000-0006-0000-0400-000026000000}">
      <text>
        <r>
          <rPr>
            <sz val="11"/>
            <rFont val="Calibri"/>
          </rPr>
          <t>For nonlocal maintenance sessions, the Juniper SRX Services Gateway must remove or explicitly deny the use of nonsecure protocols.</t>
        </r>
      </text>
    </comment>
    <comment ref="K48" authorId="0" shapeId="0" xr:uid="{00000000-0006-0000-0400-000029000000}">
      <text>
        <r>
          <rPr>
            <sz val="11"/>
            <rFont val="Calibri"/>
          </rPr>
          <t>The Juniper SRX Services Gateway must ensure access to start a UNIX-level shell is restricted to only the root account.</t>
        </r>
      </text>
    </comment>
    <comment ref="L48" authorId="0" shapeId="0" xr:uid="{00000000-0006-0000-0400-00002A000000}">
      <text>
        <r>
          <rPr>
            <sz val="11"/>
            <rFont val="Calibri"/>
          </rPr>
          <t>The Juniper SRX Services Gateway must be configured with only one local user account to be used as the account of last resort.</t>
        </r>
      </text>
    </comment>
    <comment ref="M48" authorId="0" shapeId="0" xr:uid="{00000000-0006-0000-0400-00002B000000}">
      <text>
        <r>
          <rPr>
            <sz val="11"/>
            <rFont val="Calibri"/>
          </rPr>
          <t>For local accounts using password authentication (i.e., the root account and the account of last resort), the Juniper SRX Services Gateway must enforce a minimum 15-character password length.</t>
        </r>
      </text>
    </comment>
    <comment ref="N48" authorId="0" shapeId="0" xr:uid="{00000000-0006-0000-0400-00002C000000}">
      <text>
        <r>
          <rPr>
            <sz val="11"/>
            <rFont val="Calibri"/>
          </rPr>
          <t>For local accounts using password authentication (i.e., the root account and the account of last resort), the Juniper SRX Services Gateway must enforce password complexity by setting the password change type to character sets.</t>
        </r>
      </text>
    </comment>
    <comment ref="O48" authorId="0" shapeId="0" xr:uid="{00000000-0006-0000-0400-00002D000000}">
      <text>
        <r>
          <rPr>
            <sz val="11"/>
            <rFont val="Calibri"/>
          </rPr>
          <t>For local accounts using password authentication (i.e., the root account and the account of last resort), the Juniper SRX Services Gateway must enforce password complexity by requiring at least one uppercase character be used.</t>
        </r>
      </text>
    </comment>
    <comment ref="P48" authorId="0" shapeId="0" xr:uid="{00000000-0006-0000-0400-00002E000000}">
      <text>
        <r>
          <rPr>
            <sz val="11"/>
            <rFont val="Calibri"/>
          </rPr>
          <t>For local accounts using password authentication (i.e., the root account and the account of last resort), the Juniper SRX Services Gateway must enforce password complexity by requiring at least one lowercase character be used.</t>
        </r>
      </text>
    </comment>
    <comment ref="Q48" authorId="0" shapeId="0" xr:uid="{00000000-0006-0000-0400-00002F000000}">
      <text>
        <r>
          <rPr>
            <sz val="11"/>
            <rFont val="Calibri"/>
          </rPr>
          <t>For local accounts using password authentication (i.e., the root account and the account of last resort), the Juniper SRX Services Gateway must enforce password complexity by requiring at least one numeric character be used.</t>
        </r>
      </text>
    </comment>
    <comment ref="R48" authorId="0" shapeId="0" xr:uid="{00000000-0006-0000-0400-000030000000}">
      <text>
        <r>
          <rPr>
            <sz val="11"/>
            <rFont val="Calibri"/>
          </rPr>
          <t>For local accounts using password authentication (i.e., the root account and the account of last resort), the Juniper SRX Services Gateway must enforce password complexity by requiring at least one special character be used.</t>
        </r>
      </text>
    </comment>
    <comment ref="S48" authorId="0" shapeId="0" xr:uid="{00000000-0006-0000-0400-000031000000}">
      <text>
        <r>
          <rPr>
            <sz val="11"/>
            <rFont val="Calibri"/>
          </rPr>
          <t>The Juniper SRX Services Gateway must use the SHA256 or later protocol for password authentication for local accounts using password authentication (i.e., the root account and the account of last resort).</t>
        </r>
      </text>
    </comment>
    <comment ref="T48" authorId="0" shapeId="0" xr:uid="{00000000-0006-0000-0400-000027000000}">
      <text>
        <r>
          <rPr>
            <sz val="11"/>
            <rFont val="Calibri"/>
          </rPr>
          <t>For nonlocal maintenance sessions, the Juniper SRX Services Gateway must ensure only zones where management functionality is desired have host-inbound-traffic system-services configured.</t>
        </r>
      </text>
    </comment>
    <comment ref="U48" authorId="0" shapeId="0" xr:uid="{00000000-0006-0000-0400-000028000000}">
      <text>
        <r>
          <rPr>
            <sz val="11"/>
            <rFont val="Calibri"/>
          </rPr>
          <t>For nonlocal maintenance sessions, the Juniper SRX Services Gateway must explicitly deny the use of J-Web.</t>
        </r>
      </text>
    </comment>
    <comment ref="J52" authorId="0" shapeId="0" xr:uid="{00000000-0006-0000-0400-000032000000}">
      <text>
        <r>
          <rPr>
            <sz val="11"/>
            <rFont val="Calibri"/>
          </rPr>
          <t>For local accounts created on the device, the Juniper SRX Services Gateway must automatically generate log records for account creation events.</t>
        </r>
      </text>
    </comment>
    <comment ref="K52" authorId="0" shapeId="0" xr:uid="{00000000-0006-0000-0400-000033000000}">
      <text>
        <r>
          <rPr>
            <sz val="11"/>
            <rFont val="Calibri"/>
          </rPr>
          <t>For local accounts created on the device, the Juniper SRX Services Gateway must automatically generate log records for account modification events.</t>
        </r>
      </text>
    </comment>
    <comment ref="L52" authorId="0" shapeId="0" xr:uid="{00000000-0006-0000-0400-000034000000}">
      <text>
        <r>
          <rPr>
            <sz val="11"/>
            <rFont val="Calibri"/>
          </rPr>
          <t>For local accounts created on the device, the Juniper SRX Services Gateway must automatically generate log records for account disabling events.</t>
        </r>
      </text>
    </comment>
    <comment ref="M52" authorId="0" shapeId="0" xr:uid="{00000000-0006-0000-0400-000035000000}">
      <text>
        <r>
          <rPr>
            <sz val="11"/>
            <rFont val="Calibri"/>
          </rPr>
          <t>For local accounts created on the device, the Juniper SRX Services Gateway must automatically generate log records for account removal events.</t>
        </r>
      </text>
    </comment>
    <comment ref="N52" authorId="0" shapeId="0" xr:uid="{00000000-0006-0000-0400-000036000000}">
      <text>
        <r>
          <rPr>
            <sz val="11"/>
            <rFont val="Calibri"/>
          </rPr>
          <t>The Juniper SRX Services Gateway must automatically generate a log event when accounts are enabled.</t>
        </r>
      </text>
    </comment>
    <comment ref="J53" authorId="0" shapeId="0" xr:uid="{00000000-0006-0000-0400-000037000000}">
      <text>
        <r>
          <rPr>
            <sz val="11"/>
            <rFont val="Calibri"/>
          </rPr>
          <t>For local accounts created on the device, the Juniper SRX Services Gateway must automatically generate log records for account creation events.</t>
        </r>
      </text>
    </comment>
    <comment ref="K53" authorId="0" shapeId="0" xr:uid="{00000000-0006-0000-0400-000038000000}">
      <text>
        <r>
          <rPr>
            <sz val="11"/>
            <rFont val="Calibri"/>
          </rPr>
          <t>For local accounts created on the device, the Juniper SRX Services Gateway must automatically generate log records for account modification events.</t>
        </r>
      </text>
    </comment>
    <comment ref="L53" authorId="0" shapeId="0" xr:uid="{00000000-0006-0000-0400-000039000000}">
      <text>
        <r>
          <rPr>
            <sz val="11"/>
            <rFont val="Calibri"/>
          </rPr>
          <t>For local accounts created on the device, the Juniper SRX Services Gateway must automatically generate log records for account disabling events.</t>
        </r>
      </text>
    </comment>
    <comment ref="M53" authorId="0" shapeId="0" xr:uid="{00000000-0006-0000-0400-00003A000000}">
      <text>
        <r>
          <rPr>
            <sz val="11"/>
            <rFont val="Calibri"/>
          </rPr>
          <t>For local accounts created on the device, the Juniper SRX Services Gateway must automatically generate log records for account removal events.</t>
        </r>
      </text>
    </comment>
    <comment ref="N53" authorId="0" shapeId="0" xr:uid="{00000000-0006-0000-0400-00003B000000}">
      <text>
        <r>
          <rPr>
            <sz val="11"/>
            <rFont val="Calibri"/>
          </rPr>
          <t>The Juniper SRX Services Gateway must automatically generate a log event when accounts are enabled.</t>
        </r>
      </text>
    </comment>
    <comment ref="J54" authorId="0" shapeId="0" xr:uid="{00000000-0006-0000-0400-00003C000000}">
      <text>
        <r>
          <rPr>
            <sz val="11"/>
            <rFont val="Calibri"/>
          </rPr>
          <t>The Juniper SRX Services Gateway VPN must not accept certificates that have been revoked when using PKI for authentication.</t>
        </r>
      </text>
    </comment>
    <comment ref="K54" authorId="0" shapeId="0" xr:uid="{00000000-0006-0000-0400-00003D000000}">
      <text>
        <r>
          <rPr>
            <sz val="11"/>
            <rFont val="Calibri"/>
          </rPr>
          <t>The Juniper SRX Services Gateway VPN must use multifactor authentication (e.g., DoD PKI) for network access to non-privileged accounts.</t>
        </r>
      </text>
    </comment>
    <comment ref="L54" authorId="0" shapeId="0" xr:uid="{00000000-0006-0000-0400-00003E000000}">
      <text>
        <r>
          <rPr>
            <sz val="11"/>
            <rFont val="Calibri"/>
          </rPr>
          <t>The Juniper SRX Services Gateway VPN must only allow the use of DoD PKI established certificate authorities for verification of the establishment of protected sessions.</t>
        </r>
      </text>
    </comment>
    <comment ref="M54" authorId="0" shapeId="0" xr:uid="{00000000-0006-0000-0400-00003F000000}">
      <text>
        <r>
          <rPr>
            <sz val="11"/>
            <rFont val="Calibri"/>
          </rPr>
          <t>The Juniper SRX Services Gateway must use DOD-approved PKI rather than proprietary or self-signed device certificates.</t>
        </r>
      </text>
    </comment>
    <comment ref="N54" authorId="0" shapeId="0" xr:uid="{00000000-0006-0000-0400-000040000000}">
      <text>
        <r>
          <rPr>
            <sz val="11"/>
            <rFont val="Calibri"/>
          </rPr>
          <t>The Juniper SRX Services Gateway must implement replay-resistant authentication mechanisms for network access to privileged accounts.</t>
        </r>
      </text>
    </comment>
    <comment ref="J55" authorId="0" shapeId="0" xr:uid="{00000000-0006-0000-0400-000041000000}">
      <text>
        <r>
          <rPr>
            <sz val="11"/>
            <rFont val="Calibri"/>
          </rPr>
          <t>The Juniper SRX Services Gateway VPN must not accept certificates that have been revoked when using PKI for authentication.</t>
        </r>
      </text>
    </comment>
    <comment ref="K55" authorId="0" shapeId="0" xr:uid="{00000000-0006-0000-0400-000042000000}">
      <text>
        <r>
          <rPr>
            <sz val="11"/>
            <rFont val="Calibri"/>
          </rPr>
          <t>The Juniper SRX Services Gateway VPN must use multifactor authentication (e.g., DoD PKI) for network access to non-privileged accounts.</t>
        </r>
      </text>
    </comment>
    <comment ref="L55" authorId="0" shapeId="0" xr:uid="{00000000-0006-0000-0400-000043000000}">
      <text>
        <r>
          <rPr>
            <sz val="11"/>
            <rFont val="Calibri"/>
          </rPr>
          <t>The Juniper SRX Services Gateway VPN must only allow the use of DoD PKI established certificate authorities for verification of the establishment of protected sessions.</t>
        </r>
      </text>
    </comment>
    <comment ref="J56" authorId="0" shapeId="0" xr:uid="{00000000-0006-0000-0400-000044000000}">
      <text>
        <r>
          <rPr>
            <sz val="11"/>
            <rFont val="Calibri"/>
          </rPr>
          <t>The Juniper SRX Services Gateway must use DOD-approved PKI rather than proprietary or self-signed device certificates.</t>
        </r>
      </text>
    </comment>
    <comment ref="K56" authorId="0" shapeId="0" xr:uid="{00000000-0006-0000-0400-000045000000}">
      <text>
        <r>
          <rPr>
            <sz val="11"/>
            <rFont val="Calibri"/>
          </rPr>
          <t>The Juniper SRX Services Gateway must implement replay-resistant authentication mechanisms for network access to privileged accounts.</t>
        </r>
      </text>
    </comment>
    <comment ref="J59" authorId="0" shapeId="0" xr:uid="{00000000-0006-0000-0400-000046000000}">
      <text>
        <r>
          <rPr>
            <sz val="11"/>
            <rFont val="Calibri"/>
          </rPr>
          <t>For User Role Firewalls, the Juniper SRX Services Gateway Firewall must employ user attribute-based security policies to enforce approved authorizations for logical access to information and system resources.</t>
        </r>
      </text>
    </comment>
    <comment ref="K59" authorId="0" shapeId="0" xr:uid="{00000000-0006-0000-0400-000047000000}">
      <text>
        <r>
          <rPr>
            <sz val="11"/>
            <rFont val="Calibri"/>
          </rPr>
          <t>The Juniper SRX Services Gateway must enforce the assigned privilege level for each administrator and authorizations for access to all commands by assigning a login class to all AAA-authenticated users.</t>
        </r>
      </text>
    </comment>
    <comment ref="L59" authorId="0" shapeId="0" xr:uid="{00000000-0006-0000-0400-000048000000}">
      <text>
        <r>
          <rPr>
            <sz val="11"/>
            <rFont val="Calibri"/>
          </rPr>
          <t>The Juniper SRX Services Gateway must implement logon roles to ensure only authorized roles are allowed to install software and updates.</t>
        </r>
      </text>
    </comment>
    <comment ref="J63" authorId="0" shapeId="0" xr:uid="{00000000-0006-0000-0400-000049000000}">
      <text>
        <r>
          <rPr>
            <sz val="11"/>
            <rFont val="Calibri"/>
          </rPr>
          <t>The Juniper SRX Services Gateway must be configured to use Junos 12.1 X46 or later to meet the minimum required version for DoD.</t>
        </r>
      </text>
    </comment>
    <comment ref="J70" authorId="0" shapeId="0" xr:uid="{00000000-0006-0000-0400-00004A000000}">
      <text>
        <r>
          <rPr>
            <sz val="11"/>
            <rFont val="Calibri"/>
          </rPr>
          <t>The Juniper SRX Services Gateway must generate log records when firewall filters, security screens and security policies are invoked and the traffic is denied or restricted.</t>
        </r>
      </text>
    </comment>
    <comment ref="K70" authorId="0" shapeId="0" xr:uid="{00000000-0006-0000-0400-000054000000}">
      <text>
        <r>
          <rPr>
            <sz val="11"/>
            <rFont val="Calibri"/>
          </rPr>
          <t>The Juniper SRX Services Gateway Firewall must generate audit records when unsuccessful attempts to access security zones occur.</t>
        </r>
      </text>
    </comment>
    <comment ref="L70" authorId="0" shapeId="0" xr:uid="{00000000-0006-0000-0400-000055000000}">
      <text>
        <r>
          <rPr>
            <sz val="11"/>
            <rFont val="Calibri"/>
          </rPr>
          <t>The Juniper SRX Services Gateway Firewall must be configured to support centralized management and configuration of the audit log.</t>
        </r>
      </text>
    </comment>
    <comment ref="M70" authorId="0" shapeId="0" xr:uid="{00000000-0006-0000-0400-000056000000}">
      <text>
        <r>
          <rPr>
            <sz val="11"/>
            <rFont val="Calibri"/>
          </rPr>
          <t>In the event that communications with the Syslog server is lost, the Juniper SRX Services Gateway must continue to queue traffic log records locally.</t>
        </r>
      </text>
    </comment>
    <comment ref="N70" authorId="0" shapeId="0" xr:uid="{00000000-0006-0000-0400-000057000000}">
      <text>
        <r>
          <rPr>
            <sz val="11"/>
            <rFont val="Calibri"/>
          </rPr>
          <t>The Juniper Networks SRX Series Gateway IDPS must provide audit record generation capability for detecting events based on implementation of policy filters, rules, and signatures.</t>
        </r>
      </text>
    </comment>
    <comment ref="O70" authorId="0" shapeId="0" xr:uid="{00000000-0006-0000-0400-000058000000}">
      <text>
        <r>
          <rPr>
            <sz val="11"/>
            <rFont val="Calibri"/>
          </rPr>
          <t>The Juniper Networks SRX Series Gateway IDPS must provide audit record generation with a configurable severity and escalation level capability.</t>
        </r>
      </text>
    </comment>
    <comment ref="P70" authorId="0" shapeId="0" xr:uid="{00000000-0006-0000-0400-000059000000}">
      <text>
        <r>
          <rPr>
            <sz val="11"/>
            <rFont val="Calibri"/>
          </rPr>
          <t>For local accounts created on the device, the Juniper SRX Services Gateway must automatically generate log records for account creation events.</t>
        </r>
      </text>
    </comment>
    <comment ref="Q70" authorId="0" shapeId="0" xr:uid="{00000000-0006-0000-0400-00005A000000}">
      <text>
        <r>
          <rPr>
            <sz val="11"/>
            <rFont val="Calibri"/>
          </rPr>
          <t>For local accounts created on the device, the Juniper SRX Services Gateway must automatically generate log records for account modification events.</t>
        </r>
      </text>
    </comment>
    <comment ref="R70" authorId="0" shapeId="0" xr:uid="{00000000-0006-0000-0400-00005B000000}">
      <text>
        <r>
          <rPr>
            <sz val="11"/>
            <rFont val="Calibri"/>
          </rPr>
          <t>For local accounts created on the device, the Juniper SRX Services Gateway must automatically generate log records for account disabling events.</t>
        </r>
      </text>
    </comment>
    <comment ref="S70" authorId="0" shapeId="0" xr:uid="{00000000-0006-0000-0400-00005C000000}">
      <text>
        <r>
          <rPr>
            <sz val="11"/>
            <rFont val="Calibri"/>
          </rPr>
          <t>For local accounts created on the device, the Juniper SRX Services Gateway must automatically generate log records for account removal events.</t>
        </r>
      </text>
    </comment>
    <comment ref="T70" authorId="0" shapeId="0" xr:uid="{00000000-0006-0000-0400-00005D000000}">
      <text>
        <r>
          <rPr>
            <sz val="11"/>
            <rFont val="Calibri"/>
          </rPr>
          <t>The Juniper SRX Services Gateway must generate log records when successful attempts to configure the device and use commands occur.</t>
        </r>
      </text>
    </comment>
    <comment ref="U70" authorId="0" shapeId="0" xr:uid="{00000000-0006-0000-0400-00005E000000}">
      <text>
        <r>
          <rPr>
            <sz val="11"/>
            <rFont val="Calibri"/>
          </rPr>
          <t>The Juniper SRX Services Gateway must generate log records when logon events occur.</t>
        </r>
      </text>
    </comment>
    <comment ref="V70" authorId="0" shapeId="0" xr:uid="{00000000-0006-0000-0400-00004B000000}">
      <text>
        <r>
          <rPr>
            <sz val="11"/>
            <rFont val="Calibri"/>
          </rPr>
          <t>The Juniper SRX Services Gateway must generate log records when privileged commands are executed.</t>
        </r>
      </text>
    </comment>
    <comment ref="W70" authorId="0" shapeId="0" xr:uid="{00000000-0006-0000-0400-00004C000000}">
      <text>
        <r>
          <rPr>
            <sz val="11"/>
            <rFont val="Calibri"/>
          </rPr>
          <t>The Juniper SRX Services Gateway must generate log records when concurrent logons from different workstations occur.</t>
        </r>
      </text>
    </comment>
    <comment ref="X70" authorId="0" shapeId="0" xr:uid="{00000000-0006-0000-0400-00004D000000}">
      <text>
        <r>
          <rPr>
            <sz val="11"/>
            <rFont val="Calibri"/>
          </rPr>
          <t>The Juniper SRX Services Gateway must generate log records containing the full-text recording of privileged commands.</t>
        </r>
      </text>
    </comment>
    <comment ref="Y70" authorId="0" shapeId="0" xr:uid="{00000000-0006-0000-0400-00004E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Z70" authorId="0" shapeId="0" xr:uid="{00000000-0006-0000-0400-00004F000000}">
      <text>
        <r>
          <rPr>
            <sz val="11"/>
            <rFont val="Calibri"/>
          </rPr>
          <t>The Juniper SRX Services Gateway must record time stamps for log records using Coordinated Universal Time (UTC).</t>
        </r>
      </text>
    </comment>
    <comment ref="AA70" authorId="0" shapeId="0" xr:uid="{00000000-0006-0000-0400-000050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AB70" authorId="0" shapeId="0" xr:uid="{00000000-0006-0000-0400-000051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AC70" authorId="0" shapeId="0" xr:uid="{00000000-0006-0000-0400-000052000000}">
      <text>
        <r>
          <rPr>
            <sz val="11"/>
            <rFont val="Calibri"/>
          </rPr>
          <t>In the event that communications with the events server is lost, the Juniper SRX Services Gateway must continue to queue log records locally.</t>
        </r>
      </text>
    </comment>
    <comment ref="AD70" authorId="0" shapeId="0" xr:uid="{00000000-0006-0000-0400-000053000000}">
      <text>
        <r>
          <rPr>
            <sz val="11"/>
            <rFont val="Calibri"/>
          </rPr>
          <t>The Juniper SRX Services Gateway must be configured to use a centralized authentication server to authenticate privileged users for remote and nonlocal access for device management.</t>
        </r>
      </text>
    </comment>
    <comment ref="J71" authorId="0" shapeId="0" xr:uid="{00000000-0006-0000-0400-00005F000000}">
      <text>
        <r>
          <rPr>
            <sz val="11"/>
            <rFont val="Calibri"/>
          </rPr>
          <t>The Juniper SRX Services Gateway must reveal log messages or management console alerts only to the ISSO, ISSM, and SA roles).</t>
        </r>
      </text>
    </comment>
    <comment ref="J72" authorId="0" shapeId="0" xr:uid="{00000000-0006-0000-0400-000060000000}">
      <text>
        <r>
          <rPr>
            <sz val="11"/>
            <rFont val="Calibri"/>
          </rPr>
          <t>The Juniper SRX Services Gateway must record time stamps for log records using Coordinated Universal Time (UTC).</t>
        </r>
      </text>
    </comment>
    <comment ref="K72" authorId="0" shapeId="0" xr:uid="{00000000-0006-0000-0400-000061000000}">
      <text>
        <r>
          <rPr>
            <sz val="11"/>
            <rFont val="Calibri"/>
          </rPr>
          <t>The Juniper SRX Services Gateway must be configured to synchronize internal information system clocks with the primary and secondary NTP servers for the network.</t>
        </r>
      </text>
    </comment>
    <comment ref="J73" authorId="0" shapeId="0" xr:uid="{00000000-0006-0000-0400-000062000000}">
      <text>
        <r>
          <rPr>
            <sz val="11"/>
            <rFont val="Calibri"/>
          </rPr>
          <t>The Juniper SRX Services Gateway Firewall must be configured to support centralized management and configuration of the audit log.</t>
        </r>
      </text>
    </comment>
    <comment ref="K73" authorId="0" shapeId="0" xr:uid="{00000000-0006-0000-0400-000063000000}">
      <text>
        <r>
          <rPr>
            <sz val="11"/>
            <rFont val="Calibri"/>
          </rPr>
          <t>In the event that communications with the Syslog server is lost, the Juniper SRX Services Gateway must continue to queue traffic log records locally.</t>
        </r>
      </text>
    </comment>
    <comment ref="L73" authorId="0" shapeId="0" xr:uid="{00000000-0006-0000-0400-000064000000}">
      <text>
        <r>
          <rPr>
            <sz val="11"/>
            <rFont val="Calibri"/>
          </rPr>
          <t>The Juniper SRX Services Gateway must generate log records when successful attempts to configure the device and use commands occur.</t>
        </r>
      </text>
    </comment>
    <comment ref="M73" authorId="0" shapeId="0" xr:uid="{00000000-0006-0000-0400-000065000000}">
      <text>
        <r>
          <rPr>
            <sz val="11"/>
            <rFont val="Calibri"/>
          </rPr>
          <t>The Juniper SRX Services Gateway must generate log records when changes are made to administrator privileges.</t>
        </r>
      </text>
    </comment>
    <comment ref="N73" authorId="0" shapeId="0" xr:uid="{00000000-0006-0000-0400-000066000000}">
      <text>
        <r>
          <rPr>
            <sz val="11"/>
            <rFont val="Calibri"/>
          </rPr>
          <t>The Juniper SRX Services Gateway must generate log records when administrator privileges are deleted.</t>
        </r>
      </text>
    </comment>
    <comment ref="O73" authorId="0" shapeId="0" xr:uid="{00000000-0006-0000-0400-000067000000}">
      <text>
        <r>
          <rPr>
            <sz val="11"/>
            <rFont val="Calibri"/>
          </rPr>
          <t>The Juniper SRX Services Gateway must generate log records when logon events occur.</t>
        </r>
      </text>
    </comment>
    <comment ref="P73" authorId="0" shapeId="0" xr:uid="{00000000-0006-0000-0400-000068000000}">
      <text>
        <r>
          <rPr>
            <sz val="11"/>
            <rFont val="Calibri"/>
          </rPr>
          <t>The Juniper SRX Services Gateway must generate log records when privileged commands are executed.</t>
        </r>
      </text>
    </comment>
    <comment ref="Q73" authorId="0" shapeId="0" xr:uid="{00000000-0006-0000-0400-000069000000}">
      <text>
        <r>
          <rPr>
            <sz val="11"/>
            <rFont val="Calibri"/>
          </rPr>
          <t>The Juniper SRX Services Gateway must generate log records when concurrent logons from different workstations occur.</t>
        </r>
      </text>
    </comment>
    <comment ref="R73" authorId="0" shapeId="0" xr:uid="{00000000-0006-0000-0400-00006A000000}">
      <text>
        <r>
          <rPr>
            <sz val="11"/>
            <rFont val="Calibri"/>
          </rPr>
          <t>The Juniper SRX Services Gateway must generate log records containing the full-text recording of privileged commands.</t>
        </r>
      </text>
    </comment>
    <comment ref="S73" authorId="0" shapeId="0" xr:uid="{00000000-0006-0000-0400-00006B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T73" authorId="0" shapeId="0" xr:uid="{00000000-0006-0000-0400-00006C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U73" authorId="0" shapeId="0" xr:uid="{00000000-0006-0000-0400-00006D000000}">
      <text>
        <r>
          <rPr>
            <sz val="11"/>
            <rFont val="Calibri"/>
          </rPr>
          <t>In the event that communications with the events server is lost, the Juniper SRX Services Gateway must continue to queue log records locally.</t>
        </r>
      </text>
    </comment>
    <comment ref="J76" authorId="0" shapeId="0" xr:uid="{00000000-0006-0000-0400-00006E000000}">
      <text>
        <r>
          <rPr>
            <sz val="11"/>
            <rFont val="Calibri"/>
          </rPr>
          <t>The Juniper SRX Services Gateway must generate log records when changes are made to administrator privileges.</t>
        </r>
      </text>
    </comment>
    <comment ref="K76" authorId="0" shapeId="0" xr:uid="{00000000-0006-0000-0400-00006F000000}">
      <text>
        <r>
          <rPr>
            <sz val="11"/>
            <rFont val="Calibri"/>
          </rPr>
          <t>The Juniper SRX Services Gateway must generate log records when administrator privileges are deleted.</t>
        </r>
      </text>
    </comment>
    <comment ref="L76" authorId="0" shapeId="0" xr:uid="{00000000-0006-0000-0400-000070000000}">
      <text>
        <r>
          <rPr>
            <sz val="11"/>
            <rFont val="Calibri"/>
          </rPr>
          <t>The Juniper SRX Services Gateway must generate log records when privileged commands are executed.</t>
        </r>
      </text>
    </comment>
    <comment ref="M76" authorId="0" shapeId="0" xr:uid="{00000000-0006-0000-0400-000071000000}">
      <text>
        <r>
          <rPr>
            <sz val="11"/>
            <rFont val="Calibri"/>
          </rPr>
          <t>The Juniper SRX Services Gateway must generate log records containing the full-text recording of privileged commands.</t>
        </r>
      </text>
    </comment>
    <comment ref="J77" authorId="0" shapeId="0" xr:uid="{00000000-0006-0000-0400-000072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K77" authorId="0" shapeId="0" xr:uid="{00000000-0006-0000-0400-000073000000}">
      <text>
        <r>
          <rPr>
            <sz val="11"/>
            <rFont val="Calibri"/>
          </rPr>
          <t>The Juniper SRX Services Gateway must be configured to use a centralized authentication server to authenticate privileged users for remote and nonlocal access for device management.</t>
        </r>
      </text>
    </comment>
    <comment ref="J99" authorId="0" shapeId="0" xr:uid="{00000000-0006-0000-0400-000074000000}">
      <text>
        <r>
          <rPr>
            <sz val="11"/>
            <rFont val="Calibri"/>
          </rPr>
          <t>The Juniper SRX Services Gateway must have the number of rollbacks set to 5 or more.</t>
        </r>
      </text>
    </comment>
    <comment ref="J104" authorId="0" shapeId="0" xr:uid="{00000000-0006-0000-0400-000075000000}">
      <text>
        <r>
          <rPr>
            <sz val="11"/>
            <rFont val="Calibri"/>
          </rPr>
          <t>The Juniper SRX Services Gateway must be configured to use Junos 12.1 X46 or later to meet the minimum required version for DoD.</t>
        </r>
      </text>
    </comment>
    <comment ref="J105" authorId="0" shapeId="0" xr:uid="{00000000-0006-0000-0400-000076000000}">
      <text>
        <r>
          <rPr>
            <sz val="11"/>
            <rFont val="Calibri"/>
          </rPr>
          <t>The Juniper SRX Services Gateway Firewall must configure ICMP to meet DoD requirements.</t>
        </r>
      </text>
    </comment>
    <comment ref="K105" authorId="0" shapeId="0" xr:uid="{00000000-0006-0000-0400-000077000000}">
      <text>
        <r>
          <rPr>
            <sz val="11"/>
            <rFont val="Calibri"/>
          </rPr>
          <t>If the loopback interface is used, the Juniper SRX Services Gateway must protect the loopback interface with firewall filters for known attacks that may exploit this interface.</t>
        </r>
      </text>
    </comment>
    <comment ref="L105" authorId="0" shapeId="0" xr:uid="{00000000-0006-0000-0400-000078000000}">
      <text>
        <r>
          <rPr>
            <sz val="11"/>
            <rFont val="Calibri"/>
          </rPr>
          <t>The Juniper SRX Services Gateway must implement service redundancy to protect against or limit the effects of common types of Denial of Service (DoS) attacks on the device itself.</t>
        </r>
      </text>
    </comment>
    <comment ref="J108" authorId="0" shapeId="0" xr:uid="{00000000-0006-0000-0400-000079000000}">
      <text>
        <r>
          <rPr>
            <sz val="11"/>
            <rFont val="Calibri"/>
          </rPr>
          <t>The Juniper SRX Services Gateway must be configured to use an authentication server to centrally manage authentication and logon settings for remote and nonlocal access.</t>
        </r>
      </text>
    </comment>
    <comment ref="K108" authorId="0" shapeId="0" xr:uid="{00000000-0006-0000-0400-00007A000000}">
      <text>
        <r>
          <rPr>
            <sz val="11"/>
            <rFont val="Calibri"/>
          </rPr>
          <t>The Juniper SRX Services Gateway must be configured to use an authentication server to centrally apply authentication and logon settings for remote and nonlocal access for device management.</t>
        </r>
      </text>
    </comment>
    <comment ref="L108" authorId="0" shapeId="0" xr:uid="{00000000-0006-0000-0400-00007B000000}">
      <text>
        <r>
          <rPr>
            <sz val="11"/>
            <rFont val="Calibri"/>
          </rPr>
          <t>The Juniper SRX Services Gateway must specify the order in which authentication servers are used.</t>
        </r>
      </text>
    </comment>
    <comment ref="J109" authorId="0" shapeId="0" xr:uid="{00000000-0006-0000-0400-00007C000000}">
      <text>
        <r>
          <rPr>
            <sz val="11"/>
            <rFont val="Calibri"/>
          </rPr>
          <t>The Juniper SRX Services Gateway VPN IKE must use NIST FIPS-validated cryptography to implement encryption services for unclassified VPN traffic.</t>
        </r>
      </text>
    </comment>
    <comment ref="K109" authorId="0" shapeId="0" xr:uid="{00000000-0006-0000-0400-00007D000000}">
      <text>
        <r>
          <rPr>
            <sz val="11"/>
            <rFont val="Calibri"/>
          </rPr>
          <t>The Juniper SRX Services Gateway must use and securely configure SNMPv3 if SNMP is enabled.</t>
        </r>
      </text>
    </comment>
    <comment ref="L109" authorId="0" shapeId="0" xr:uid="{00000000-0006-0000-0400-00007E000000}">
      <text>
        <r>
          <rPr>
            <sz val="11"/>
            <rFont val="Calibri"/>
          </rPr>
          <t>For nonlocal maintenance sessions using SNMP, the Juniper SRX Services Gateway must use and securely configure SNMPv3 with SHA256 or higher to protect the integrity of maintenance and diagnostic communications.</t>
        </r>
      </text>
    </comment>
    <comment ref="M109" authorId="0" shapeId="0" xr:uid="{00000000-0006-0000-0400-00007F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N109" authorId="0" shapeId="0" xr:uid="{00000000-0006-0000-0400-000080000000}">
      <text>
        <r>
          <rPr>
            <sz val="11"/>
            <rFont val="Calibri"/>
          </rPr>
          <t>The Juniper SRX Services Gateway must securely configure SNMPv3 with privacy options to protect the confidentiality of nonlocal maintenance and diagnostic communications using SNMP.</t>
        </r>
      </text>
    </comment>
    <comment ref="O109" authorId="0" shapeId="0" xr:uid="{00000000-0006-0000-0400-000081000000}">
      <text>
        <r>
          <rPr>
            <sz val="11"/>
            <rFont val="Calibri"/>
          </rPr>
          <t>The Juniper SRX Services Gateway must use SSHv2 with privacy options to protect the confidentiality of maintenance and diagnostic communications for nonlocal maintenance sessions using SSH.</t>
        </r>
      </text>
    </comment>
    <comment ref="J110" authorId="0" shapeId="0" xr:uid="{00000000-0006-0000-0400-000082000000}">
      <text>
        <r>
          <rPr>
            <sz val="11"/>
            <rFont val="Calibri"/>
          </rPr>
          <t>The Juniper SRX Services Gateway VPN must renegotiate the IPsec security association after 8 hours or less.</t>
        </r>
      </text>
    </comment>
    <comment ref="K110" authorId="0" shapeId="0" xr:uid="{00000000-0006-0000-0400-000083000000}">
      <text>
        <r>
          <rPr>
            <sz val="11"/>
            <rFont val="Calibri"/>
          </rPr>
          <t>The Juniper SRX Services Gateway VPN must renegotiate the IKE security association after 24 hours or less.</t>
        </r>
      </text>
    </comment>
    <comment ref="L110" authorId="0" shapeId="0" xr:uid="{00000000-0006-0000-0400-000084000000}">
      <text>
        <r>
          <rPr>
            <sz val="11"/>
            <rFont val="Calibri"/>
          </rPr>
          <t>The Juniper SRX Services Gateway VPN must use AES256 for the IPsec proposal to protect the confidentiality of remote access sessions.</t>
        </r>
      </text>
    </comment>
    <comment ref="M110" authorId="0" shapeId="0" xr:uid="{00000000-0006-0000-0400-000085000000}">
      <text>
        <r>
          <rPr>
            <sz val="11"/>
            <rFont val="Calibri"/>
          </rPr>
          <t>The Juniper SRX Services Gateway VPN must use AES256 encryption for the Internet Key Exchange (IKE) proposal to protect the confidentiality of remote access sessions.</t>
        </r>
      </text>
    </comment>
    <comment ref="N110" authorId="0" shapeId="0" xr:uid="{00000000-0006-0000-0400-000086000000}">
      <text>
        <r>
          <rPr>
            <sz val="11"/>
            <rFont val="Calibri"/>
          </rPr>
          <t>The Juniper SRX Services Gateway VPN must be configured to use Diffie-Hellman (DH) group 15 or higher.</t>
        </r>
      </text>
    </comment>
    <comment ref="O110" authorId="0" shapeId="0" xr:uid="{00000000-0006-0000-0400-000087000000}">
      <text>
        <r>
          <rPr>
            <sz val="11"/>
            <rFont val="Calibri"/>
          </rPr>
          <t>The Juniper SRX Services Gateway VPN must be configured to use IPsec with SHA256 or greater to negotiate hashing to protect the integrity of remote access sessions.</t>
        </r>
      </text>
    </comment>
    <comment ref="P110" authorId="0" shapeId="0" xr:uid="{00000000-0006-0000-0400-000088000000}">
      <text>
        <r>
          <rPr>
            <sz val="11"/>
            <rFont val="Calibri"/>
          </rPr>
          <t>The Juniper SRX Services Gateway VPN must use Internet Key Exchange (IKE) for IPsec VPN Security Associations (SAs).</t>
        </r>
      </text>
    </comment>
    <comment ref="Q110" authorId="0" shapeId="0" xr:uid="{00000000-0006-0000-0400-000089000000}">
      <text>
        <r>
          <rPr>
            <sz val="11"/>
            <rFont val="Calibri"/>
          </rPr>
          <t>The Juniper SRX Services Gateway VPN must not accept certificates that have been revoked when using PKI for authentication.</t>
        </r>
      </text>
    </comment>
    <comment ref="R110" authorId="0" shapeId="0" xr:uid="{00000000-0006-0000-0400-00008A000000}">
      <text>
        <r>
          <rPr>
            <sz val="11"/>
            <rFont val="Calibri"/>
          </rPr>
          <t>The Juniper SRX Services Gateway VPN must specify Perfect Forward Secrecy (PFS).</t>
        </r>
      </text>
    </comment>
    <comment ref="S110" authorId="0" shapeId="0" xr:uid="{00000000-0006-0000-0400-00008B000000}">
      <text>
        <r>
          <rPr>
            <sz val="11"/>
            <rFont val="Calibri"/>
          </rPr>
          <t>The Juniper SRX Services Gateway VPN must use Encapsulating Security Payload (ESP) in tunnel mode.</t>
        </r>
      </text>
    </comment>
    <comment ref="T110" authorId="0" shapeId="0" xr:uid="{00000000-0006-0000-0400-00008C000000}">
      <text>
        <r>
          <rPr>
            <sz val="11"/>
            <rFont val="Calibri"/>
          </rPr>
          <t>The Juniper SRX Services Gateway VPN must use IKEv2 for IPsec VPN security associations.</t>
        </r>
      </text>
    </comment>
    <comment ref="U110" authorId="0" shapeId="0" xr:uid="{00000000-0006-0000-0400-00008D000000}">
      <text>
        <r>
          <rPr>
            <sz val="11"/>
            <rFont val="Calibri"/>
          </rPr>
          <t>The Juniper SRX Services Gateway VPN must use multifactor authentication (e.g., DoD PKI) for network access to non-privileged accounts.</t>
        </r>
      </text>
    </comment>
    <comment ref="V110" authorId="0" shapeId="0" xr:uid="{00000000-0006-0000-0400-00008E000000}">
      <text>
        <r>
          <rPr>
            <sz val="11"/>
            <rFont val="Calibri"/>
          </rPr>
          <t>The Juniper SRX Services Gateway VPN Internet Key Exchange (IKE) must be configured to use an approved Commercial Solution for Classified (CSfC) when transporting classified traffic across an unclassified network.</t>
        </r>
      </text>
    </comment>
    <comment ref="W110" authorId="0" shapeId="0" xr:uid="{00000000-0006-0000-0400-00008F000000}">
      <text>
        <r>
          <rPr>
            <sz val="11"/>
            <rFont val="Calibri"/>
          </rPr>
          <t>The Juniper SRX Services Gateway VPN must configure Internet Key Exchange (IKE) with SHA1 or greater to protect the authenticity of communications sessions.</t>
        </r>
      </text>
    </comment>
    <comment ref="X110" authorId="0" shapeId="0" xr:uid="{00000000-0006-0000-0400-000090000000}">
      <text>
        <r>
          <rPr>
            <sz val="11"/>
            <rFont val="Calibri"/>
          </rPr>
          <t>The Juniper SRX Services Gateway VPN must only allow the use of DoD PKI established certificate authorities for verification of the establishment of protected sessions.</t>
        </r>
      </text>
    </comment>
    <comment ref="Y110" authorId="0" shapeId="0" xr:uid="{00000000-0006-0000-0400-000091000000}">
      <text>
        <r>
          <rPr>
            <sz val="11"/>
            <rFont val="Calibri"/>
          </rPr>
          <t>The Juniper SRX Services Gateway VPN must use anti-replay mechanisms for security associations.</t>
        </r>
      </text>
    </comment>
    <comment ref="J113" authorId="0" shapeId="0" xr:uid="{00000000-0006-0000-0400-000092000000}">
      <text>
        <r>
          <rPr>
            <sz val="11"/>
            <rFont val="Calibri"/>
          </rPr>
          <t>The Juniper SRX Services Gateway Firewall must generate an alert that can be forwarded to, at a minimum, the ISSO and ISSM when DoS incidents are detected.</t>
        </r>
      </text>
    </comment>
    <comment ref="K113" authorId="0" shapeId="0" xr:uid="{00000000-0006-0000-0400-000093000000}">
      <text>
        <r>
          <rPr>
            <sz val="11"/>
            <rFont val="Calibri"/>
          </rPr>
          <t>The IDPS must send an alert to, at a minimum, the ISSO and ISSM when intrusion detection events are detected that indicate a compromise or potential for compromise.</t>
        </r>
      </text>
    </comment>
    <comment ref="L113" authorId="0" shapeId="0" xr:uid="{00000000-0006-0000-0400-000094000000}">
      <text>
        <r>
          <rPr>
            <sz val="11"/>
            <rFont val="Calibri"/>
          </rPr>
          <t>The Juniper Networks SRX Series Gateway IDPS must generate an alert to, at a minimum, the ISSO and ISSM when root-level intrusion events that provide unauthorized privileged access are detected.</t>
        </r>
      </text>
    </comment>
    <comment ref="M113" authorId="0" shapeId="0" xr:uid="{00000000-0006-0000-0400-000095000000}">
      <text>
        <r>
          <rPr>
            <sz val="11"/>
            <rFont val="Calibri"/>
          </rPr>
          <t>The IDPS must send an alert to, at a minimum, the ISSO and ISSM when DoS incidents are detected.</t>
        </r>
      </text>
    </comment>
    <comment ref="N113" authorId="0" shapeId="0" xr:uid="{00000000-0006-0000-0400-000096000000}">
      <text>
        <r>
          <rPr>
            <sz val="11"/>
            <rFont val="Calibri"/>
          </rPr>
          <t>The Juniper Networks SRX Series Gateway IDPS must send an immediate alert to, at a minimum, the Security Control Auditor (SCA) when malicious code is detected.</t>
        </r>
      </text>
    </comment>
    <comment ref="J115" authorId="0" shapeId="0" xr:uid="{00000000-0006-0000-0400-000097000000}">
      <text>
        <r>
          <rPr>
            <sz val="11"/>
            <rFont val="Calibri"/>
          </rPr>
          <t>The Juniper SRX Services Gateway Firewall must continuously monitor all inbound communications traffic for unusual/unauthorized activities or conditions.</t>
        </r>
      </text>
    </comment>
    <comment ref="K115" authorId="0" shapeId="0" xr:uid="{00000000-0006-0000-0400-000099000000}">
      <text>
        <r>
          <rPr>
            <sz val="11"/>
            <rFont val="Calibri"/>
          </rPr>
          <t>The Juniper SRX Services Gateway Firewall must continuously monitor outbound communications traffic for unusual/unauthorized activities or conditions.</t>
        </r>
      </text>
    </comment>
    <comment ref="L115" authorId="0" shapeId="0" xr:uid="{00000000-0006-0000-0400-00009A000000}">
      <text>
        <r>
          <rPr>
            <sz val="11"/>
            <rFont val="Calibri"/>
          </rPr>
          <t>The Juniper Networks SRX Series Gateway IDPS must provide audit record generation capability for detecting events based on implementation of policy filters, rules, and signatures.</t>
        </r>
      </text>
    </comment>
    <comment ref="M115" authorId="0" shapeId="0" xr:uid="{00000000-0006-0000-0400-00009B000000}">
      <text>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text>
    </comment>
    <comment ref="N115" authorId="0" shapeId="0" xr:uid="{00000000-0006-0000-0400-00009C000000}">
      <text>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text>
    </comment>
    <comment ref="O115" authorId="0" shapeId="0" xr:uid="{00000000-0006-0000-0400-00009D000000}">
      <text>
        <r>
          <rPr>
            <sz val="11"/>
            <rFont val="Calibri"/>
          </rPr>
          <t>The Juniper Networks SRX Series Gateway IDPS must provide audit record generation with a configurable severity and escalation level capability.</t>
        </r>
      </text>
    </comment>
    <comment ref="P115" authorId="0" shapeId="0" xr:uid="{00000000-0006-0000-0400-00009E000000}">
      <text>
        <r>
          <rPr>
            <sz val="11"/>
            <rFont val="Calibri"/>
          </rPr>
          <t>The Juniper Networks SRX Series Gateway IDPS must detect, at a minimum, mobile code that is unsigned or exhibiting unusual behavior, has not undergone a risk assessment, or is prohibited for use based on a risk assessment.</t>
        </r>
      </text>
    </comment>
    <comment ref="Q115" authorId="0" shapeId="0" xr:uid="{00000000-0006-0000-0400-00009F000000}">
      <text>
        <r>
          <rPr>
            <sz val="11"/>
            <rFont val="Calibri"/>
          </rPr>
          <t>The Juniper Networks SRX Series Gateway IDPS must block any prohibited mobile code at the enclave boundary when it is detected.</t>
        </r>
      </text>
    </comment>
    <comment ref="R115" authorId="0" shapeId="0" xr:uid="{00000000-0006-0000-0400-0000A0000000}">
      <text>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text>
    </comment>
    <comment ref="S115" authorId="0" shapeId="0" xr:uid="{00000000-0006-0000-0400-0000A1000000}">
      <text>
        <r>
          <rPr>
            <sz val="11"/>
            <rFont val="Calibri"/>
          </rPr>
          <t>To protect against unauthorized data mining, the Juniper Networks SRX Series Gateway IDPS must prevent code injection attacks launched against data storage objects, including, at a minimum, databases, database records, queries, and fields.</t>
        </r>
      </text>
    </comment>
    <comment ref="T115" authorId="0" shapeId="0" xr:uid="{00000000-0006-0000-0400-0000A2000000}">
      <text>
        <r>
          <rPr>
            <sz val="11"/>
            <rFont val="Calibri"/>
          </rPr>
          <t>To protect against unauthorized data mining, the Juniper Networks SRX Series Gateway IDPS must prevent code injection attacks launched against application objects, including, at a minimum, application URLs and application code.</t>
        </r>
      </text>
    </comment>
    <comment ref="U115" authorId="0" shapeId="0" xr:uid="{00000000-0006-0000-0400-0000A3000000}">
      <text>
        <r>
          <rPr>
            <sz val="11"/>
            <rFont val="Calibri"/>
          </rPr>
          <t>To protect against unauthorized data mining, the Juniper Networks SRX Series Gateway IDPS must prevent SQL injection attacks launched against data storage objects, including, at a minimum, databases, database records, and database fields.</t>
        </r>
      </text>
    </comment>
    <comment ref="V115" authorId="0" shapeId="0" xr:uid="{00000000-0006-0000-0400-0000A4000000}">
      <text>
        <r>
          <rPr>
            <sz val="11"/>
            <rFont val="Calibri"/>
          </rPr>
          <t>To protect against unauthorized data mining, the Juniper Networks SRX Series Gateway IDPS must detect code injection attacks launched against data storage objects, including, at a minimum, databases, database records, queries, and fields.</t>
        </r>
      </text>
    </comment>
    <comment ref="W115" authorId="0" shapeId="0" xr:uid="{00000000-0006-0000-0400-0000A5000000}">
      <text>
        <r>
          <rPr>
            <sz val="11"/>
            <rFont val="Calibri"/>
          </rPr>
          <t>To protect against unauthorized data mining, the Juniper Networks SRX Series Gateway IDPS must detect code injection attacks launched against application objects, including, at a minimum, application URLs and application code.</t>
        </r>
      </text>
    </comment>
    <comment ref="X115" authorId="0" shapeId="0" xr:uid="{00000000-0006-0000-0400-0000A6000000}">
      <text>
        <r>
          <rPr>
            <sz val="11"/>
            <rFont val="Calibri"/>
          </rPr>
          <t>To protect against unauthorized data mining, the Juniper Networks SRX Series Gateway IDPS must detect SQL injection attacks launched against data storage objects, including, at a minimum, databases, database records, and database fields.</t>
        </r>
      </text>
    </comment>
    <comment ref="Y115" authorId="0" shapeId="0" xr:uid="{00000000-0006-0000-0400-0000A7000000}">
      <text>
        <r>
          <rPr>
            <sz val="11"/>
            <rFont val="Calibri"/>
          </rPr>
          <t>The Juniper Networks SRX Series Gateway IDPS must automatically install updates to signature definitions.</t>
        </r>
      </text>
    </comment>
    <comment ref="Z115" authorId="0" shapeId="0" xr:uid="{00000000-0006-0000-0400-0000A8000000}">
      <text>
        <r>
          <rPr>
            <sz val="11"/>
            <rFont val="Calibri"/>
          </rPr>
          <t>The Juniper Networks SRX Series Gateway IDPS must perform real-time monitoring of files from external sources at network entry/exit points.</t>
        </r>
      </text>
    </comment>
    <comment ref="AA115" authorId="0" shapeId="0" xr:uid="{00000000-0006-0000-0400-0000A9000000}">
      <text>
        <r>
          <rPr>
            <sz val="11"/>
            <rFont val="Calibri"/>
          </rPr>
          <t>The Juniper Networks SRX Series Gateway IDPS must drop packets or disconnect the connection when malicious code is detected.</t>
        </r>
      </text>
    </comment>
    <comment ref="AB115" authorId="0" shapeId="0" xr:uid="{00000000-0006-0000-0400-0000AA000000}">
      <text>
        <r>
          <rPr>
            <sz val="11"/>
            <rFont val="Calibri"/>
          </rPr>
          <t>The Juniper Networks SRX Series Gateway IDPS must have only active Juniper Networks licenses.</t>
        </r>
      </text>
    </comment>
    <comment ref="AC115" authorId="0" shapeId="0" xr:uid="{00000000-0006-0000-0400-0000AB000000}">
      <text>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text>
    </comment>
    <comment ref="AD115" authorId="0" shapeId="0" xr:uid="{00000000-0006-0000-0400-0000AC000000}">
      <text>
        <r>
          <rPr>
            <sz val="11"/>
            <rFont val="Calibri"/>
          </rPr>
          <t>The Juniper SRX Services Gateway VPN device also fulfills the role of IDPS in the architecture, the device must inspect the VPN traffic in compliance with DoD IDPS requirements.</t>
        </r>
      </text>
    </comment>
    <comment ref="AE115" authorId="0" shapeId="0" xr:uid="{00000000-0006-0000-0400-000098000000}">
      <text>
        <r>
          <rPr>
            <sz val="11"/>
            <rFont val="Calibri"/>
          </rPr>
          <t>If IDPS inspection is performed separately from the Juniper SRX Services Gateway VPN device, the VPN must route sessions to an IDPS for inspection.</t>
        </r>
      </text>
    </comment>
    <comment ref="J116" authorId="0" shapeId="0" xr:uid="{00000000-0006-0000-0400-0000AD000000}">
      <text>
        <r>
          <rPr>
            <sz val="11"/>
            <rFont val="Calibri"/>
          </rPr>
          <t>The Juniper SRX Services Gateway Firewall must only allow inbound communications from organization-defined authorized sources routed to organization-defined authorized destinations.</t>
        </r>
      </text>
    </comment>
    <comment ref="K116" authorId="0" shapeId="0" xr:uid="{00000000-0006-0000-0400-0000AE000000}">
      <text>
        <r>
          <rPr>
            <sz val="11"/>
            <rFont val="Calibri"/>
          </rPr>
          <t>The Juniper SRX Services Gateway Firewall must deny network communications traffic by default and allow network communications traffic by exception (i.e., deny all, permit by exception).</t>
        </r>
      </text>
    </comment>
    <comment ref="L116" authorId="0" shapeId="0" xr:uid="{00000000-0006-0000-0400-0000AF000000}">
      <text>
        <r>
          <rPr>
            <sz val="11"/>
            <rFont val="Calibri"/>
          </rPr>
          <t>The Juniper SRX Services Gateway VPN must only allow incoming VPN communications from organization-defined authorized sources routed to organization-defined authorized destinations.</t>
        </r>
      </text>
    </comment>
    <comment ref="J119" authorId="0" shapeId="0" xr:uid="{00000000-0006-0000-0400-0000B0000000}">
      <text>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text>
    </comment>
    <comment ref="K119" authorId="0" shapeId="0" xr:uid="{00000000-0006-0000-0400-0000B1000000}">
      <text>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text>
    </comment>
    <comment ref="L119" authorId="0" shapeId="0" xr:uid="{00000000-0006-0000-0400-0000B2000000}">
      <text>
        <r>
          <rPr>
            <sz val="11"/>
            <rFont val="Calibri"/>
          </rPr>
          <t>The Juniper Networks SRX Series Gateway IDPS must detect, at a minimum, mobile code that is unsigned or exhibiting unusual behavior, has not undergone a risk assessment, or is prohibited for use based on a risk assessment.</t>
        </r>
      </text>
    </comment>
    <comment ref="M119" authorId="0" shapeId="0" xr:uid="{00000000-0006-0000-0400-0000B3000000}">
      <text>
        <r>
          <rPr>
            <sz val="11"/>
            <rFont val="Calibri"/>
          </rPr>
          <t>The Juniper Networks SRX Series Gateway IDPS must block any prohibited mobile code at the enclave boundary when it is detected.</t>
        </r>
      </text>
    </comment>
    <comment ref="N119" authorId="0" shapeId="0" xr:uid="{00000000-0006-0000-0400-0000B4000000}">
      <text>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text>
    </comment>
    <comment ref="O119" authorId="0" shapeId="0" xr:uid="{00000000-0006-0000-0400-0000B5000000}">
      <text>
        <r>
          <rPr>
            <sz val="11"/>
            <rFont val="Calibri"/>
          </rPr>
          <t>To protect against unauthorized data mining, the Juniper Networks SRX Series Gateway IDPS must prevent code injection attacks launched against data storage objects, including, at a minimum, databases, database records, queries, and fields.</t>
        </r>
      </text>
    </comment>
    <comment ref="P119" authorId="0" shapeId="0" xr:uid="{00000000-0006-0000-0400-0000B6000000}">
      <text>
        <r>
          <rPr>
            <sz val="11"/>
            <rFont val="Calibri"/>
          </rPr>
          <t>To protect against unauthorized data mining, the Juniper Networks SRX Series Gateway IDPS must prevent code injection attacks launched against application objects, including, at a minimum, application URLs and application code.</t>
        </r>
      </text>
    </comment>
    <comment ref="Q119" authorId="0" shapeId="0" xr:uid="{00000000-0006-0000-0400-0000B7000000}">
      <text>
        <r>
          <rPr>
            <sz val="11"/>
            <rFont val="Calibri"/>
          </rPr>
          <t>To protect against unauthorized data mining, the Juniper Networks SRX Series Gateway IDPS must prevent SQL injection attacks launched against data storage objects, including, at a minimum, databases, database records, and database fields.</t>
        </r>
      </text>
    </comment>
    <comment ref="R119" authorId="0" shapeId="0" xr:uid="{00000000-0006-0000-0400-0000B8000000}">
      <text>
        <r>
          <rPr>
            <sz val="11"/>
            <rFont val="Calibri"/>
          </rPr>
          <t>To protect against unauthorized data mining, the Juniper Networks SRX Series Gateway IDPS must detect code injection attacks launched against data storage objects, including, at a minimum, databases, database records, queries, and fields.</t>
        </r>
      </text>
    </comment>
    <comment ref="S119" authorId="0" shapeId="0" xr:uid="{00000000-0006-0000-0400-0000B9000000}">
      <text>
        <r>
          <rPr>
            <sz val="11"/>
            <rFont val="Calibri"/>
          </rPr>
          <t>To protect against unauthorized data mining, the Juniper Networks SRX Series Gateway IDPS must detect code injection attacks launched against application objects, including, at a minimum, application URLs and application code.</t>
        </r>
      </text>
    </comment>
    <comment ref="T119" authorId="0" shapeId="0" xr:uid="{00000000-0006-0000-0400-0000BA000000}">
      <text>
        <r>
          <rPr>
            <sz val="11"/>
            <rFont val="Calibri"/>
          </rPr>
          <t>To protect against unauthorized data mining, the Juniper Networks SRX Series Gateway IDPS must detect SQL injection attacks launched against data storage objects, including, at a minimum, databases, database records, and database fields.</t>
        </r>
      </text>
    </comment>
    <comment ref="U119" authorId="0" shapeId="0" xr:uid="{00000000-0006-0000-0400-0000BB000000}">
      <text>
        <r>
          <rPr>
            <sz val="11"/>
            <rFont val="Calibri"/>
          </rPr>
          <t>The Juniper Networks SRX Series Gateway IDPS must automatically install updates to signature definitions.</t>
        </r>
      </text>
    </comment>
    <comment ref="V119" authorId="0" shapeId="0" xr:uid="{00000000-0006-0000-0400-0000BC000000}">
      <text>
        <r>
          <rPr>
            <sz val="11"/>
            <rFont val="Calibri"/>
          </rPr>
          <t>The Juniper Networks SRX Series Gateway IDPS must perform real-time monitoring of files from external sources at network entry/exit points.</t>
        </r>
      </text>
    </comment>
    <comment ref="W119" authorId="0" shapeId="0" xr:uid="{00000000-0006-0000-0400-0000BD000000}">
      <text>
        <r>
          <rPr>
            <sz val="11"/>
            <rFont val="Calibri"/>
          </rPr>
          <t>The Juniper Networks SRX Series Gateway IDPS must drop packets or disconnect the connection when malicious code is detected.</t>
        </r>
      </text>
    </comment>
    <comment ref="X119" authorId="0" shapeId="0" xr:uid="{00000000-0006-0000-0400-0000BE000000}">
      <text>
        <r>
          <rPr>
            <sz val="11"/>
            <rFont val="Calibri"/>
          </rPr>
          <t>The Juniper Networks SRX Series Gateway IDPS must have only active Juniper Networks licenses.</t>
        </r>
      </text>
    </comment>
    <comment ref="Y119" authorId="0" shapeId="0" xr:uid="{00000000-0006-0000-0400-0000BF000000}">
      <text>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text>
    </comment>
    <comment ref="Z119" authorId="0" shapeId="0" xr:uid="{00000000-0006-0000-0400-0000C0000000}">
      <text>
        <r>
          <rPr>
            <sz val="11"/>
            <rFont val="Calibri"/>
          </rPr>
          <t>The Juniper SRX Services Gateway VPN device also fulfills the role of IDPS in the architecture, the device must inspect the VPN traffic in compliance with DoD IDPS requirements.</t>
        </r>
      </text>
    </comment>
    <comment ref="AA119" authorId="0" shapeId="0" xr:uid="{00000000-0006-0000-0400-0000C1000000}">
      <text>
        <r>
          <rPr>
            <sz val="11"/>
            <rFont val="Calibri"/>
          </rPr>
          <t>If IDPS inspection is performed separately from the Juniper SRX Services Gateway VPN device, the VPN must route sessions to an IDPS for inspection.</t>
        </r>
      </text>
    </comment>
    <comment ref="J120" authorId="0" shapeId="0" xr:uid="{00000000-0006-0000-0400-0000C2000000}">
      <text>
        <r>
          <rPr>
            <sz val="11"/>
            <rFont val="Calibri"/>
          </rPr>
          <t>The Juniper SRX Services Gateway Firewall providing content filtering must protect against known and unknown types of denial-of-service (DoS) attacks by implementing statistics-based screens.</t>
        </r>
      </text>
    </comment>
    <comment ref="K120" authorId="0" shapeId="0" xr:uid="{00000000-0006-0000-0400-0000C3000000}">
      <text>
        <r>
          <rPr>
            <sz val="11"/>
            <rFont val="Calibri"/>
          </rPr>
          <t>The Juniper SRX Services Gateway Firewall must implement load balancing on the perimeter firewall, at a minimum, to limit the effects of known and unknown types of denial-of-service (DoS) attacks on the network.</t>
        </r>
      </text>
    </comment>
    <comment ref="L120" authorId="0" shapeId="0" xr:uid="{00000000-0006-0000-0400-0000C4000000}">
      <text>
        <r>
          <rPr>
            <sz val="11"/>
            <rFont val="Calibri"/>
          </rPr>
          <t>The Juniper SRX Services Gateway Firewall must protect against known types of denial-of-service (DoS) attacks by implementing signature-based screens.</t>
        </r>
      </text>
    </comment>
    <comment ref="M120" authorId="0" shapeId="0" xr:uid="{00000000-0006-0000-0400-0000C5000000}">
      <text>
        <r>
          <rPr>
            <sz val="11"/>
            <rFont val="Calibri"/>
          </rPr>
          <t>The Juniper SRX Services Gateway Firewall must block outbound traffic containing known and unknown denial-of-service (DoS) attacks to protect against the use of internal information systems to launch any DoS attacks against other networks or endpoints.</t>
        </r>
      </text>
    </comment>
    <comment ref="N120" authorId="0" shapeId="0" xr:uid="{00000000-0006-0000-0400-0000C6000000}">
      <text>
        <r>
          <rPr>
            <sz val="11"/>
            <rFont val="Calibri"/>
          </rPr>
          <t>The Juniper SRX Services Gateway Firewall must continuously monitor all inbound communications traffic for unusual/unauthorized activities or conditions.</t>
        </r>
      </text>
    </comment>
    <comment ref="O120" authorId="0" shapeId="0" xr:uid="{00000000-0006-0000-0400-0000C7000000}">
      <text>
        <r>
          <rPr>
            <sz val="11"/>
            <rFont val="Calibri"/>
          </rPr>
          <t>The Juniper SRX Services Gateway Firewall must continuously monitor outbound communications traffic for unusual/unauthorized activities or conditions.</t>
        </r>
      </text>
    </comment>
    <comment ref="P120" authorId="0" shapeId="0" xr:uid="{00000000-0006-0000-0400-0000C8000000}">
      <text>
        <r>
          <rPr>
            <sz val="11"/>
            <rFont val="Calibri"/>
          </rPr>
          <t>The Juniper Networks SRX Series Gateway IDPS must block outbound traffic containing known and unknown DoS attacks by ensuring that rules are applied to outbound communications traffic.</t>
        </r>
      </text>
    </comment>
    <comment ref="Q120" authorId="0" shapeId="0" xr:uid="{00000000-0006-0000-0400-0000C9000000}">
      <text>
        <r>
          <rPr>
            <sz val="11"/>
            <rFont val="Calibri"/>
          </rPr>
          <t>The Juniper Networks SRX Series Gateway IDPS must block outbound traffic containing known and unknown DoS attacks by ensuring that signature-based objects are applied to outbound communications traffic.</t>
        </r>
      </text>
    </comment>
    <comment ref="R120" authorId="0" shapeId="0" xr:uid="{00000000-0006-0000-0400-0000CA000000}">
      <text>
        <r>
          <rPr>
            <sz val="11"/>
            <rFont val="Calibri"/>
          </rPr>
          <t>The Juniper Networks SRX Series Gateway IDPS must block outbound traffic containing known and unknown DoS attacks by ensuring that anomaly-based attack objects are applied to outbound communications traffic.</t>
        </r>
      </text>
    </comment>
    <comment ref="S120" authorId="0" shapeId="0" xr:uid="{00000000-0006-0000-0400-0000CB000000}">
      <text>
        <r>
          <rPr>
            <sz val="11"/>
            <rFont val="Calibri"/>
          </rPr>
          <t>The Juniper Networks SRX Series Gateway IDPS must protect against or limit the effects of known and unknown types of Denial of Service (DoS) attacks by employing rate-based attack prevention behavior analysis.</t>
        </r>
      </text>
    </comment>
    <comment ref="T120" authorId="0" shapeId="0" xr:uid="{00000000-0006-0000-0400-0000CC000000}">
      <text>
        <r>
          <rPr>
            <sz val="11"/>
            <rFont val="Calibri"/>
          </rPr>
          <t>The Juniper Networks SRX Series Gateway IDPS must protect against or limit the effects of known and unknown types of Denial of Service (DoS) attacks by employing anomaly-based detection.</t>
        </r>
      </text>
    </comment>
    <comment ref="U120" authorId="0" shapeId="0" xr:uid="{00000000-0006-0000-0400-0000CD000000}">
      <text>
        <r>
          <rPr>
            <sz val="11"/>
            <rFont val="Calibri"/>
          </rPr>
          <t>The Juniper Networks SRX Series Gateway IDPS must protect against or limit the effects of known types of Denial of Service (DoS) attacks by employing signatures.</t>
        </r>
      </text>
    </comment>
    <comment ref="V120" authorId="0" shapeId="0" xr:uid="{00000000-0006-0000-0400-0000CE000000}">
      <text>
        <r>
          <rPr>
            <sz val="11"/>
            <rFont val="Calibri"/>
          </rPr>
          <t>The Juniper SRX Services Gateway must configure the control plane to protect against or limit the effects of common types of Denial of Service (DoS) attacks on the device itself by configuring applicable system options and internet-options.</t>
        </r>
      </text>
    </comment>
    <comment ref="J121" authorId="0" shapeId="0" xr:uid="{00000000-0006-0000-0400-0000CF000000}">
      <text>
        <r>
          <rPr>
            <sz val="11"/>
            <rFont val="Calibri"/>
          </rPr>
          <t>The Juniper SRX Services Gateway VPN must uniquely identify and authenticate organizational users (or processes acting on behalf of organizational users).</t>
        </r>
      </text>
    </comment>
    <comment ref="K121" authorId="0" shapeId="0" xr:uid="{00000000-0006-0000-0400-0000D0000000}">
      <text>
        <r>
          <rPr>
            <sz val="11"/>
            <rFont val="Calibri"/>
          </rPr>
          <t>The Juniper SRX Services Gateway VPN must uniquely identify and authenticate non-organizational users (or processes acting on behalf of non-organizational users).</t>
        </r>
      </text>
    </comment>
    <comment ref="J122" authorId="0" shapeId="0" xr:uid="{00000000-0006-0000-0400-0000D1000000}">
      <text>
        <r>
          <rPr>
            <sz val="11"/>
            <rFont val="Calibri"/>
          </rPr>
          <t>The Juniper SRX Services Gateway Firewall must only allow inbound communications from organization-defined authorized sources routed to organization-defined authorized destinations.</t>
        </r>
      </text>
    </comment>
    <comment ref="K122" authorId="0" shapeId="0" xr:uid="{00000000-0006-0000-0400-0000D2000000}">
      <text>
        <r>
          <rPr>
            <sz val="11"/>
            <rFont val="Calibri"/>
          </rPr>
          <t>The Juniper SRX Services Gateway Firewall must deny network communications traffic by default and allow network communications traffic by exception (i.e., deny all, permit by exception).</t>
        </r>
      </text>
    </comment>
    <comment ref="L122" authorId="0" shapeId="0" xr:uid="{00000000-0006-0000-0400-0000D3000000}">
      <text>
        <r>
          <rPr>
            <sz val="11"/>
            <rFont val="Calibri"/>
          </rPr>
          <t>The Juniper SRX Services Gateway VPN must only allow incoming VPN communications from organization-defined authorized sources routed to organization-defined authorized destinations.</t>
        </r>
      </text>
    </comment>
    <comment ref="J161" authorId="0" shapeId="0" xr:uid="{00000000-0006-0000-0400-0000D4000000}">
      <text>
        <r>
          <rPr>
            <sz val="11"/>
            <rFont val="Calibri"/>
          </rPr>
          <t>The Juniper SRX Services Gateway Firewall must generate an alert to, at a minimum, the ISSO and ISSM when unusual/unauthorized activities or conditions are detected during continuous monitoring of communications traffic as it traverses inbound or outbound  across internal security boundaries.</t>
        </r>
      </text>
    </comment>
    <comment ref="K161" authorId="0" shapeId="0" xr:uid="{00000000-0006-0000-0400-0000D5000000}">
      <text>
        <r>
          <rPr>
            <sz val="11"/>
            <rFont val="Calibri"/>
          </rPr>
          <t>The Juniper SRX Services Gateway Firewall must generate an alert that can be forwarded to, at a minimum, the ISSO and ISSM when threats identified by authoritative sources are detected.</t>
        </r>
      </text>
    </comment>
    <comment ref="L161" authorId="0" shapeId="0" xr:uid="{00000000-0006-0000-0400-0000D6000000}">
      <text>
        <r>
          <rPr>
            <sz val="11"/>
            <rFont val="Calibri"/>
          </rPr>
          <t>The Juniper SRX Services Gateway Firewall must generate an alert that can be forwarded to, at a minimum, the ISSO and ISSM when DoS incidents are detected.</t>
        </r>
      </text>
    </comment>
    <comment ref="M161" authorId="0" shapeId="0" xr:uid="{00000000-0006-0000-0400-0000D7000000}">
      <text>
        <r>
          <rPr>
            <sz val="11"/>
            <rFont val="Calibri"/>
          </rPr>
          <t>The IDPS must send an alert to, at a minimum, the ISSO and ISSM when intrusion detection events are detected that indicate a compromise or potential for compromise.</t>
        </r>
      </text>
    </comment>
    <comment ref="N161" authorId="0" shapeId="0" xr:uid="{00000000-0006-0000-0400-0000D8000000}">
      <text>
        <r>
          <rPr>
            <sz val="11"/>
            <rFont val="Calibri"/>
          </rPr>
          <t>The Juniper Networks SRX Series Gateway IDPS must generate an alert to, at a minimum, the ISSO and ISSM when root-level intrusion events that provide unauthorized privileged access are detected.</t>
        </r>
      </text>
    </comment>
    <comment ref="O161" authorId="0" shapeId="0" xr:uid="{00000000-0006-0000-0400-0000D9000000}">
      <text>
        <r>
          <rPr>
            <sz val="11"/>
            <rFont val="Calibri"/>
          </rPr>
          <t>The IDPS must send an alert to, at a minimum, the ISSO and ISSM when DoS incidents are detected.</t>
        </r>
      </text>
    </comment>
    <comment ref="P161" authorId="0" shapeId="0" xr:uid="{00000000-0006-0000-0400-0000DA000000}">
      <text>
        <r>
          <rPr>
            <sz val="11"/>
            <rFont val="Calibri"/>
          </rPr>
          <t>The Juniper Networks SRX Series Gateway IDPS must send an immediate alert to, at a minimum, the Security Control Auditor (SCA) when malicious code is detected.</t>
        </r>
      </text>
    </comment>
    <comment ref="Q161" authorId="0" shapeId="0" xr:uid="{00000000-0006-0000-0400-0000DB000000}">
      <text>
        <r>
          <rPr>
            <sz val="11"/>
            <rFont val="Calibri"/>
          </rPr>
          <t>The Juniper SRX Services Gateway must generate an immediate system alert message to the management console when a log processing failure is detected.</t>
        </r>
      </text>
    </comment>
    <comment ref="R161" authorId="0" shapeId="0" xr:uid="{00000000-0006-0000-0400-0000DC000000}">
      <text>
        <r>
          <rPr>
            <sz val="11"/>
            <rFont val="Calibri"/>
          </rPr>
          <t>For local accounts, the Juniper SRX Services Gateway must generate an alert message to the management console and generate a log event record that can be forwarded to the ISSO and designated system administrators when local accounts are created.</t>
        </r>
      </text>
    </comment>
    <comment ref="S161" authorId="0" shapeId="0" xr:uid="{00000000-0006-0000-0400-0000DD000000}">
      <text>
        <r>
          <rPr>
            <sz val="11"/>
            <rFont val="Calibri"/>
          </rPr>
          <t>The Juniper SRX Services Gateway must generate an alert message to the management console and generate a log event record that can be forwarded to the ISSO and designated system administrators when the local accounts (i.e., the account of last resort or root account) are modified.</t>
        </r>
      </text>
    </comment>
    <comment ref="T161" authorId="0" shapeId="0" xr:uid="{00000000-0006-0000-0400-0000DE000000}">
      <text>
        <r>
          <rPr>
            <sz val="11"/>
            <rFont val="Calibri"/>
          </rPr>
          <t>The Juniper SRX Services Gateway must generate an alert message to the management console and generate a log event record that can be forwarded to the ISSO and designated system administrators when accounts are disabled.</t>
        </r>
      </text>
    </comment>
    <comment ref="U161" authorId="0" shapeId="0" xr:uid="{00000000-0006-0000-0400-0000DF000000}">
      <text>
        <r>
          <rPr>
            <sz val="11"/>
            <rFont val="Calibri"/>
          </rPr>
          <t>The Juniper SRX Services Gateway must generate an immediate alert message to the management console for account enabling actions.</t>
        </r>
      </text>
    </comment>
    <comment ref="V161" authorId="0" shapeId="0" xr:uid="{00000000-0006-0000-0400-0000E0000000}">
      <text>
        <r>
          <rPr>
            <sz val="11"/>
            <rFont val="Calibri"/>
          </rPr>
          <t>The Juniper SRX Services Gateway must detect the addition of components and issue a priority 1 alert to the ISSM and SA, at a minimum.</t>
        </r>
      </text>
    </comment>
    <comment ref="W161" authorId="0" shapeId="0" xr:uid="{00000000-0006-0000-0400-0000E1000000}">
      <text>
        <r>
          <rPr>
            <sz val="11"/>
            <rFont val="Calibri"/>
          </rPr>
          <t>The Juniper SRX Services Gateway must generate an alarm or send an alert message to the management console when a component failure is detected.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Juniper SRX Services Gateway Firewall must terminate all communications sessions associated with user traffic after 15 minutes or less of inactivity.</t>
        </r>
      </text>
    </comment>
    <comment ref="I2" authorId="0" shapeId="0" xr:uid="{00000000-0006-0000-0500-000006000000}">
      <text>
        <r>
          <rPr>
            <sz val="11"/>
            <rFont val="Calibri"/>
          </rPr>
          <t>The Juniper SRX Services Gateway VPN must terminate all network connections associated with a communications session at the end of the session.</t>
        </r>
      </text>
    </comment>
    <comment ref="J2" authorId="0" shapeId="0" xr:uid="{00000000-0006-0000-0500-000002000000}">
      <text>
        <r>
          <rPr>
            <sz val="11"/>
            <rFont val="Calibri"/>
          </rPr>
          <t>For local accounts created on the device, the Juniper SRX Services Gateway must enforce the limit of three consecutive invalid logon attempts by a user during a 15-minute time period.</t>
        </r>
      </text>
    </comment>
    <comment ref="K2" authorId="0" shapeId="0" xr:uid="{00000000-0006-0000-0500-000003000000}">
      <text>
        <r>
          <rPr>
            <sz val="11"/>
            <rFont val="Calibri"/>
          </rPr>
          <t>The Juniper SRX Services Gateway must terminate a device management session after 10 minutes of inactivity, except to fulfill documented and validated mission requirements.</t>
        </r>
      </text>
    </comment>
    <comment ref="L2" authorId="0" shapeId="0" xr:uid="{00000000-0006-0000-0500-000004000000}">
      <text>
        <r>
          <rPr>
            <sz val="11"/>
            <rFont val="Calibri"/>
          </rPr>
          <t>The Juniper SRX Services Gateway must terminate a device management session if the keep-alive count is exceeded.</t>
        </r>
      </text>
    </comment>
    <comment ref="M2" authorId="0" shapeId="0" xr:uid="{00000000-0006-0000-0500-000005000000}">
      <text>
        <r>
          <rPr>
            <sz val="11"/>
            <rFont val="Calibri"/>
          </rPr>
          <t>The Juniper SRX Services Gateway must automatically terminate a network administrator session after organization-defined conditions or trigger events requiring session disconnect.</t>
        </r>
      </text>
    </comment>
    <comment ref="H4" authorId="0" shapeId="0" xr:uid="{00000000-0006-0000-0500-000007000000}">
      <text>
        <r>
          <rPr>
            <sz val="11"/>
            <rFont val="Calibri"/>
          </rPr>
          <t>The Juniper SRX Services Gateway Firewall must continuously monitor all inbound communications traffic for unusual/unauthorized activities or conditions.</t>
        </r>
      </text>
    </comment>
    <comment ref="I4" authorId="0" shapeId="0" xr:uid="{00000000-0006-0000-0500-000018000000}">
      <text>
        <r>
          <rPr>
            <sz val="11"/>
            <rFont val="Calibri"/>
          </rPr>
          <t>The Juniper SRX Services Gateway Firewall must continuously monitor outbound communications traffic for unusual/unauthorized activities or conditions.</t>
        </r>
      </text>
    </comment>
    <comment ref="J4" authorId="0" shapeId="0" xr:uid="{00000000-0006-0000-0500-000019000000}">
      <text>
        <r>
          <rPr>
            <sz val="11"/>
            <rFont val="Calibri"/>
          </rPr>
          <t>The Juniper Networks SRX Series Gateway IDPS must provide audit record generation capability for detecting events based on implementation of policy filters, rules, and signatures.</t>
        </r>
      </text>
    </comment>
    <comment ref="K4" authorId="0" shapeId="0" xr:uid="{00000000-0006-0000-0500-00001A000000}">
      <text>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text>
    </comment>
    <comment ref="L4" authorId="0" shapeId="0" xr:uid="{00000000-0006-0000-0500-00001B000000}">
      <text>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text>
    </comment>
    <comment ref="M4" authorId="0" shapeId="0" xr:uid="{00000000-0006-0000-0500-00001C000000}">
      <text>
        <r>
          <rPr>
            <sz val="11"/>
            <rFont val="Calibri"/>
          </rPr>
          <t>The Juniper Networks SRX Series Gateway IDPS must provide audit record generation with a configurable severity and escalation level capability.</t>
        </r>
      </text>
    </comment>
    <comment ref="N4" authorId="0" shapeId="0" xr:uid="{00000000-0006-0000-0500-000008000000}">
      <text>
        <r>
          <rPr>
            <sz val="11"/>
            <rFont val="Calibri"/>
          </rPr>
          <t>The Juniper Networks SRX Series Gateway IDPS must detect, at a minimum, mobile code that is unsigned or exhibiting unusual behavior, has not undergone a risk assessment, or is prohibited for use based on a risk assessment.</t>
        </r>
      </text>
    </comment>
    <comment ref="O4" authorId="0" shapeId="0" xr:uid="{00000000-0006-0000-0500-000009000000}">
      <text>
        <r>
          <rPr>
            <sz val="11"/>
            <rFont val="Calibri"/>
          </rPr>
          <t>The Juniper Networks SRX Series Gateway IDPS must block any prohibited mobile code at the enclave boundary when it is detected.</t>
        </r>
      </text>
    </comment>
    <comment ref="P4" authorId="0" shapeId="0" xr:uid="{00000000-0006-0000-0500-00000A000000}">
      <text>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text>
    </comment>
    <comment ref="Q4" authorId="0" shapeId="0" xr:uid="{00000000-0006-0000-0500-00000B000000}">
      <text>
        <r>
          <rPr>
            <sz val="11"/>
            <rFont val="Calibri"/>
          </rPr>
          <t>To protect against unauthorized data mining, the Juniper Networks SRX Series Gateway IDPS must prevent code injection attacks launched against data storage objects, including, at a minimum, databases, database records, queries, and fields.</t>
        </r>
      </text>
    </comment>
    <comment ref="R4" authorId="0" shapeId="0" xr:uid="{00000000-0006-0000-0500-00000C000000}">
      <text>
        <r>
          <rPr>
            <sz val="11"/>
            <rFont val="Calibri"/>
          </rPr>
          <t>To protect against unauthorized data mining, the Juniper Networks SRX Series Gateway IDPS must prevent code injection attacks launched against application objects, including, at a minimum, application URLs and application code.</t>
        </r>
      </text>
    </comment>
    <comment ref="S4" authorId="0" shapeId="0" xr:uid="{00000000-0006-0000-0500-00000D000000}">
      <text>
        <r>
          <rPr>
            <sz val="11"/>
            <rFont val="Calibri"/>
          </rPr>
          <t>To protect against unauthorized data mining, the Juniper Networks SRX Series Gateway IDPS must prevent SQL injection attacks launched against data storage objects, including, at a minimum, databases, database records, and database fields.</t>
        </r>
      </text>
    </comment>
    <comment ref="T4" authorId="0" shapeId="0" xr:uid="{00000000-0006-0000-0500-00000E000000}">
      <text>
        <r>
          <rPr>
            <sz val="11"/>
            <rFont val="Calibri"/>
          </rPr>
          <t>To protect against unauthorized data mining, the Juniper Networks SRX Series Gateway IDPS must detect code injection attacks launched against data storage objects, including, at a minimum, databases, database records, queries, and fields.</t>
        </r>
      </text>
    </comment>
    <comment ref="U4" authorId="0" shapeId="0" xr:uid="{00000000-0006-0000-0500-00000F000000}">
      <text>
        <r>
          <rPr>
            <sz val="11"/>
            <rFont val="Calibri"/>
          </rPr>
          <t>To protect against unauthorized data mining, the Juniper Networks SRX Series Gateway IDPS must detect code injection attacks launched against application objects, including, at a minimum, application URLs and application code.</t>
        </r>
      </text>
    </comment>
    <comment ref="V4" authorId="0" shapeId="0" xr:uid="{00000000-0006-0000-0500-000010000000}">
      <text>
        <r>
          <rPr>
            <sz val="11"/>
            <rFont val="Calibri"/>
          </rPr>
          <t>To protect against unauthorized data mining, the Juniper Networks SRX Series Gateway IDPS must detect SQL injection attacks launched against data storage objects, including, at a minimum, databases, database records, and database fields.</t>
        </r>
      </text>
    </comment>
    <comment ref="W4" authorId="0" shapeId="0" xr:uid="{00000000-0006-0000-0500-000011000000}">
      <text>
        <r>
          <rPr>
            <sz val="11"/>
            <rFont val="Calibri"/>
          </rPr>
          <t>The Juniper Networks SRX Series Gateway IDPS must automatically install updates to signature definitions.</t>
        </r>
      </text>
    </comment>
    <comment ref="X4" authorId="0" shapeId="0" xr:uid="{00000000-0006-0000-0500-000012000000}">
      <text>
        <r>
          <rPr>
            <sz val="11"/>
            <rFont val="Calibri"/>
          </rPr>
          <t>The Juniper Networks SRX Series Gateway IDPS must perform real-time monitoring of files from external sources at network entry/exit points.</t>
        </r>
      </text>
    </comment>
    <comment ref="Y4" authorId="0" shapeId="0" xr:uid="{00000000-0006-0000-0500-000013000000}">
      <text>
        <r>
          <rPr>
            <sz val="11"/>
            <rFont val="Calibri"/>
          </rPr>
          <t>The Juniper Networks SRX Series Gateway IDPS must drop packets or disconnect the connection when malicious code is detected.</t>
        </r>
      </text>
    </comment>
    <comment ref="Z4" authorId="0" shapeId="0" xr:uid="{00000000-0006-0000-0500-000014000000}">
      <text>
        <r>
          <rPr>
            <sz val="11"/>
            <rFont val="Calibri"/>
          </rPr>
          <t>The Juniper Networks SRX Series Gateway IDPS must have only active Juniper Networks licenses.</t>
        </r>
      </text>
    </comment>
    <comment ref="AA4" authorId="0" shapeId="0" xr:uid="{00000000-0006-0000-0500-000015000000}">
      <text>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text>
    </comment>
    <comment ref="AB4" authorId="0" shapeId="0" xr:uid="{00000000-0006-0000-0500-000016000000}">
      <text>
        <r>
          <rPr>
            <sz val="11"/>
            <rFont val="Calibri"/>
          </rPr>
          <t>The Juniper SRX Services Gateway VPN device also fulfills the role of IDPS in the architecture, the device must inspect the VPN traffic in compliance with DoD IDPS requirements.</t>
        </r>
      </text>
    </comment>
    <comment ref="AC4" authorId="0" shapeId="0" xr:uid="{00000000-0006-0000-0500-000017000000}">
      <text>
        <r>
          <rPr>
            <sz val="11"/>
            <rFont val="Calibri"/>
          </rPr>
          <t>If IDPS inspection is performed separately from the Juniper SRX Services Gateway VPN device, the VPN must route sessions to an IDPS for inspection.</t>
        </r>
      </text>
    </comment>
    <comment ref="H7" authorId="0" shapeId="0" xr:uid="{00000000-0006-0000-0500-00001D000000}">
      <text>
        <r>
          <rPr>
            <sz val="11"/>
            <rFont val="Calibri"/>
          </rPr>
          <t>The Juniper SRX Services Gateway must generate log records when firewall filters, security screens and security policies are invoked and the traffic is denied or restricted.</t>
        </r>
      </text>
    </comment>
    <comment ref="I7" authorId="0" shapeId="0" xr:uid="{00000000-0006-0000-0500-00001E000000}">
      <text>
        <r>
          <rPr>
            <sz val="11"/>
            <rFont val="Calibri"/>
          </rPr>
          <t>The Juniper SRX Services Gateway Firewall must generate audit records when unsuccessful attempts to access security zones occur.</t>
        </r>
      </text>
    </comment>
    <comment ref="J7" authorId="0" shapeId="0" xr:uid="{00000000-0006-0000-0500-00001F000000}">
      <text>
        <r>
          <rPr>
            <sz val="11"/>
            <rFont val="Calibri"/>
          </rPr>
          <t>The Juniper SRX Services Gateway Firewall must be configured to support centralized management and configuration of the audit log.</t>
        </r>
      </text>
    </comment>
    <comment ref="K7" authorId="0" shapeId="0" xr:uid="{00000000-0006-0000-0500-000020000000}">
      <text>
        <r>
          <rPr>
            <sz val="11"/>
            <rFont val="Calibri"/>
          </rPr>
          <t>In the event that communications with the Syslog server is lost, the Juniper SRX Services Gateway must continue to queue traffic log records locally.</t>
        </r>
      </text>
    </comment>
    <comment ref="L7" authorId="0" shapeId="0" xr:uid="{00000000-0006-0000-0500-000021000000}">
      <text>
        <r>
          <rPr>
            <sz val="11"/>
            <rFont val="Calibri"/>
          </rPr>
          <t>The Juniper Networks SRX Series Gateway IDPS must provide audit record generation capability for detecting events based on implementation of policy filters, rules, and signatures.</t>
        </r>
      </text>
    </comment>
    <comment ref="M7" authorId="0" shapeId="0" xr:uid="{00000000-0006-0000-0500-000022000000}">
      <text>
        <r>
          <rPr>
            <sz val="11"/>
            <rFont val="Calibri"/>
          </rPr>
          <t>The Juniper Networks SRX Series Gateway IDPS must provide audit record generation with a configurable severity and escalation level capability.</t>
        </r>
      </text>
    </comment>
    <comment ref="N7" authorId="0" shapeId="0" xr:uid="{00000000-0006-0000-0500-000023000000}">
      <text>
        <r>
          <rPr>
            <sz val="11"/>
            <rFont val="Calibri"/>
          </rPr>
          <t>The Juniper SRX Services Gateway must generate log records when successful attempts to configure the device and use commands occur.</t>
        </r>
      </text>
    </comment>
    <comment ref="O7" authorId="0" shapeId="0" xr:uid="{00000000-0006-0000-0500-000024000000}">
      <text>
        <r>
          <rPr>
            <sz val="11"/>
            <rFont val="Calibri"/>
          </rPr>
          <t>The Juniper SRX Services Gateway must generate log records when changes are made to administrator privileges.</t>
        </r>
      </text>
    </comment>
    <comment ref="P7" authorId="0" shapeId="0" xr:uid="{00000000-0006-0000-0500-000025000000}">
      <text>
        <r>
          <rPr>
            <sz val="11"/>
            <rFont val="Calibri"/>
          </rPr>
          <t>The Juniper SRX Services Gateway must generate log records when administrator privileges are deleted.</t>
        </r>
      </text>
    </comment>
    <comment ref="Q7" authorId="0" shapeId="0" xr:uid="{00000000-0006-0000-0500-000026000000}">
      <text>
        <r>
          <rPr>
            <sz val="11"/>
            <rFont val="Calibri"/>
          </rPr>
          <t>The Juniper SRX Services Gateway must generate log records when logon events occur.</t>
        </r>
      </text>
    </comment>
    <comment ref="R7" authorId="0" shapeId="0" xr:uid="{00000000-0006-0000-0500-000027000000}">
      <text>
        <r>
          <rPr>
            <sz val="11"/>
            <rFont val="Calibri"/>
          </rPr>
          <t>The Juniper SRX Services Gateway must generate log records when privileged commands are executed.</t>
        </r>
      </text>
    </comment>
    <comment ref="S7" authorId="0" shapeId="0" xr:uid="{00000000-0006-0000-0500-000028000000}">
      <text>
        <r>
          <rPr>
            <sz val="11"/>
            <rFont val="Calibri"/>
          </rPr>
          <t>The Juniper SRX Services Gateway must generate log records when concurrent logons from different workstations occur.</t>
        </r>
      </text>
    </comment>
    <comment ref="T7" authorId="0" shapeId="0" xr:uid="{00000000-0006-0000-0500-000029000000}">
      <text>
        <r>
          <rPr>
            <sz val="11"/>
            <rFont val="Calibri"/>
          </rPr>
          <t>The Juniper SRX Services Gateway must generate log records containing the full-text recording of privileged commands.</t>
        </r>
      </text>
    </comment>
    <comment ref="U7" authorId="0" shapeId="0" xr:uid="{00000000-0006-0000-0500-00002A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V7" authorId="0" shapeId="0" xr:uid="{00000000-0006-0000-0500-00002B000000}">
      <text>
        <r>
          <rPr>
            <sz val="11"/>
            <rFont val="Calibri"/>
          </rPr>
          <t>The Juniper SRX Services Gateway must record time stamps for log records using Coordinated Universal Time (UTC).</t>
        </r>
      </text>
    </comment>
    <comment ref="W7" authorId="0" shapeId="0" xr:uid="{00000000-0006-0000-0500-00002C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X7" authorId="0" shapeId="0" xr:uid="{00000000-0006-0000-0500-00002D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Y7" authorId="0" shapeId="0" xr:uid="{00000000-0006-0000-0500-00002E000000}">
      <text>
        <r>
          <rPr>
            <sz val="11"/>
            <rFont val="Calibri"/>
          </rPr>
          <t>In the event that communications with the events server is lost, the Juniper SRX Services Gateway must continue to queue log records locally.</t>
        </r>
      </text>
    </comment>
    <comment ref="Z7" authorId="0" shapeId="0" xr:uid="{00000000-0006-0000-0500-00002F000000}">
      <text>
        <r>
          <rPr>
            <sz val="11"/>
            <rFont val="Calibri"/>
          </rPr>
          <t>The Juniper SRX Services Gateway must be configured to use a centralized authentication server to authenticate privileged users for remote and nonlocal access for device management.</t>
        </r>
      </text>
    </comment>
    <comment ref="H14" authorId="0" shapeId="0" xr:uid="{00000000-0006-0000-0500-000030000000}">
      <text>
        <r>
          <rPr>
            <sz val="11"/>
            <rFont val="Calibri"/>
          </rPr>
          <t>The Juniper SRX Services Gateway Firewall must disable or remove unnecessary network services and functions that are not used as part of its role in the architecture.</t>
        </r>
      </text>
    </comment>
    <comment ref="I14" authorId="0" shapeId="0" xr:uid="{00000000-0006-0000-0500-000031000000}">
      <text>
        <r>
          <rPr>
            <sz val="11"/>
            <rFont val="Calibri"/>
          </rPr>
          <t>The Juniper SRX Services Gateway Firewall must not be configured as an NTP server since providing this network service is unrelated to the role as a firewall.</t>
        </r>
      </text>
    </comment>
    <comment ref="J14" authorId="0" shapeId="0" xr:uid="{00000000-0006-0000-0500-000032000000}">
      <text>
        <r>
          <rPr>
            <sz val="11"/>
            <rFont val="Calibri"/>
          </rPr>
          <t>The Juniper SRX Services Gateway Firewall must not be configured as a DNS proxy since providing this network service is unrelated to the role as a Firewall.</t>
        </r>
      </text>
    </comment>
    <comment ref="K14" authorId="0" shapeId="0" xr:uid="{00000000-0006-0000-0500-000033000000}">
      <text>
        <r>
          <rPr>
            <sz val="11"/>
            <rFont val="Calibri"/>
          </rPr>
          <t>The Juniper SRX Services Gateway Firewall must not be configured as a DHCP server since providing this network service is unrelated to the role as a Firewall.</t>
        </r>
      </text>
    </comment>
    <comment ref="L14" authorId="0" shapeId="0" xr:uid="{00000000-0006-0000-0500-000034000000}">
      <text>
        <r>
          <rPr>
            <sz val="11"/>
            <rFont val="Calibri"/>
          </rPr>
          <t>The Juniper SRX Services Gateway must disable or remove unnecessary network services and functions that are not used as part of its role in the architecture.</t>
        </r>
      </text>
    </comment>
    <comment ref="M14" authorId="0" shapeId="0" xr:uid="{00000000-0006-0000-0500-000035000000}">
      <text>
        <r>
          <rPr>
            <sz val="11"/>
            <rFont val="Calibri"/>
          </rPr>
          <t>The Juniper SRX Services Gateway must be configured to prohibit the use of unnecessary and/or nonsecure functions, ports, protocols, and/or services, as defined in the PPSM CAL and vulnerability assessments.</t>
        </r>
      </text>
    </comment>
    <comment ref="N14" authorId="0" shapeId="0" xr:uid="{00000000-0006-0000-0500-000036000000}">
      <text>
        <r>
          <rPr>
            <sz val="11"/>
            <rFont val="Calibri"/>
          </rPr>
          <t>For nonlocal maintenance sessions, the Juniper SRX Services Gateway must remove or explicitly deny the use of nonsecure protocols.</t>
        </r>
      </text>
    </comment>
    <comment ref="O14" authorId="0" shapeId="0" xr:uid="{00000000-0006-0000-0500-000037000000}">
      <text>
        <r>
          <rPr>
            <sz val="11"/>
            <rFont val="Calibri"/>
          </rPr>
          <t>The Juniper SRX Services Gateway must ensure access to start a UNIX-level shell is restricted to only the root account.</t>
        </r>
      </text>
    </comment>
    <comment ref="P14" authorId="0" shapeId="0" xr:uid="{00000000-0006-0000-0500-000038000000}">
      <text>
        <r>
          <rPr>
            <sz val="11"/>
            <rFont val="Calibri"/>
          </rPr>
          <t>For nonlocal maintenance sessions, the Juniper SRX Services Gateway must ensure only zones where management functionality is desired have host-inbound-traffic system-services configured.</t>
        </r>
      </text>
    </comment>
    <comment ref="Q14" authorId="0" shapeId="0" xr:uid="{00000000-0006-0000-0500-000039000000}">
      <text>
        <r>
          <rPr>
            <sz val="11"/>
            <rFont val="Calibri"/>
          </rPr>
          <t>For nonlocal maintenance sessions, the Juniper SRX Services Gateway must explicitly deny the use of J-Web.</t>
        </r>
      </text>
    </comment>
    <comment ref="H16" authorId="0" shapeId="0" xr:uid="{00000000-0006-0000-0500-00003A000000}">
      <text>
        <r>
          <rPr>
            <sz val="11"/>
            <rFont val="Calibri"/>
          </rPr>
          <t>The Juniper SRX Services Gateway VPN must renegotiate the IPsec security association after 8 hours or less.</t>
        </r>
      </text>
    </comment>
    <comment ref="I16" authorId="0" shapeId="0" xr:uid="{00000000-0006-0000-0500-00003B000000}">
      <text>
        <r>
          <rPr>
            <sz val="11"/>
            <rFont val="Calibri"/>
          </rPr>
          <t>The Juniper SRX Services Gateway VPN must renegotiate the IKE security association after 24 hours or less.</t>
        </r>
      </text>
    </comment>
    <comment ref="J16" authorId="0" shapeId="0" xr:uid="{00000000-0006-0000-0500-00003C000000}">
      <text>
        <r>
          <rPr>
            <sz val="11"/>
            <rFont val="Calibri"/>
          </rPr>
          <t>The Juniper SRX Services Gateway VPN must use AES256 for the IPsec proposal to protect the confidentiality of remote access sessions.</t>
        </r>
      </text>
    </comment>
    <comment ref="K16" authorId="0" shapeId="0" xr:uid="{00000000-0006-0000-0500-00003D000000}">
      <text>
        <r>
          <rPr>
            <sz val="11"/>
            <rFont val="Calibri"/>
          </rPr>
          <t>The Juniper SRX Services Gateway VPN must use AES256 encryption for the Internet Key Exchange (IKE) proposal to protect the confidentiality of remote access sessions.</t>
        </r>
      </text>
    </comment>
    <comment ref="L16" authorId="0" shapeId="0" xr:uid="{00000000-0006-0000-0500-00003E000000}">
      <text>
        <r>
          <rPr>
            <sz val="11"/>
            <rFont val="Calibri"/>
          </rPr>
          <t>The Juniper SRX Services Gateway VPN must be configured to use Diffie-Hellman (DH) group 15 or higher.</t>
        </r>
      </text>
    </comment>
    <comment ref="M16" authorId="0" shapeId="0" xr:uid="{00000000-0006-0000-0500-00003F000000}">
      <text>
        <r>
          <rPr>
            <sz val="11"/>
            <rFont val="Calibri"/>
          </rPr>
          <t>The Juniper SRX Services Gateway VPN must be configured to use IPsec with SHA256 or greater to negotiate hashing to protect the integrity of remote access sessions.</t>
        </r>
      </text>
    </comment>
    <comment ref="N16" authorId="0" shapeId="0" xr:uid="{00000000-0006-0000-0500-000040000000}">
      <text>
        <r>
          <rPr>
            <sz val="11"/>
            <rFont val="Calibri"/>
          </rPr>
          <t>The Juniper SRX Services Gateway VPN must use Internet Key Exchange (IKE) for IPsec VPN Security Associations (SAs).</t>
        </r>
      </text>
    </comment>
    <comment ref="O16" authorId="0" shapeId="0" xr:uid="{00000000-0006-0000-0500-000041000000}">
      <text>
        <r>
          <rPr>
            <sz val="11"/>
            <rFont val="Calibri"/>
          </rPr>
          <t>The Juniper SRX Services Gateway VPN must not accept certificates that have been revoked when using PKI for authentication.</t>
        </r>
      </text>
    </comment>
    <comment ref="P16" authorId="0" shapeId="0" xr:uid="{00000000-0006-0000-0500-000042000000}">
      <text>
        <r>
          <rPr>
            <sz val="11"/>
            <rFont val="Calibri"/>
          </rPr>
          <t>The Juniper SRX Services Gateway VPN must specify Perfect Forward Secrecy (PFS).</t>
        </r>
      </text>
    </comment>
    <comment ref="Q16" authorId="0" shapeId="0" xr:uid="{00000000-0006-0000-0500-000043000000}">
      <text>
        <r>
          <rPr>
            <sz val="11"/>
            <rFont val="Calibri"/>
          </rPr>
          <t>The Juniper SRX Services Gateway VPN must use Encapsulating Security Payload (ESP) in tunnel mode.</t>
        </r>
      </text>
    </comment>
    <comment ref="R16" authorId="0" shapeId="0" xr:uid="{00000000-0006-0000-0500-000044000000}">
      <text>
        <r>
          <rPr>
            <sz val="11"/>
            <rFont val="Calibri"/>
          </rPr>
          <t>The Juniper SRX Services Gateway VPN must use IKEv2 for IPsec VPN security associations.</t>
        </r>
      </text>
    </comment>
    <comment ref="S16" authorId="0" shapeId="0" xr:uid="{00000000-0006-0000-0500-000045000000}">
      <text>
        <r>
          <rPr>
            <sz val="11"/>
            <rFont val="Calibri"/>
          </rPr>
          <t>The Juniper SRX Services Gateway VPN must use multifactor authentication (e.g., DoD PKI) for network access to non-privileged accounts.</t>
        </r>
      </text>
    </comment>
    <comment ref="T16" authorId="0" shapeId="0" xr:uid="{00000000-0006-0000-0500-000046000000}">
      <text>
        <r>
          <rPr>
            <sz val="11"/>
            <rFont val="Calibri"/>
          </rPr>
          <t>The Juniper SRX Services Gateway VPN Internet Key Exchange (IKE) must be configured to use an approved Commercial Solution for Classified (CSfC) when transporting classified traffic across an unclassified network.</t>
        </r>
      </text>
    </comment>
    <comment ref="U16" authorId="0" shapeId="0" xr:uid="{00000000-0006-0000-0500-000047000000}">
      <text>
        <r>
          <rPr>
            <sz val="11"/>
            <rFont val="Calibri"/>
          </rPr>
          <t>The Juniper SRX Services Gateway VPN IKE must use NIST FIPS-validated cryptography to implement encryption services for unclassified VPN traffic.</t>
        </r>
      </text>
    </comment>
    <comment ref="V16" authorId="0" shapeId="0" xr:uid="{00000000-0006-0000-0500-000048000000}">
      <text>
        <r>
          <rPr>
            <sz val="11"/>
            <rFont val="Calibri"/>
          </rPr>
          <t>The Juniper SRX Services Gateway VPN must configure Internet Key Exchange (IKE) with SHA1 or greater to protect the authenticity of communications sessions.</t>
        </r>
      </text>
    </comment>
    <comment ref="W16" authorId="0" shapeId="0" xr:uid="{00000000-0006-0000-0500-000049000000}">
      <text>
        <r>
          <rPr>
            <sz val="11"/>
            <rFont val="Calibri"/>
          </rPr>
          <t>The Juniper SRX Services Gateway VPN must only allow the use of DoD PKI established certificate authorities for verification of the establishment of protected sessions.</t>
        </r>
      </text>
    </comment>
    <comment ref="X16" authorId="0" shapeId="0" xr:uid="{00000000-0006-0000-0500-00004A000000}">
      <text>
        <r>
          <rPr>
            <sz val="11"/>
            <rFont val="Calibri"/>
          </rPr>
          <t>The Juniper SRX Services Gateway VPN must use anti-replay mechanisms for security associations.</t>
        </r>
      </text>
    </comment>
    <comment ref="Y16" authorId="0" shapeId="0" xr:uid="{00000000-0006-0000-0500-00004B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Z16" authorId="0" shapeId="0" xr:uid="{00000000-0006-0000-0500-00004C000000}">
      <text>
        <r>
          <rPr>
            <sz val="11"/>
            <rFont val="Calibri"/>
          </rPr>
          <t>The Juniper SRX Services Gateway must use SSHv2 with privacy options to protect the confidentiality of maintenance and diagnostic communications for nonlocal maintenance sessions using SSH.</t>
        </r>
      </text>
    </comment>
    <comment ref="H20" authorId="0" shapeId="0" xr:uid="{00000000-0006-0000-0500-00004D000000}">
      <text>
        <r>
          <rPr>
            <sz val="11"/>
            <rFont val="Calibri"/>
          </rPr>
          <t>The Juniper SRX Services Gateway Firewall providing content filtering must protect against known and unknown types of denial-of-service (DoS) attacks by implementing statistics-based screens.</t>
        </r>
      </text>
    </comment>
    <comment ref="I20" authorId="0" shapeId="0" xr:uid="{00000000-0006-0000-0500-00004E000000}">
      <text>
        <r>
          <rPr>
            <sz val="11"/>
            <rFont val="Calibri"/>
          </rPr>
          <t>The Juniper SRX Services Gateway Firewall must implement load balancing on the perimeter firewall, at a minimum, to limit the effects of known and unknown types of denial-of-service (DoS) attacks on the network.</t>
        </r>
      </text>
    </comment>
    <comment ref="J20" authorId="0" shapeId="0" xr:uid="{00000000-0006-0000-0500-00004F000000}">
      <text>
        <r>
          <rPr>
            <sz val="11"/>
            <rFont val="Calibri"/>
          </rPr>
          <t>The Juniper SRX Services Gateway Firewall must protect against known types of denial-of-service (DoS) attacks by implementing signature-based screens.</t>
        </r>
      </text>
    </comment>
    <comment ref="K20" authorId="0" shapeId="0" xr:uid="{00000000-0006-0000-0500-000050000000}">
      <text>
        <r>
          <rPr>
            <sz val="11"/>
            <rFont val="Calibri"/>
          </rPr>
          <t>The Juniper SRX Services Gateway Firewall must block outbound traffic containing known and unknown denial-of-service (DoS) attacks to protect against the use of internal information systems to launch any DoS attacks against other networks or endpoints.</t>
        </r>
      </text>
    </comment>
    <comment ref="L20" authorId="0" shapeId="0" xr:uid="{00000000-0006-0000-0500-000051000000}">
      <text>
        <r>
          <rPr>
            <sz val="11"/>
            <rFont val="Calibri"/>
          </rPr>
          <t>The Juniper SRX Services Gateway Firewall must only allow inbound communications from organization-defined authorized sources routed to organization-defined authorized destinations.</t>
        </r>
      </text>
    </comment>
    <comment ref="M20" authorId="0" shapeId="0" xr:uid="{00000000-0006-0000-0500-000052000000}">
      <text>
        <r>
          <rPr>
            <sz val="11"/>
            <rFont val="Calibri"/>
          </rPr>
          <t>The Juniper SRX Services Gateway Firewall must deny network communications traffic by default and allow network communications traffic by exception (i.e., deny all, permit by exception).</t>
        </r>
      </text>
    </comment>
    <comment ref="N20" authorId="0" shapeId="0" xr:uid="{00000000-0006-0000-0500-000053000000}">
      <text>
        <r>
          <rPr>
            <sz val="11"/>
            <rFont val="Calibri"/>
          </rPr>
          <t>The Juniper SRX Services Gateway Firewall must configure ICMP to meet DoD requirements.</t>
        </r>
      </text>
    </comment>
    <comment ref="O20" authorId="0" shapeId="0" xr:uid="{00000000-0006-0000-0500-000054000000}">
      <text>
        <r>
          <rPr>
            <sz val="11"/>
            <rFont val="Calibri"/>
          </rPr>
          <t>The Juniper Networks SRX Series Gateway IDPS must block outbound traffic containing known and unknown DoS attacks by ensuring that rules are applied to outbound communications traffic.</t>
        </r>
      </text>
    </comment>
    <comment ref="P20" authorId="0" shapeId="0" xr:uid="{00000000-0006-0000-0500-000055000000}">
      <text>
        <r>
          <rPr>
            <sz val="11"/>
            <rFont val="Calibri"/>
          </rPr>
          <t>The Juniper Networks SRX Series Gateway IDPS must block outbound traffic containing known and unknown DoS attacks by ensuring that signature-based objects are applied to outbound communications traffic.</t>
        </r>
      </text>
    </comment>
    <comment ref="Q20" authorId="0" shapeId="0" xr:uid="{00000000-0006-0000-0500-000056000000}">
      <text>
        <r>
          <rPr>
            <sz val="11"/>
            <rFont val="Calibri"/>
          </rPr>
          <t>The Juniper Networks SRX Series Gateway IDPS must block outbound traffic containing known and unknown DoS attacks by ensuring that anomaly-based attack objects are applied to outbound communications traffic.</t>
        </r>
      </text>
    </comment>
    <comment ref="R20" authorId="0" shapeId="0" xr:uid="{00000000-0006-0000-0500-000057000000}">
      <text>
        <r>
          <rPr>
            <sz val="11"/>
            <rFont val="Calibri"/>
          </rPr>
          <t>The Juniper Networks SRX Series Gateway IDPS must protect against or limit the effects of known and unknown types of Denial of Service (DoS) attacks by employing rate-based attack prevention behavior analysis.</t>
        </r>
      </text>
    </comment>
    <comment ref="S20" authorId="0" shapeId="0" xr:uid="{00000000-0006-0000-0500-000058000000}">
      <text>
        <r>
          <rPr>
            <sz val="11"/>
            <rFont val="Calibri"/>
          </rPr>
          <t>The Juniper Networks SRX Series Gateway IDPS must protect against or limit the effects of known and unknown types of Denial of Service (DoS) attacks by employing anomaly-based detection.</t>
        </r>
      </text>
    </comment>
    <comment ref="T20" authorId="0" shapeId="0" xr:uid="{00000000-0006-0000-0500-000059000000}">
      <text>
        <r>
          <rPr>
            <sz val="11"/>
            <rFont val="Calibri"/>
          </rPr>
          <t>The Juniper Networks SRX Series Gateway IDPS must protect against or limit the effects of known types of Denial of Service (DoS) attacks by employing signatures.</t>
        </r>
      </text>
    </comment>
    <comment ref="U20" authorId="0" shapeId="0" xr:uid="{00000000-0006-0000-0500-00005A000000}">
      <text>
        <r>
          <rPr>
            <sz val="11"/>
            <rFont val="Calibri"/>
          </rPr>
          <t>The Juniper SRX Services Gateway VPN must only allow incoming VPN communications from organization-defined authorized sources routed to organization-defined authorized destinations.</t>
        </r>
      </text>
    </comment>
    <comment ref="V20" authorId="0" shapeId="0" xr:uid="{00000000-0006-0000-0500-00005B000000}">
      <text>
        <r>
          <rPr>
            <sz val="11"/>
            <rFont val="Calibri"/>
          </rPr>
          <t>The Juniper SRX Services Gateway must configure the control plane to protect against or limit the effects of common types of Denial of Service (DoS) attacks on the device itself by configuring applicable system options and internet-options.</t>
        </r>
      </text>
    </comment>
    <comment ref="H21" authorId="0" shapeId="0" xr:uid="{00000000-0006-0000-0500-00005C000000}">
      <text>
        <r>
          <rPr>
            <sz val="11"/>
            <rFont val="Calibri"/>
          </rPr>
          <t>The Juniper SRX Services Gateway VPN must limit the number of concurrent sessions for user accounts to one (1) and administrative accounts to three (3), or set to an organization-defined number.</t>
        </r>
      </text>
    </comment>
    <comment ref="I21" authorId="0" shapeId="0" xr:uid="{00000000-0006-0000-0500-00005D000000}">
      <text>
        <r>
          <rPr>
            <sz val="11"/>
            <rFont val="Calibri"/>
          </rPr>
          <t>The Juniper SRX Services Gateway must limit the number of concurrent sessions to a maximum of 10 or less for remote access using SSH.</t>
        </r>
      </text>
    </comment>
    <comment ref="J21" authorId="0" shapeId="0" xr:uid="{00000000-0006-0000-0500-00005E000000}">
      <text>
        <r>
          <rPr>
            <sz val="11"/>
            <rFont val="Calibri"/>
          </rPr>
          <t>The Juniper SRX Services Gateway must limit the number of sessions per minute to an organization-defined number for SSH to protect remote access management from unauthorized access.</t>
        </r>
      </text>
    </comment>
    <comment ref="H24" authorId="0" shapeId="0" xr:uid="{00000000-0006-0000-0500-00005F000000}">
      <text>
        <r>
          <rPr>
            <sz val="11"/>
            <rFont val="Calibri"/>
          </rPr>
          <t>The Juniper SRX Services Gateway VPN must not accept certificates that have been revoked when using PKI for authentication.</t>
        </r>
      </text>
    </comment>
    <comment ref="I24" authorId="0" shapeId="0" xr:uid="{00000000-0006-0000-0500-000060000000}">
      <text>
        <r>
          <rPr>
            <sz val="11"/>
            <rFont val="Calibri"/>
          </rPr>
          <t>The Juniper SRX Services Gateway VPN must use multifactor authentication (e.g., DoD PKI) for network access to non-privileged accounts.</t>
        </r>
      </text>
    </comment>
    <comment ref="J24" authorId="0" shapeId="0" xr:uid="{00000000-0006-0000-0500-000061000000}">
      <text>
        <r>
          <rPr>
            <sz val="11"/>
            <rFont val="Calibri"/>
          </rPr>
          <t>The Juniper SRX Services Gateway VPN must only allow the use of DoD PKI established certificate authorities for verification of the establishment of protected sessions.</t>
        </r>
      </text>
    </comment>
    <comment ref="K24" authorId="0" shapeId="0" xr:uid="{00000000-0006-0000-0500-000062000000}">
      <text>
        <r>
          <rPr>
            <sz val="11"/>
            <rFont val="Calibri"/>
          </rPr>
          <t>The Juniper SRX Services Gateway must be configured to use an authentication server to centrally manage authentication and logon settings for remote and nonlocal access.</t>
        </r>
      </text>
    </comment>
    <comment ref="L24" authorId="0" shapeId="0" xr:uid="{00000000-0006-0000-0500-000063000000}">
      <text>
        <r>
          <rPr>
            <sz val="11"/>
            <rFont val="Calibri"/>
          </rPr>
          <t>The Juniper SRX Services Gateway must use DOD-approved PKI rather than proprietary or self-signed device certificates.</t>
        </r>
      </text>
    </comment>
    <comment ref="M24" authorId="0" shapeId="0" xr:uid="{00000000-0006-0000-0500-000064000000}">
      <text>
        <r>
          <rPr>
            <sz val="11"/>
            <rFont val="Calibri"/>
          </rPr>
          <t>The Juniper SRX Services Gateway must implement replay-resistant authentication mechanisms for network access to privileged accounts.</t>
        </r>
      </text>
    </comment>
    <comment ref="N24" authorId="0" shapeId="0" xr:uid="{00000000-0006-0000-0500-000065000000}">
      <text>
        <r>
          <rPr>
            <sz val="11"/>
            <rFont val="Calibri"/>
          </rPr>
          <t>The Juniper SRX Services Gateway must be configured to use an authentication server to centrally apply authentication and logon settings for remote and nonlocal access for device management.</t>
        </r>
      </text>
    </comment>
    <comment ref="O24" authorId="0" shapeId="0" xr:uid="{00000000-0006-0000-0500-000066000000}">
      <text>
        <r>
          <rPr>
            <sz val="11"/>
            <rFont val="Calibri"/>
          </rPr>
          <t>The Juniper SRX Services Gateway must specify the order in which authentication servers are used.</t>
        </r>
      </text>
    </comment>
    <comment ref="H25" authorId="0" shapeId="0" xr:uid="{00000000-0006-0000-0500-000067000000}">
      <text>
        <r>
          <rPr>
            <sz val="11"/>
            <rFont val="Calibri"/>
          </rPr>
          <t>The Juniper SRX Services Gateway must use and securely configure SNMPv3 if SNMP is enabled.</t>
        </r>
      </text>
    </comment>
    <comment ref="I25" authorId="0" shapeId="0" xr:uid="{00000000-0006-0000-0500-000068000000}">
      <text>
        <r>
          <rPr>
            <sz val="11"/>
            <rFont val="Calibri"/>
          </rPr>
          <t>For nonlocal maintenance sessions using SNMP, the Juniper SRX Services Gateway must use and securely configure SNMPv3 with SHA256 or higher to protect the integrity of maintenance and diagnostic communications.</t>
        </r>
      </text>
    </comment>
    <comment ref="J25" authorId="0" shapeId="0" xr:uid="{00000000-0006-0000-0500-000069000000}">
      <text>
        <r>
          <rPr>
            <sz val="11"/>
            <rFont val="Calibri"/>
          </rPr>
          <t>The Juniper SRX Services Gateway must securely configure SNMPv3 with privacy options to protect the confidentiality of nonlocal maintenance and diagnostic communications using SNMP.</t>
        </r>
      </text>
    </comment>
    <comment ref="H26" authorId="0" shapeId="0" xr:uid="{00000000-0006-0000-0500-00006A000000}">
      <text>
        <r>
          <rPr>
            <sz val="11"/>
            <rFont val="Calibri"/>
          </rPr>
          <t>The Juniper SRX Services Gateway Firewall must configure ICMP to meet DoD requirements.</t>
        </r>
      </text>
    </comment>
    <comment ref="I26" authorId="0" shapeId="0" xr:uid="{00000000-0006-0000-0500-00006B000000}">
      <text>
        <r>
          <rPr>
            <sz val="11"/>
            <rFont val="Calibri"/>
          </rPr>
          <t>The Juniper SRX Services Gateway VPN must uniquely identify and authenticate organizational users (or processes acting on behalf of organizational users).</t>
        </r>
      </text>
    </comment>
    <comment ref="J26" authorId="0" shapeId="0" xr:uid="{00000000-0006-0000-0500-00006C000000}">
      <text>
        <r>
          <rPr>
            <sz val="11"/>
            <rFont val="Calibri"/>
          </rPr>
          <t>The Juniper SRX Services Gateway VPN must uniquely identify and authenticate non-organizational users (or processes acting on behalf of non-organizational users).</t>
        </r>
      </text>
    </comment>
    <comment ref="K26" authorId="0" shapeId="0" xr:uid="{00000000-0006-0000-0500-00006D000000}">
      <text>
        <r>
          <rPr>
            <sz val="11"/>
            <rFont val="Calibri"/>
          </rPr>
          <t>If the loopback interface is used, the Juniper SRX Services Gateway must protect the loopback interface with firewall filters for known attacks that may exploit this interface.</t>
        </r>
      </text>
    </comment>
    <comment ref="L26" authorId="0" shapeId="0" xr:uid="{00000000-0006-0000-0500-00006E000000}">
      <text>
        <r>
          <rPr>
            <sz val="11"/>
            <rFont val="Calibri"/>
          </rPr>
          <t>The Juniper SRX Services Gateway must implement service redundancy to protect against or limit the effects of common types of Denial of Service (DoS) attacks on the device itself.</t>
        </r>
      </text>
    </comment>
    <comment ref="H31" authorId="0" shapeId="0" xr:uid="{00000000-0006-0000-0500-00006F000000}">
      <text>
        <r>
          <rPr>
            <sz val="11"/>
            <rFont val="Calibri"/>
          </rPr>
          <t>For User Role Firewalls, the Juniper SRX Services Gateway Firewall must employ user attribute-based security policies to enforce approved authorizations for logical access to information and system resources.</t>
        </r>
      </text>
    </comment>
    <comment ref="I31" authorId="0" shapeId="0" xr:uid="{00000000-0006-0000-0500-000070000000}">
      <text>
        <r>
          <rPr>
            <sz val="11"/>
            <rFont val="Calibri"/>
          </rPr>
          <t>For local accounts created on the device, the Juniper SRX Services Gateway must automatically generate log records for account creation events.</t>
        </r>
      </text>
    </comment>
    <comment ref="J31" authorId="0" shapeId="0" xr:uid="{00000000-0006-0000-0500-000071000000}">
      <text>
        <r>
          <rPr>
            <sz val="11"/>
            <rFont val="Calibri"/>
          </rPr>
          <t>For local accounts created on the device, the Juniper SRX Services Gateway must automatically generate log records for account modification events.</t>
        </r>
      </text>
    </comment>
    <comment ref="K31" authorId="0" shapeId="0" xr:uid="{00000000-0006-0000-0500-000072000000}">
      <text>
        <r>
          <rPr>
            <sz val="11"/>
            <rFont val="Calibri"/>
          </rPr>
          <t>For local accounts created on the device, the Juniper SRX Services Gateway must automatically generate log records for account disabling events.</t>
        </r>
      </text>
    </comment>
    <comment ref="L31" authorId="0" shapeId="0" xr:uid="{00000000-0006-0000-0500-000073000000}">
      <text>
        <r>
          <rPr>
            <sz val="11"/>
            <rFont val="Calibri"/>
          </rPr>
          <t>For local accounts created on the device, the Juniper SRX Services Gateway must automatically generate log records for account removal events.</t>
        </r>
      </text>
    </comment>
    <comment ref="M31" authorId="0" shapeId="0" xr:uid="{00000000-0006-0000-0500-000074000000}">
      <text>
        <r>
          <rPr>
            <sz val="11"/>
            <rFont val="Calibri"/>
          </rPr>
          <t>The Juniper SRX Services Gateway must automatically generate a log event when accounts are enabled.</t>
        </r>
      </text>
    </comment>
    <comment ref="N31" authorId="0" shapeId="0" xr:uid="{00000000-0006-0000-0500-000075000000}">
      <text>
        <r>
          <rPr>
            <sz val="11"/>
            <rFont val="Calibri"/>
          </rPr>
          <t>The Juniper SRX Services Gateway must enforce the assigned privilege level for each administrator and authorizations for access to all commands by assigning a login class to all AAA-authenticated users.</t>
        </r>
      </text>
    </comment>
    <comment ref="O31" authorId="0" shapeId="0" xr:uid="{00000000-0006-0000-0500-000076000000}">
      <text>
        <r>
          <rPr>
            <sz val="11"/>
            <rFont val="Calibri"/>
          </rPr>
          <t>The Juniper SRX Services Gateway must generate log records when changes are made to administrator privileges.</t>
        </r>
      </text>
    </comment>
    <comment ref="P31" authorId="0" shapeId="0" xr:uid="{00000000-0006-0000-0500-000077000000}">
      <text>
        <r>
          <rPr>
            <sz val="11"/>
            <rFont val="Calibri"/>
          </rPr>
          <t>The Juniper SRX Services Gateway must generate log records when administrator privileges are deleted.</t>
        </r>
      </text>
    </comment>
    <comment ref="Q31" authorId="0" shapeId="0" xr:uid="{00000000-0006-0000-0500-000078000000}">
      <text>
        <r>
          <rPr>
            <sz val="11"/>
            <rFont val="Calibri"/>
          </rPr>
          <t>The Juniper SRX Services Gateway must implement logon roles to ensure only authorized roles are allowed to install software and updates.</t>
        </r>
      </text>
    </comment>
    <comment ref="R31" authorId="0" shapeId="0" xr:uid="{00000000-0006-0000-0500-000079000000}">
      <text>
        <r>
          <rPr>
            <sz val="11"/>
            <rFont val="Calibri"/>
          </rPr>
          <t>For nonlocal maintenance sessions, the Juniper SRX Services Gateway must remove or explicitly deny the use of nonsecure protocols.</t>
        </r>
      </text>
    </comment>
    <comment ref="S31" authorId="0" shapeId="0" xr:uid="{00000000-0006-0000-0500-00007A000000}">
      <text>
        <r>
          <rPr>
            <sz val="11"/>
            <rFont val="Calibri"/>
          </rPr>
          <t>The Juniper SRX Services Gateway must ensure access to start a UNIX-level shell is restricted to only the root account.</t>
        </r>
      </text>
    </comment>
    <comment ref="T31" authorId="0" shapeId="0" xr:uid="{00000000-0006-0000-0500-00007B000000}">
      <text>
        <r>
          <rPr>
            <sz val="11"/>
            <rFont val="Calibri"/>
          </rPr>
          <t>The Juniper SRX Services Gateway must be configured with only one local user account to be used as the account of last resort.</t>
        </r>
      </text>
    </comment>
    <comment ref="U31" authorId="0" shapeId="0" xr:uid="{00000000-0006-0000-0500-00007C000000}">
      <text>
        <r>
          <rPr>
            <sz val="11"/>
            <rFont val="Calibri"/>
          </rPr>
          <t>For local accounts using password authentication (i.e., the root account and the account of last resort), the Juniper SRX Services Gateway must enforce a minimum 15-character password length.</t>
        </r>
      </text>
    </comment>
    <comment ref="V31" authorId="0" shapeId="0" xr:uid="{00000000-0006-0000-0500-00007D000000}">
      <text>
        <r>
          <rPr>
            <sz val="11"/>
            <rFont val="Calibri"/>
          </rPr>
          <t>For local accounts using password authentication (i.e., the root account and the account of last resort), the Juniper SRX Services Gateway must enforce password complexity by setting the password change type to character sets.</t>
        </r>
      </text>
    </comment>
    <comment ref="W31" authorId="0" shapeId="0" xr:uid="{00000000-0006-0000-0500-00007E000000}">
      <text>
        <r>
          <rPr>
            <sz val="11"/>
            <rFont val="Calibri"/>
          </rPr>
          <t>For local accounts using password authentication (i.e., the root account and the account of last resort), the Juniper SRX Services Gateway must enforce password complexity by requiring at least one uppercase character be used.</t>
        </r>
      </text>
    </comment>
    <comment ref="X31" authorId="0" shapeId="0" xr:uid="{00000000-0006-0000-0500-00007F000000}">
      <text>
        <r>
          <rPr>
            <sz val="11"/>
            <rFont val="Calibri"/>
          </rPr>
          <t>For local accounts using password authentication (i.e., the root account and the account of last resort), the Juniper SRX Services Gateway must enforce password complexity by requiring at least one lowercase character be used.</t>
        </r>
      </text>
    </comment>
    <comment ref="Y31" authorId="0" shapeId="0" xr:uid="{00000000-0006-0000-0500-000080000000}">
      <text>
        <r>
          <rPr>
            <sz val="11"/>
            <rFont val="Calibri"/>
          </rPr>
          <t>For local accounts using password authentication (i.e., the root account and the account of last resort), the Juniper SRX Services Gateway must enforce password complexity by requiring at least one numeric character be used.</t>
        </r>
      </text>
    </comment>
    <comment ref="Z31" authorId="0" shapeId="0" xr:uid="{00000000-0006-0000-0500-000081000000}">
      <text>
        <r>
          <rPr>
            <sz val="11"/>
            <rFont val="Calibri"/>
          </rPr>
          <t>For local accounts using password authentication (i.e., the root account and the account of last resort), the Juniper SRX Services Gateway must enforce password complexity by requiring at least one special character be used.</t>
        </r>
      </text>
    </comment>
    <comment ref="AA31" authorId="0" shapeId="0" xr:uid="{00000000-0006-0000-0500-000082000000}">
      <text>
        <r>
          <rPr>
            <sz val="11"/>
            <rFont val="Calibri"/>
          </rPr>
          <t>The Juniper SRX Services Gateway must use the SHA256 or later protocol for password authentication for local accounts using password authentication (i.e., the root account and the account of last resort).</t>
        </r>
      </text>
    </comment>
    <comment ref="AB31" authorId="0" shapeId="0" xr:uid="{00000000-0006-0000-0500-000083000000}">
      <text>
        <r>
          <rPr>
            <sz val="11"/>
            <rFont val="Calibri"/>
          </rPr>
          <t>For nonlocal maintenance sessions, the Juniper SRX Services Gateway must ensure only zones where management functionality is desired have host-inbound-traffic system-services configured.</t>
        </r>
      </text>
    </comment>
    <comment ref="AC31" authorId="0" shapeId="0" xr:uid="{00000000-0006-0000-0500-000084000000}">
      <text>
        <r>
          <rPr>
            <sz val="11"/>
            <rFont val="Calibri"/>
          </rPr>
          <t>For nonlocal maintenance sessions, the Juniper SRX Services Gateway must explicitly deny the use of J-Web.</t>
        </r>
      </text>
    </comment>
    <comment ref="H34" authorId="0" shapeId="0" xr:uid="{00000000-0006-0000-0500-000085000000}">
      <text>
        <r>
          <rPr>
            <sz val="11"/>
            <rFont val="Calibri"/>
          </rPr>
          <t>The Juniper SRX Services Gateway must reveal log messages or management console alerts only to the ISSO, ISSM, and SA roles).</t>
        </r>
      </text>
    </comment>
    <comment ref="H41" authorId="0" shapeId="0" xr:uid="{00000000-0006-0000-0500-000086000000}">
      <text>
        <r>
          <rPr>
            <sz val="11"/>
            <rFont val="Calibri"/>
          </rPr>
          <t>The Juniper SRX Services Gateway must be configured to use Junos 12.1 X46 or later to meet the minimum required version for DoD.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For User Role Firewalls, the Juniper SRX Services Gateway Firewall must employ user attribute-based security policies to enforce approved authorizations for logical access to information and system resources.</t>
        </r>
      </text>
    </comment>
    <comment ref="K3" authorId="0" shapeId="0" xr:uid="{00000000-0006-0000-0600-000008000000}">
      <text>
        <r>
          <rPr>
            <sz val="11"/>
            <rFont val="Calibri"/>
          </rPr>
          <t>For local accounts created on the device, the Juniper SRX Services Gateway must automatically generate log records for account creation events.</t>
        </r>
      </text>
    </comment>
    <comment ref="L3" authorId="0" shapeId="0" xr:uid="{00000000-0006-0000-0600-000002000000}">
      <text>
        <r>
          <rPr>
            <sz val="11"/>
            <rFont val="Calibri"/>
          </rPr>
          <t>For local accounts created on the device, the Juniper SRX Services Gateway must automatically generate log records for account modification events.</t>
        </r>
      </text>
    </comment>
    <comment ref="M3" authorId="0" shapeId="0" xr:uid="{00000000-0006-0000-0600-000003000000}">
      <text>
        <r>
          <rPr>
            <sz val="11"/>
            <rFont val="Calibri"/>
          </rPr>
          <t>For local accounts created on the device, the Juniper SRX Services Gateway must automatically generate log records for account disabling events.</t>
        </r>
      </text>
    </comment>
    <comment ref="N3" authorId="0" shapeId="0" xr:uid="{00000000-0006-0000-0600-000004000000}">
      <text>
        <r>
          <rPr>
            <sz val="11"/>
            <rFont val="Calibri"/>
          </rPr>
          <t>For local accounts created on the device, the Juniper SRX Services Gateway must automatically generate log records for account removal events.</t>
        </r>
      </text>
    </comment>
    <comment ref="O3" authorId="0" shapeId="0" xr:uid="{00000000-0006-0000-0600-000005000000}">
      <text>
        <r>
          <rPr>
            <sz val="11"/>
            <rFont val="Calibri"/>
          </rPr>
          <t>The Juniper SRX Services Gateway must automatically generate a log event when accounts are enabled.</t>
        </r>
      </text>
    </comment>
    <comment ref="P3" authorId="0" shapeId="0" xr:uid="{00000000-0006-0000-0600-000006000000}">
      <text>
        <r>
          <rPr>
            <sz val="11"/>
            <rFont val="Calibri"/>
          </rPr>
          <t>The Juniper SRX Services Gateway must enforce the assigned privilege level for each administrator and authorizations for access to all commands by assigning a login class to all AAA-authenticated users.</t>
        </r>
      </text>
    </comment>
    <comment ref="Q3" authorId="0" shapeId="0" xr:uid="{00000000-0006-0000-0600-000007000000}">
      <text>
        <r>
          <rPr>
            <sz val="11"/>
            <rFont val="Calibri"/>
          </rPr>
          <t>The Juniper SRX Services Gateway must implement logon roles to ensure only authorized roles are allowed to install software and updates.</t>
        </r>
      </text>
    </comment>
    <comment ref="J5" authorId="0" shapeId="0" xr:uid="{00000000-0006-0000-0600-000009000000}">
      <text>
        <r>
          <rPr>
            <sz val="11"/>
            <rFont val="Calibri"/>
          </rPr>
          <t>The Juniper SRX Services Gateway Firewall must only allow inbound communications from organization-defined authorized sources routed to organization-defined authorized destinations.</t>
        </r>
      </text>
    </comment>
    <comment ref="K5" authorId="0" shapeId="0" xr:uid="{00000000-0006-0000-0600-00000A000000}">
      <text>
        <r>
          <rPr>
            <sz val="11"/>
            <rFont val="Calibri"/>
          </rPr>
          <t>The Juniper SRX Services Gateway Firewall must deny network communications traffic by default and allow network communications traffic by exception (i.e., deny all, permit by exception).</t>
        </r>
      </text>
    </comment>
    <comment ref="L5" authorId="0" shapeId="0" xr:uid="{00000000-0006-0000-0600-00000B000000}">
      <text>
        <r>
          <rPr>
            <sz val="11"/>
            <rFont val="Calibri"/>
          </rPr>
          <t>The Juniper SRX Services Gateway VPN must only allow incoming VPN communications from organization-defined authorized sources routed to organization-defined authorized destinations.</t>
        </r>
      </text>
    </comment>
    <comment ref="J7" authorId="0" shapeId="0" xr:uid="{00000000-0006-0000-0600-00000C000000}">
      <text>
        <r>
          <rPr>
            <sz val="11"/>
            <rFont val="Calibri"/>
          </rPr>
          <t>For User Role Firewalls, the Juniper SRX Services Gateway Firewall must employ user attribute-based security policies to enforce approved authorizations for logical access to information and system resources.</t>
        </r>
      </text>
    </comment>
    <comment ref="K7" authorId="0" shapeId="0" xr:uid="{00000000-0006-0000-0600-000014000000}">
      <text>
        <r>
          <rPr>
            <sz val="11"/>
            <rFont val="Calibri"/>
          </rPr>
          <t>The Juniper SRX Services Gateway must enforce the assigned privilege level for each administrator and authorizations for access to all commands by assigning a login class to all AAA-authenticated users.</t>
        </r>
      </text>
    </comment>
    <comment ref="L7" authorId="0" shapeId="0" xr:uid="{00000000-0006-0000-0600-000015000000}">
      <text>
        <r>
          <rPr>
            <sz val="11"/>
            <rFont val="Calibri"/>
          </rPr>
          <t>The Juniper SRX Services Gateway must implement logon roles to ensure only authorized roles are allowed to install software and updates.</t>
        </r>
      </text>
    </comment>
    <comment ref="M7" authorId="0" shapeId="0" xr:uid="{00000000-0006-0000-0600-000016000000}">
      <text>
        <r>
          <rPr>
            <sz val="11"/>
            <rFont val="Calibri"/>
          </rPr>
          <t>For nonlocal maintenance sessions, the Juniper SRX Services Gateway must remove or explicitly deny the use of nonsecure protocols.</t>
        </r>
      </text>
    </comment>
    <comment ref="N7" authorId="0" shapeId="0" xr:uid="{00000000-0006-0000-0600-000017000000}">
      <text>
        <r>
          <rPr>
            <sz val="11"/>
            <rFont val="Calibri"/>
          </rPr>
          <t>The Juniper SRX Services Gateway must ensure access to start a UNIX-level shell is restricted to only the root account.</t>
        </r>
      </text>
    </comment>
    <comment ref="O7" authorId="0" shapeId="0" xr:uid="{00000000-0006-0000-0600-000018000000}">
      <text>
        <r>
          <rPr>
            <sz val="11"/>
            <rFont val="Calibri"/>
          </rPr>
          <t>The Juniper SRX Services Gateway must be configured with only one local user account to be used as the account of last resort.</t>
        </r>
      </text>
    </comment>
    <comment ref="P7" authorId="0" shapeId="0" xr:uid="{00000000-0006-0000-0600-000019000000}">
      <text>
        <r>
          <rPr>
            <sz val="11"/>
            <rFont val="Calibri"/>
          </rPr>
          <t>For local accounts using password authentication (i.e., the root account and the account of last resort), the Juniper SRX Services Gateway must enforce a minimum 15-character password length.</t>
        </r>
      </text>
    </comment>
    <comment ref="Q7" authorId="0" shapeId="0" xr:uid="{00000000-0006-0000-0600-00001A000000}">
      <text>
        <r>
          <rPr>
            <sz val="11"/>
            <rFont val="Calibri"/>
          </rPr>
          <t>For local accounts using password authentication (i.e., the root account and the account of last resort), the Juniper SRX Services Gateway must enforce password complexity by setting the password change type to character sets.</t>
        </r>
      </text>
    </comment>
    <comment ref="R7" authorId="0" shapeId="0" xr:uid="{00000000-0006-0000-0600-00000D000000}">
      <text>
        <r>
          <rPr>
            <sz val="11"/>
            <rFont val="Calibri"/>
          </rPr>
          <t>For local accounts using password authentication (i.e., the root account and the account of last resort), the Juniper SRX Services Gateway must enforce password complexity by requiring at least one uppercase character be used.</t>
        </r>
      </text>
    </comment>
    <comment ref="S7" authorId="0" shapeId="0" xr:uid="{00000000-0006-0000-0600-00000E000000}">
      <text>
        <r>
          <rPr>
            <sz val="11"/>
            <rFont val="Calibri"/>
          </rPr>
          <t>For local accounts using password authentication (i.e., the root account and the account of last resort), the Juniper SRX Services Gateway must enforce password complexity by requiring at least one lowercase character be used.</t>
        </r>
      </text>
    </comment>
    <comment ref="T7" authorId="0" shapeId="0" xr:uid="{00000000-0006-0000-0600-00000F000000}">
      <text>
        <r>
          <rPr>
            <sz val="11"/>
            <rFont val="Calibri"/>
          </rPr>
          <t>For local accounts using password authentication (i.e., the root account and the account of last resort), the Juniper SRX Services Gateway must enforce password complexity by requiring at least one numeric character be used.</t>
        </r>
      </text>
    </comment>
    <comment ref="U7" authorId="0" shapeId="0" xr:uid="{00000000-0006-0000-0600-000010000000}">
      <text>
        <r>
          <rPr>
            <sz val="11"/>
            <rFont val="Calibri"/>
          </rPr>
          <t>For local accounts using password authentication (i.e., the root account and the account of last resort), the Juniper SRX Services Gateway must enforce password complexity by requiring at least one special character be used.</t>
        </r>
      </text>
    </comment>
    <comment ref="V7" authorId="0" shapeId="0" xr:uid="{00000000-0006-0000-0600-000011000000}">
      <text>
        <r>
          <rPr>
            <sz val="11"/>
            <rFont val="Calibri"/>
          </rPr>
          <t>The Juniper SRX Services Gateway must use the SHA256 or later protocol for password authentication for local accounts using password authentication (i.e., the root account and the account of last resort).</t>
        </r>
      </text>
    </comment>
    <comment ref="W7" authorId="0" shapeId="0" xr:uid="{00000000-0006-0000-0600-000012000000}">
      <text>
        <r>
          <rPr>
            <sz val="11"/>
            <rFont val="Calibri"/>
          </rPr>
          <t>For nonlocal maintenance sessions, the Juniper SRX Services Gateway must ensure only zones where management functionality is desired have host-inbound-traffic system-services configured.</t>
        </r>
      </text>
    </comment>
    <comment ref="X7" authorId="0" shapeId="0" xr:uid="{00000000-0006-0000-0600-000013000000}">
      <text>
        <r>
          <rPr>
            <sz val="11"/>
            <rFont val="Calibri"/>
          </rPr>
          <t>For nonlocal maintenance sessions, the Juniper SRX Services Gateway must explicitly deny the use of J-Web.</t>
        </r>
      </text>
    </comment>
    <comment ref="J12" authorId="0" shapeId="0" xr:uid="{00000000-0006-0000-0600-00001B000000}">
      <text>
        <r>
          <rPr>
            <sz val="11"/>
            <rFont val="Calibri"/>
          </rPr>
          <t>The Juniper SRX Services Gateway VPN must limit the number of concurrent sessions for user accounts to one (1) and administrative accounts to three (3), or set to an organization-defined number.</t>
        </r>
      </text>
    </comment>
    <comment ref="K12" authorId="0" shapeId="0" xr:uid="{00000000-0006-0000-0600-00001C000000}">
      <text>
        <r>
          <rPr>
            <sz val="11"/>
            <rFont val="Calibri"/>
          </rPr>
          <t>The Juniper SRX Services Gateway must limit the number of concurrent sessions to a maximum of 10 or less for remote access using SSH.</t>
        </r>
      </text>
    </comment>
    <comment ref="L12" authorId="0" shapeId="0" xr:uid="{00000000-0006-0000-0600-00001D000000}">
      <text>
        <r>
          <rPr>
            <sz val="11"/>
            <rFont val="Calibri"/>
          </rPr>
          <t>The Juniper SRX Services Gateway must limit the number of sessions per minute to an organization-defined number for SSH to protect remote access management from unauthorized access.</t>
        </r>
      </text>
    </comment>
    <comment ref="J13" authorId="0" shapeId="0" xr:uid="{00000000-0006-0000-0600-00001E000000}">
      <text>
        <r>
          <rPr>
            <sz val="11"/>
            <rFont val="Calibri"/>
          </rPr>
          <t>The Juniper SRX Services Gateway Firewall must terminate all communications sessions associated with user traffic after 15 minutes or less of inactivity.</t>
        </r>
      </text>
    </comment>
    <comment ref="K13" authorId="0" shapeId="0" xr:uid="{00000000-0006-0000-0600-00001F000000}">
      <text>
        <r>
          <rPr>
            <sz val="11"/>
            <rFont val="Calibri"/>
          </rPr>
          <t>The Juniper SRX Services Gateway VPN must terminate all network connections associated with a communications session at the end of the session.</t>
        </r>
      </text>
    </comment>
    <comment ref="L13" authorId="0" shapeId="0" xr:uid="{00000000-0006-0000-0600-000020000000}">
      <text>
        <r>
          <rPr>
            <sz val="11"/>
            <rFont val="Calibri"/>
          </rPr>
          <t>The Juniper SRX Services Gateway must terminate a device management session after 10 minutes of inactivity, except to fulfill documented and validated mission requirements.</t>
        </r>
      </text>
    </comment>
    <comment ref="M13" authorId="0" shapeId="0" xr:uid="{00000000-0006-0000-0600-000021000000}">
      <text>
        <r>
          <rPr>
            <sz val="11"/>
            <rFont val="Calibri"/>
          </rPr>
          <t>The Juniper SRX Services Gateway must terminate a device management session if the keep-alive count is exceeded.</t>
        </r>
      </text>
    </comment>
    <comment ref="N13" authorId="0" shapeId="0" xr:uid="{00000000-0006-0000-0600-000022000000}">
      <text>
        <r>
          <rPr>
            <sz val="11"/>
            <rFont val="Calibri"/>
          </rPr>
          <t>The Juniper SRX Services Gateway must automatically terminate a network administrator session after organization-defined conditions or trigger events requiring session disconnect.</t>
        </r>
      </text>
    </comment>
    <comment ref="J14" authorId="0" shapeId="0" xr:uid="{00000000-0006-0000-0600-000023000000}">
      <text>
        <r>
          <rPr>
            <sz val="11"/>
            <rFont val="Calibri"/>
          </rPr>
          <t>The Juniper SRX Services Gateway VPN must renegotiate the IPsec security association after 8 hours or less.</t>
        </r>
      </text>
    </comment>
    <comment ref="K14" authorId="0" shapeId="0" xr:uid="{00000000-0006-0000-0600-000024000000}">
      <text>
        <r>
          <rPr>
            <sz val="11"/>
            <rFont val="Calibri"/>
          </rPr>
          <t>The Juniper SRX Services Gateway VPN must renegotiate the IKE security association after 24 hours or less.</t>
        </r>
      </text>
    </comment>
    <comment ref="L14" authorId="0" shapeId="0" xr:uid="{00000000-0006-0000-0600-000025000000}">
      <text>
        <r>
          <rPr>
            <sz val="11"/>
            <rFont val="Calibri"/>
          </rPr>
          <t>The Juniper SRX Services Gateway VPN must use AES256 for the IPsec proposal to protect the confidentiality of remote access sessions.</t>
        </r>
      </text>
    </comment>
    <comment ref="M14" authorId="0" shapeId="0" xr:uid="{00000000-0006-0000-0600-000026000000}">
      <text>
        <r>
          <rPr>
            <sz val="11"/>
            <rFont val="Calibri"/>
          </rPr>
          <t>The Juniper SRX Services Gateway VPN must use AES256 encryption for the Internet Key Exchange (IKE) proposal to protect the confidentiality of remote access sessions.</t>
        </r>
      </text>
    </comment>
    <comment ref="N14" authorId="0" shapeId="0" xr:uid="{00000000-0006-0000-0600-000027000000}">
      <text>
        <r>
          <rPr>
            <sz val="11"/>
            <rFont val="Calibri"/>
          </rPr>
          <t>The Juniper SRX Services Gateway VPN must be configured to use Diffie-Hellman (DH) group 15 or higher.</t>
        </r>
      </text>
    </comment>
    <comment ref="O14" authorId="0" shapeId="0" xr:uid="{00000000-0006-0000-0600-000028000000}">
      <text>
        <r>
          <rPr>
            <sz val="11"/>
            <rFont val="Calibri"/>
          </rPr>
          <t>The Juniper SRX Services Gateway VPN must be configured to use IPsec with SHA256 or greater to negotiate hashing to protect the integrity of remote access sessions.</t>
        </r>
      </text>
    </comment>
    <comment ref="P14" authorId="0" shapeId="0" xr:uid="{00000000-0006-0000-0600-000029000000}">
      <text>
        <r>
          <rPr>
            <sz val="11"/>
            <rFont val="Calibri"/>
          </rPr>
          <t>The Juniper SRX Services Gateway VPN must use Internet Key Exchange (IKE) for IPsec VPN Security Associations (SAs).</t>
        </r>
      </text>
    </comment>
    <comment ref="Q14" authorId="0" shapeId="0" xr:uid="{00000000-0006-0000-0600-00002A000000}">
      <text>
        <r>
          <rPr>
            <sz val="11"/>
            <rFont val="Calibri"/>
          </rPr>
          <t>The Juniper SRX Services Gateway VPN must specify Perfect Forward Secrecy (PFS).</t>
        </r>
      </text>
    </comment>
    <comment ref="R14" authorId="0" shapeId="0" xr:uid="{00000000-0006-0000-0600-00002B000000}">
      <text>
        <r>
          <rPr>
            <sz val="11"/>
            <rFont val="Calibri"/>
          </rPr>
          <t>The Juniper SRX Services Gateway VPN must use Encapsulating Security Payload (ESP) in tunnel mode.</t>
        </r>
      </text>
    </comment>
    <comment ref="S14" authorId="0" shapeId="0" xr:uid="{00000000-0006-0000-0600-00002C000000}">
      <text>
        <r>
          <rPr>
            <sz val="11"/>
            <rFont val="Calibri"/>
          </rPr>
          <t>The Juniper SRX Services Gateway VPN must use IKEv2 for IPsec VPN security associations.</t>
        </r>
      </text>
    </comment>
    <comment ref="T14" authorId="0" shapeId="0" xr:uid="{00000000-0006-0000-0600-00002D000000}">
      <text>
        <r>
          <rPr>
            <sz val="11"/>
            <rFont val="Calibri"/>
          </rPr>
          <t>The Juniper SRX Services Gateway VPN Internet Key Exchange (IKE) must be configured to use an approved Commercial Solution for Classified (CSfC) when transporting classified traffic across an unclassified network.</t>
        </r>
      </text>
    </comment>
    <comment ref="U14" authorId="0" shapeId="0" xr:uid="{00000000-0006-0000-0600-00002E000000}">
      <text>
        <r>
          <rPr>
            <sz val="11"/>
            <rFont val="Calibri"/>
          </rPr>
          <t>The Juniper SRX Services Gateway VPN must configure Internet Key Exchange (IKE) with SHA1 or greater to protect the authenticity of communications sessions.</t>
        </r>
      </text>
    </comment>
    <comment ref="J23" authorId="0" shapeId="0" xr:uid="{00000000-0006-0000-0600-00002F000000}">
      <text>
        <r>
          <rPr>
            <sz val="11"/>
            <rFont val="Calibri"/>
          </rPr>
          <t>The Juniper SRX Services Gateway must generate log records when firewall filters, security screens and security policies are invoked and the traffic is denied or restricted.</t>
        </r>
      </text>
    </comment>
    <comment ref="K23" authorId="0" shapeId="0" xr:uid="{00000000-0006-0000-0600-000039000000}">
      <text>
        <r>
          <rPr>
            <sz val="11"/>
            <rFont val="Calibri"/>
          </rPr>
          <t>The Juniper SRX Services Gateway Firewall must generate audit records when unsuccessful attempts to access security zones occur.</t>
        </r>
      </text>
    </comment>
    <comment ref="L23" authorId="0" shapeId="0" xr:uid="{00000000-0006-0000-0600-00003A000000}">
      <text>
        <r>
          <rPr>
            <sz val="11"/>
            <rFont val="Calibri"/>
          </rPr>
          <t>The Juniper SRX Services Gateway Firewall must be configured to support centralized management and configuration of the audit log.</t>
        </r>
      </text>
    </comment>
    <comment ref="M23" authorId="0" shapeId="0" xr:uid="{00000000-0006-0000-0600-00003B000000}">
      <text>
        <r>
          <rPr>
            <sz val="11"/>
            <rFont val="Calibri"/>
          </rPr>
          <t>In the event that communications with the Syslog server is lost, the Juniper SRX Services Gateway must continue to queue traffic log records locally.</t>
        </r>
      </text>
    </comment>
    <comment ref="N23" authorId="0" shapeId="0" xr:uid="{00000000-0006-0000-0600-00003C000000}">
      <text>
        <r>
          <rPr>
            <sz val="11"/>
            <rFont val="Calibri"/>
          </rPr>
          <t>The Juniper Networks SRX Series Gateway IDPS must provide audit record generation capability for detecting events based on implementation of policy filters, rules, and signatures.</t>
        </r>
      </text>
    </comment>
    <comment ref="O23" authorId="0" shapeId="0" xr:uid="{00000000-0006-0000-0600-00003D000000}">
      <text>
        <r>
          <rPr>
            <sz val="11"/>
            <rFont val="Calibri"/>
          </rPr>
          <t>The Juniper Networks SRX Series Gateway IDPS must provide audit record generation with a configurable severity and escalation level capability.</t>
        </r>
      </text>
    </comment>
    <comment ref="P23" authorId="0" shapeId="0" xr:uid="{00000000-0006-0000-0600-00003E000000}">
      <text>
        <r>
          <rPr>
            <sz val="11"/>
            <rFont val="Calibri"/>
          </rPr>
          <t>For local accounts created on the device, the Juniper SRX Services Gateway must automatically generate log records for account creation events.</t>
        </r>
      </text>
    </comment>
    <comment ref="Q23" authorId="0" shapeId="0" xr:uid="{00000000-0006-0000-0600-00003F000000}">
      <text>
        <r>
          <rPr>
            <sz val="11"/>
            <rFont val="Calibri"/>
          </rPr>
          <t>For local accounts created on the device, the Juniper SRX Services Gateway must automatically generate log records for account modification events.</t>
        </r>
      </text>
    </comment>
    <comment ref="R23" authorId="0" shapeId="0" xr:uid="{00000000-0006-0000-0600-000040000000}">
      <text>
        <r>
          <rPr>
            <sz val="11"/>
            <rFont val="Calibri"/>
          </rPr>
          <t>For local accounts created on the device, the Juniper SRX Services Gateway must automatically generate log records for account disabling events.</t>
        </r>
      </text>
    </comment>
    <comment ref="S23" authorId="0" shapeId="0" xr:uid="{00000000-0006-0000-0600-000041000000}">
      <text>
        <r>
          <rPr>
            <sz val="11"/>
            <rFont val="Calibri"/>
          </rPr>
          <t>For local accounts created on the device, the Juniper SRX Services Gateway must automatically generate log records for account removal events.</t>
        </r>
      </text>
    </comment>
    <comment ref="T23" authorId="0" shapeId="0" xr:uid="{00000000-0006-0000-0600-000042000000}">
      <text>
        <r>
          <rPr>
            <sz val="11"/>
            <rFont val="Calibri"/>
          </rPr>
          <t>The Juniper SRX Services Gateway must automatically generate a log event when accounts are enabled.</t>
        </r>
      </text>
    </comment>
    <comment ref="U23" authorId="0" shapeId="0" xr:uid="{00000000-0006-0000-0600-000043000000}">
      <text>
        <r>
          <rPr>
            <sz val="11"/>
            <rFont val="Calibri"/>
          </rPr>
          <t>The Juniper SRX Services Gateway must generate log records when successful attempts to configure the device and use commands occur.</t>
        </r>
      </text>
    </comment>
    <comment ref="V23" authorId="0" shapeId="0" xr:uid="{00000000-0006-0000-0600-000044000000}">
      <text>
        <r>
          <rPr>
            <sz val="11"/>
            <rFont val="Calibri"/>
          </rPr>
          <t>The Juniper SRX Services Gateway must generate log records when changes are made to administrator privileges.</t>
        </r>
      </text>
    </comment>
    <comment ref="W23" authorId="0" shapeId="0" xr:uid="{00000000-0006-0000-0600-000045000000}">
      <text>
        <r>
          <rPr>
            <sz val="11"/>
            <rFont val="Calibri"/>
          </rPr>
          <t>The Juniper SRX Services Gateway must generate log records when administrator privileges are deleted.</t>
        </r>
      </text>
    </comment>
    <comment ref="X23" authorId="0" shapeId="0" xr:uid="{00000000-0006-0000-0600-000046000000}">
      <text>
        <r>
          <rPr>
            <sz val="11"/>
            <rFont val="Calibri"/>
          </rPr>
          <t>The Juniper SRX Services Gateway must generate log records when logon events occur.</t>
        </r>
      </text>
    </comment>
    <comment ref="Y23" authorId="0" shapeId="0" xr:uid="{00000000-0006-0000-0600-000030000000}">
      <text>
        <r>
          <rPr>
            <sz val="11"/>
            <rFont val="Calibri"/>
          </rPr>
          <t>The Juniper SRX Services Gateway must generate log records when privileged commands are executed.</t>
        </r>
      </text>
    </comment>
    <comment ref="Z23" authorId="0" shapeId="0" xr:uid="{00000000-0006-0000-0600-000031000000}">
      <text>
        <r>
          <rPr>
            <sz val="11"/>
            <rFont val="Calibri"/>
          </rPr>
          <t>The Juniper SRX Services Gateway must generate log records when concurrent logons from different workstations occur.</t>
        </r>
      </text>
    </comment>
    <comment ref="AA23" authorId="0" shapeId="0" xr:uid="{00000000-0006-0000-0600-000032000000}">
      <text>
        <r>
          <rPr>
            <sz val="11"/>
            <rFont val="Calibri"/>
          </rPr>
          <t>The Juniper SRX Services Gateway must generate log records containing the full-text recording of privileged commands.</t>
        </r>
      </text>
    </comment>
    <comment ref="AB23" authorId="0" shapeId="0" xr:uid="{00000000-0006-0000-0600-000033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AC23" authorId="0" shapeId="0" xr:uid="{00000000-0006-0000-0600-000034000000}">
      <text>
        <r>
          <rPr>
            <sz val="11"/>
            <rFont val="Calibri"/>
          </rPr>
          <t>The Juniper SRX Services Gateway must record time stamps for log records using Coordinated Universal Time (UTC).</t>
        </r>
      </text>
    </comment>
    <comment ref="AD23" authorId="0" shapeId="0" xr:uid="{00000000-0006-0000-0600-000035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AE23" authorId="0" shapeId="0" xr:uid="{00000000-0006-0000-0600-000036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AF23" authorId="0" shapeId="0" xr:uid="{00000000-0006-0000-0600-000037000000}">
      <text>
        <r>
          <rPr>
            <sz val="11"/>
            <rFont val="Calibri"/>
          </rPr>
          <t>In the event that communications with the events server is lost, the Juniper SRX Services Gateway must continue to queue log records locally.</t>
        </r>
      </text>
    </comment>
    <comment ref="AG23" authorId="0" shapeId="0" xr:uid="{00000000-0006-0000-0600-000038000000}">
      <text>
        <r>
          <rPr>
            <sz val="11"/>
            <rFont val="Calibri"/>
          </rPr>
          <t>The Juniper SRX Services Gateway must be configured to use a centralized authentication server to authenticate privileged users for remote and nonlocal access for device management.</t>
        </r>
      </text>
    </comment>
    <comment ref="J24" authorId="0" shapeId="0" xr:uid="{00000000-0006-0000-0600-000047000000}">
      <text>
        <r>
          <rPr>
            <sz val="11"/>
            <rFont val="Calibri"/>
          </rPr>
          <t>The Juniper SRX Services Gateway Firewall must generate audit records when unsuccessful attempts to access security zones occur.</t>
        </r>
      </text>
    </comment>
    <comment ref="K24" authorId="0" shapeId="0" xr:uid="{00000000-0006-0000-0600-000048000000}">
      <text>
        <r>
          <rPr>
            <sz val="11"/>
            <rFont val="Calibri"/>
          </rPr>
          <t>The Juniper SRX Services Gateway Firewall must be configured to support centralized management and configuration of the audit log.</t>
        </r>
      </text>
    </comment>
    <comment ref="L24" authorId="0" shapeId="0" xr:uid="{00000000-0006-0000-0600-000049000000}">
      <text>
        <r>
          <rPr>
            <sz val="11"/>
            <rFont val="Calibri"/>
          </rPr>
          <t>In the event that communications with the Syslog server is lost, the Juniper SRX Services Gateway must continue to queue traffic log records locally.</t>
        </r>
      </text>
    </comment>
    <comment ref="M24" authorId="0" shapeId="0" xr:uid="{00000000-0006-0000-0600-00004A000000}">
      <text>
        <r>
          <rPr>
            <sz val="11"/>
            <rFont val="Calibri"/>
          </rPr>
          <t>The Juniper SRX Services Gateway must generate log records when successful attempts to configure the device and use commands occur.</t>
        </r>
      </text>
    </comment>
    <comment ref="N24" authorId="0" shapeId="0" xr:uid="{00000000-0006-0000-0600-00004B000000}">
      <text>
        <r>
          <rPr>
            <sz val="11"/>
            <rFont val="Calibri"/>
          </rPr>
          <t>The Juniper SRX Services Gateway must generate log records when changes are made to administrator privileges.</t>
        </r>
      </text>
    </comment>
    <comment ref="O24" authorId="0" shapeId="0" xr:uid="{00000000-0006-0000-0600-00004C000000}">
      <text>
        <r>
          <rPr>
            <sz val="11"/>
            <rFont val="Calibri"/>
          </rPr>
          <t>The Juniper SRX Services Gateway must generate log records when administrator privileges are deleted.</t>
        </r>
      </text>
    </comment>
    <comment ref="P24" authorId="0" shapeId="0" xr:uid="{00000000-0006-0000-0600-00004D000000}">
      <text>
        <r>
          <rPr>
            <sz val="11"/>
            <rFont val="Calibri"/>
          </rPr>
          <t>The Juniper SRX Services Gateway must generate log records when logon events occur.</t>
        </r>
      </text>
    </comment>
    <comment ref="Q24" authorId="0" shapeId="0" xr:uid="{00000000-0006-0000-0600-00004E000000}">
      <text>
        <r>
          <rPr>
            <sz val="11"/>
            <rFont val="Calibri"/>
          </rPr>
          <t>The Juniper SRX Services Gateway must generate log records when privileged commands are executed.</t>
        </r>
      </text>
    </comment>
    <comment ref="R24" authorId="0" shapeId="0" xr:uid="{00000000-0006-0000-0600-00004F000000}">
      <text>
        <r>
          <rPr>
            <sz val="11"/>
            <rFont val="Calibri"/>
          </rPr>
          <t>The Juniper SRX Services Gateway must generate log records when concurrent logons from different workstations occur.</t>
        </r>
      </text>
    </comment>
    <comment ref="S24" authorId="0" shapeId="0" xr:uid="{00000000-0006-0000-0600-000050000000}">
      <text>
        <r>
          <rPr>
            <sz val="11"/>
            <rFont val="Calibri"/>
          </rPr>
          <t>The Juniper SRX Services Gateway must generate log records containing the full-text recording of privileged commands.</t>
        </r>
      </text>
    </comment>
    <comment ref="T24" authorId="0" shapeId="0" xr:uid="{00000000-0006-0000-0600-000051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U24" authorId="0" shapeId="0" xr:uid="{00000000-0006-0000-0600-000052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V24" authorId="0" shapeId="0" xr:uid="{00000000-0006-0000-0600-000053000000}">
      <text>
        <r>
          <rPr>
            <sz val="11"/>
            <rFont val="Calibri"/>
          </rPr>
          <t>In the event that communications with the events server is lost, the Juniper SRX Services Gateway must continue to queue log records locally.</t>
        </r>
      </text>
    </comment>
    <comment ref="J26" authorId="0" shapeId="0" xr:uid="{00000000-0006-0000-0600-000054000000}">
      <text>
        <r>
          <rPr>
            <sz val="11"/>
            <rFont val="Calibri"/>
          </rPr>
          <t>The Juniper SRX Services Gateway Firewall must generate an alert to, at a minimum, the ISSO and ISSM when unusual/unauthorized activities or conditions are detected during continuous monitoring of communications traffic as it traverses inbound or outbound  across internal security boundaries.</t>
        </r>
      </text>
    </comment>
    <comment ref="K26" authorId="0" shapeId="0" xr:uid="{00000000-0006-0000-0600-000055000000}">
      <text>
        <r>
          <rPr>
            <sz val="11"/>
            <rFont val="Calibri"/>
          </rPr>
          <t>The Juniper SRX Services Gateway Firewall must generate an alert that can be forwarded to, at a minimum, the ISSO and ISSM when threats identified by authoritative sources are detected.</t>
        </r>
      </text>
    </comment>
    <comment ref="L26" authorId="0" shapeId="0" xr:uid="{00000000-0006-0000-0600-000056000000}">
      <text>
        <r>
          <rPr>
            <sz val="11"/>
            <rFont val="Calibri"/>
          </rPr>
          <t>The Juniper SRX Services Gateway must generate an immediate system alert message to the management console when a log processing failure is detected.</t>
        </r>
      </text>
    </comment>
    <comment ref="M26" authorId="0" shapeId="0" xr:uid="{00000000-0006-0000-0600-000057000000}">
      <text>
        <r>
          <rPr>
            <sz val="11"/>
            <rFont val="Calibri"/>
          </rPr>
          <t>For local accounts, the Juniper SRX Services Gateway must generate an alert message to the management console and generate a log event record that can be forwarded to the ISSO and designated system administrators when local accounts are created.</t>
        </r>
      </text>
    </comment>
    <comment ref="N26" authorId="0" shapeId="0" xr:uid="{00000000-0006-0000-0600-000058000000}">
      <text>
        <r>
          <rPr>
            <sz val="11"/>
            <rFont val="Calibri"/>
          </rPr>
          <t>The Juniper SRX Services Gateway must generate an alert message to the management console and generate a log event record that can be forwarded to the ISSO and designated system administrators when the local accounts (i.e., the account of last resort or root account) are modified.</t>
        </r>
      </text>
    </comment>
    <comment ref="O26" authorId="0" shapeId="0" xr:uid="{00000000-0006-0000-0600-000059000000}">
      <text>
        <r>
          <rPr>
            <sz val="11"/>
            <rFont val="Calibri"/>
          </rPr>
          <t>The Juniper SRX Services Gateway must generate an alert message to the management console and generate a log event record that can be forwarded to the ISSO and designated system administrators when accounts are disabled.</t>
        </r>
      </text>
    </comment>
    <comment ref="P26" authorId="0" shapeId="0" xr:uid="{00000000-0006-0000-0600-00005A000000}">
      <text>
        <r>
          <rPr>
            <sz val="11"/>
            <rFont val="Calibri"/>
          </rPr>
          <t>The Juniper SRX Services Gateway must generate an immediate alert message to the management console for account enabling actions.</t>
        </r>
      </text>
    </comment>
    <comment ref="Q26" authorId="0" shapeId="0" xr:uid="{00000000-0006-0000-0600-00005B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R26" authorId="0" shapeId="0" xr:uid="{00000000-0006-0000-0600-00005C000000}">
      <text>
        <r>
          <rPr>
            <sz val="11"/>
            <rFont val="Calibri"/>
          </rPr>
          <t>The Juniper SRX Services Gateway must be configured to use a centralized authentication server to authenticate privileged users for remote and nonlocal access for device management.</t>
        </r>
      </text>
    </comment>
    <comment ref="S26" authorId="0" shapeId="0" xr:uid="{00000000-0006-0000-0600-00005D000000}">
      <text>
        <r>
          <rPr>
            <sz val="11"/>
            <rFont val="Calibri"/>
          </rPr>
          <t>The Juniper SRX Services Gateway must detect the addition of components and issue a priority 1 alert to the ISSM and SA, at a minimum.</t>
        </r>
      </text>
    </comment>
    <comment ref="T26" authorId="0" shapeId="0" xr:uid="{00000000-0006-0000-0600-00005E000000}">
      <text>
        <r>
          <rPr>
            <sz val="11"/>
            <rFont val="Calibri"/>
          </rPr>
          <t>The Juniper SRX Services Gateway must generate an alarm or send an alert message to the management console when a component failure is detected.</t>
        </r>
      </text>
    </comment>
    <comment ref="J27" authorId="0" shapeId="0" xr:uid="{00000000-0006-0000-0600-00005F000000}">
      <text>
        <r>
          <rPr>
            <sz val="11"/>
            <rFont val="Calibri"/>
          </rPr>
          <t>The Juniper SRX Services Gateway must reveal log messages or management console alerts only to the ISSO, ISSM, and SA roles).</t>
        </r>
      </text>
    </comment>
    <comment ref="J29" authorId="0" shapeId="0" xr:uid="{00000000-0006-0000-0600-000060000000}">
      <text>
        <r>
          <rPr>
            <sz val="11"/>
            <rFont val="Calibri"/>
          </rPr>
          <t>The Juniper SRX Services Gateway must record time stamps for log records using Coordinated Universal Time (UTC).</t>
        </r>
      </text>
    </comment>
    <comment ref="K29" authorId="0" shapeId="0" xr:uid="{00000000-0006-0000-0600-000061000000}">
      <text>
        <r>
          <rPr>
            <sz val="11"/>
            <rFont val="Calibri"/>
          </rPr>
          <t>The Juniper SRX Services Gateway must be configured to synchronize internal information system clocks with the primary and secondary NTP servers for the network.</t>
        </r>
      </text>
    </comment>
    <comment ref="J37" authorId="0" shapeId="0" xr:uid="{00000000-0006-0000-0600-000062000000}">
      <text>
        <r>
          <rPr>
            <sz val="11"/>
            <rFont val="Calibri"/>
          </rPr>
          <t>The Juniper SRX Services Gateway Firewall must disable or remove unnecessary network services and functions that are not used as part of its role in the architecture.</t>
        </r>
      </text>
    </comment>
    <comment ref="K37" authorId="0" shapeId="0" xr:uid="{00000000-0006-0000-0600-000063000000}">
      <text>
        <r>
          <rPr>
            <sz val="11"/>
            <rFont val="Calibri"/>
          </rPr>
          <t>The Juniper SRX Services Gateway Firewall must not be configured as an NTP server since providing this network service is unrelated to the role as a firewall.</t>
        </r>
      </text>
    </comment>
    <comment ref="L37" authorId="0" shapeId="0" xr:uid="{00000000-0006-0000-0600-000064000000}">
      <text>
        <r>
          <rPr>
            <sz val="11"/>
            <rFont val="Calibri"/>
          </rPr>
          <t>The Juniper SRX Services Gateway Firewall must not be configured as a DNS proxy since providing this network service is unrelated to the role as a Firewall.</t>
        </r>
      </text>
    </comment>
    <comment ref="M37" authorId="0" shapeId="0" xr:uid="{00000000-0006-0000-0600-000065000000}">
      <text>
        <r>
          <rPr>
            <sz val="11"/>
            <rFont val="Calibri"/>
          </rPr>
          <t>The Juniper SRX Services Gateway Firewall must not be configured as a DHCP server since providing this network service is unrelated to the role as a Firewall.</t>
        </r>
      </text>
    </comment>
    <comment ref="N37" authorId="0" shapeId="0" xr:uid="{00000000-0006-0000-0600-000066000000}">
      <text>
        <r>
          <rPr>
            <sz val="11"/>
            <rFont val="Calibri"/>
          </rPr>
          <t>The Juniper SRX Services Gateway must disable or remove unnecessary network services and functions that are not used as part of its role in the architecture.</t>
        </r>
      </text>
    </comment>
    <comment ref="O37" authorId="0" shapeId="0" xr:uid="{00000000-0006-0000-0600-000067000000}">
      <text>
        <r>
          <rPr>
            <sz val="11"/>
            <rFont val="Calibri"/>
          </rPr>
          <t>The Juniper SRX Services Gateway must be configured to prohibit the use of unnecessary and/or nonsecure functions, ports, protocols, and/or services, as defined in the PPSM CAL and vulnerability assessments.</t>
        </r>
      </text>
    </comment>
    <comment ref="P37" authorId="0" shapeId="0" xr:uid="{00000000-0006-0000-0600-000068000000}">
      <text>
        <r>
          <rPr>
            <sz val="11"/>
            <rFont val="Calibri"/>
          </rPr>
          <t>For nonlocal maintenance sessions, the Juniper SRX Services Gateway must remove or explicitly deny the use of nonsecure protocols.</t>
        </r>
      </text>
    </comment>
    <comment ref="Q37" authorId="0" shapeId="0" xr:uid="{00000000-0006-0000-0600-000069000000}">
      <text>
        <r>
          <rPr>
            <sz val="11"/>
            <rFont val="Calibri"/>
          </rPr>
          <t>The Juniper SRX Services Gateway must ensure access to start a UNIX-level shell is restricted to only the root account.</t>
        </r>
      </text>
    </comment>
    <comment ref="R37" authorId="0" shapeId="0" xr:uid="{00000000-0006-0000-0600-00006A000000}">
      <text>
        <r>
          <rPr>
            <sz val="11"/>
            <rFont val="Calibri"/>
          </rPr>
          <t>For nonlocal maintenance sessions, the Juniper SRX Services Gateway must ensure only zones where management functionality is desired have host-inbound-traffic system-services configured.</t>
        </r>
      </text>
    </comment>
    <comment ref="S37" authorId="0" shapeId="0" xr:uid="{00000000-0006-0000-0600-00006B000000}">
      <text>
        <r>
          <rPr>
            <sz val="11"/>
            <rFont val="Calibri"/>
          </rPr>
          <t>For nonlocal maintenance sessions, the Juniper SRX Services Gateway must explicitly deny the use of J-Web.</t>
        </r>
      </text>
    </comment>
    <comment ref="J38" authorId="0" shapeId="0" xr:uid="{00000000-0006-0000-0600-00006C000000}">
      <text>
        <r>
          <rPr>
            <sz val="11"/>
            <rFont val="Calibri"/>
          </rPr>
          <t>The Juniper SRX Services Gateway Firewall must disable or remove unnecessary network services and functions that are not used as part of its role in the architecture.</t>
        </r>
      </text>
    </comment>
    <comment ref="K38" authorId="0" shapeId="0" xr:uid="{00000000-0006-0000-0600-00006D000000}">
      <text>
        <r>
          <rPr>
            <sz val="11"/>
            <rFont val="Calibri"/>
          </rPr>
          <t>The Juniper SRX Services Gateway must disable or remove unnecessary network services and functions that are not used as part of its role in the architecture.</t>
        </r>
      </text>
    </comment>
    <comment ref="L38" authorId="0" shapeId="0" xr:uid="{00000000-0006-0000-0600-00006E000000}">
      <text>
        <r>
          <rPr>
            <sz val="11"/>
            <rFont val="Calibri"/>
          </rPr>
          <t>The Juniper SRX Services Gateway must be configured to prohibit the use of unnecessary and/or nonsecure functions, ports, protocols, and/or services, as defined in the PPSM CAL and vulnerability assessments.</t>
        </r>
      </text>
    </comment>
    <comment ref="J43" authorId="0" shapeId="0" xr:uid="{00000000-0006-0000-0600-00006F000000}">
      <text>
        <r>
          <rPr>
            <sz val="11"/>
            <rFont val="Calibri"/>
          </rPr>
          <t>The Juniper SRX Services Gateway must be configured to use an authentication server to centrally manage authentication and logon settings for remote and nonlocal access.</t>
        </r>
      </text>
    </comment>
    <comment ref="K43" authorId="0" shapeId="0" xr:uid="{00000000-0006-0000-0600-000070000000}">
      <text>
        <r>
          <rPr>
            <sz val="11"/>
            <rFont val="Calibri"/>
          </rPr>
          <t>The Juniper SRX Services Gateway must be configured with only one local user account to be used as the account of last resort.</t>
        </r>
      </text>
    </comment>
    <comment ref="L43" authorId="0" shapeId="0" xr:uid="{00000000-0006-0000-0600-000071000000}">
      <text>
        <r>
          <rPr>
            <sz val="11"/>
            <rFont val="Calibri"/>
          </rPr>
          <t>For local accounts using password authentication (i.e., the root account and the account of last resort), the Juniper SRX Services Gateway must enforce a minimum 15-character password length.</t>
        </r>
      </text>
    </comment>
    <comment ref="M43" authorId="0" shapeId="0" xr:uid="{00000000-0006-0000-0600-000072000000}">
      <text>
        <r>
          <rPr>
            <sz val="11"/>
            <rFont val="Calibri"/>
          </rPr>
          <t>For local accounts using password authentication (i.e., the root account and the account of last resort), the Juniper SRX Services Gateway must enforce password complexity by setting the password change type to character sets.</t>
        </r>
      </text>
    </comment>
    <comment ref="N43" authorId="0" shapeId="0" xr:uid="{00000000-0006-0000-0600-000073000000}">
      <text>
        <r>
          <rPr>
            <sz val="11"/>
            <rFont val="Calibri"/>
          </rPr>
          <t>For local accounts using password authentication (i.e., the root account and the account of last resort), the Juniper SRX Services Gateway must enforce password complexity by requiring at least one uppercase character be used.</t>
        </r>
      </text>
    </comment>
    <comment ref="O43" authorId="0" shapeId="0" xr:uid="{00000000-0006-0000-0600-000074000000}">
      <text>
        <r>
          <rPr>
            <sz val="11"/>
            <rFont val="Calibri"/>
          </rPr>
          <t>For local accounts using password authentication (i.e., the root account and the account of last resort), the Juniper SRX Services Gateway must enforce password complexity by requiring at least one lowercase character be used.</t>
        </r>
      </text>
    </comment>
    <comment ref="P43" authorId="0" shapeId="0" xr:uid="{00000000-0006-0000-0600-000075000000}">
      <text>
        <r>
          <rPr>
            <sz val="11"/>
            <rFont val="Calibri"/>
          </rPr>
          <t>For local accounts using password authentication (i.e., the root account and the account of last resort), the Juniper SRX Services Gateway must enforce password complexity by requiring at least one numeric character be used.</t>
        </r>
      </text>
    </comment>
    <comment ref="Q43" authorId="0" shapeId="0" xr:uid="{00000000-0006-0000-0600-000076000000}">
      <text>
        <r>
          <rPr>
            <sz val="11"/>
            <rFont val="Calibri"/>
          </rPr>
          <t>For local accounts using password authentication (i.e., the root account and the account of last resort), the Juniper SRX Services Gateway must enforce password complexity by requiring at least one special character be used.</t>
        </r>
      </text>
    </comment>
    <comment ref="R43" authorId="0" shapeId="0" xr:uid="{00000000-0006-0000-0600-000077000000}">
      <text>
        <r>
          <rPr>
            <sz val="11"/>
            <rFont val="Calibri"/>
          </rPr>
          <t>The Juniper SRX Services Gateway must use the SHA256 or later protocol for password authentication for local accounts using password authentication (i.e., the root account and the account of last resort).</t>
        </r>
      </text>
    </comment>
    <comment ref="S43" authorId="0" shapeId="0" xr:uid="{00000000-0006-0000-0600-000078000000}">
      <text>
        <r>
          <rPr>
            <sz val="11"/>
            <rFont val="Calibri"/>
          </rPr>
          <t>The Juniper SRX Services Gateway must be configured to use an authentication server to centrally apply authentication and logon settings for remote and nonlocal access for device management.</t>
        </r>
      </text>
    </comment>
    <comment ref="T43" authorId="0" shapeId="0" xr:uid="{00000000-0006-0000-0600-000079000000}">
      <text>
        <r>
          <rPr>
            <sz val="11"/>
            <rFont val="Calibri"/>
          </rPr>
          <t>The Juniper SRX Services Gateway must specify the order in which authentication servers are used.</t>
        </r>
      </text>
    </comment>
    <comment ref="J44" authorId="0" shapeId="0" xr:uid="{00000000-0006-0000-0600-00007A000000}">
      <text>
        <r>
          <rPr>
            <sz val="11"/>
            <rFont val="Calibri"/>
          </rPr>
          <t>The Juniper SRX Services Gateway must be configured to use an authentication server to centrally manage authentication and logon settings for remote and nonlocal access.</t>
        </r>
      </text>
    </comment>
    <comment ref="K44" authorId="0" shapeId="0" xr:uid="{00000000-0006-0000-0600-00007B000000}">
      <text>
        <r>
          <rPr>
            <sz val="11"/>
            <rFont val="Calibri"/>
          </rPr>
          <t>The Juniper SRX Services Gateway must be configured to use an authentication server to centrally apply authentication and logon settings for remote and nonlocal access for device management.</t>
        </r>
      </text>
    </comment>
    <comment ref="L44" authorId="0" shapeId="0" xr:uid="{00000000-0006-0000-0600-00007C000000}">
      <text>
        <r>
          <rPr>
            <sz val="11"/>
            <rFont val="Calibri"/>
          </rPr>
          <t>The Juniper SRX Services Gateway must specify the order in which authentication servers are used.</t>
        </r>
      </text>
    </comment>
    <comment ref="J45" authorId="0" shapeId="0" xr:uid="{00000000-0006-0000-0600-00007D000000}">
      <text>
        <r>
          <rPr>
            <sz val="11"/>
            <rFont val="Calibri"/>
          </rPr>
          <t>The Juniper SRX Services Gateway VPN must not accept certificates that have been revoked when using PKI for authentication.</t>
        </r>
      </text>
    </comment>
    <comment ref="K45" authorId="0" shapeId="0" xr:uid="{00000000-0006-0000-0600-00007E000000}">
      <text>
        <r>
          <rPr>
            <sz val="11"/>
            <rFont val="Calibri"/>
          </rPr>
          <t>The Juniper SRX Services Gateway VPN must use multifactor authentication (e.g., DoD PKI) for network access to non-privileged accounts.</t>
        </r>
      </text>
    </comment>
    <comment ref="L45" authorId="0" shapeId="0" xr:uid="{00000000-0006-0000-0600-00007F000000}">
      <text>
        <r>
          <rPr>
            <sz val="11"/>
            <rFont val="Calibri"/>
          </rPr>
          <t>The Juniper SRX Services Gateway VPN must only allow the use of DoD PKI established certificate authorities for verification of the establishment of protected sessions.</t>
        </r>
      </text>
    </comment>
    <comment ref="M45" authorId="0" shapeId="0" xr:uid="{00000000-0006-0000-0600-000080000000}">
      <text>
        <r>
          <rPr>
            <sz val="11"/>
            <rFont val="Calibri"/>
          </rPr>
          <t>The Juniper SRX Services Gateway must use DOD-approved PKI rather than proprietary or self-signed device certificates.</t>
        </r>
      </text>
    </comment>
    <comment ref="N45" authorId="0" shapeId="0" xr:uid="{00000000-0006-0000-0600-000081000000}">
      <text>
        <r>
          <rPr>
            <sz val="11"/>
            <rFont val="Calibri"/>
          </rPr>
          <t>The Juniper SRX Services Gateway must implement replay-resistant authentication mechanisms for network access to privileged accounts.</t>
        </r>
      </text>
    </comment>
    <comment ref="J46" authorId="0" shapeId="0" xr:uid="{00000000-0006-0000-0600-000082000000}">
      <text>
        <r>
          <rPr>
            <sz val="11"/>
            <rFont val="Calibri"/>
          </rPr>
          <t>The Juniper SRX Services Gateway VPN must not accept certificates that have been revoked when using PKI for authentication.</t>
        </r>
      </text>
    </comment>
    <comment ref="K46" authorId="0" shapeId="0" xr:uid="{00000000-0006-0000-0600-000083000000}">
      <text>
        <r>
          <rPr>
            <sz val="11"/>
            <rFont val="Calibri"/>
          </rPr>
          <t>The Juniper SRX Services Gateway VPN must use multifactor authentication (e.g., DoD PKI) for network access to non-privileged accounts.</t>
        </r>
      </text>
    </comment>
    <comment ref="L46" authorId="0" shapeId="0" xr:uid="{00000000-0006-0000-0600-000084000000}">
      <text>
        <r>
          <rPr>
            <sz val="11"/>
            <rFont val="Calibri"/>
          </rPr>
          <t>The Juniper SRX Services Gateway VPN must only allow the use of DoD PKI established certificate authorities for verification of the establishment of protected sessions.</t>
        </r>
      </text>
    </comment>
    <comment ref="M46" authorId="0" shapeId="0" xr:uid="{00000000-0006-0000-0600-000085000000}">
      <text>
        <r>
          <rPr>
            <sz val="11"/>
            <rFont val="Calibri"/>
          </rPr>
          <t>The Juniper SRX Services Gateway must use DOD-approved PKI rather than proprietary or self-signed device certificates.</t>
        </r>
      </text>
    </comment>
    <comment ref="N46" authorId="0" shapeId="0" xr:uid="{00000000-0006-0000-0600-000086000000}">
      <text>
        <r>
          <rPr>
            <sz val="11"/>
            <rFont val="Calibri"/>
          </rPr>
          <t>The Juniper SRX Services Gateway must implement replay-resistant authentication mechanisms for network access to privileged accounts.</t>
        </r>
      </text>
    </comment>
    <comment ref="J47" authorId="0" shapeId="0" xr:uid="{00000000-0006-0000-0600-000087000000}">
      <text>
        <r>
          <rPr>
            <sz val="11"/>
            <rFont val="Calibri"/>
          </rPr>
          <t>For local accounts created on the device, the Juniper SRX Services Gateway must enforce the limit of three consecutive invalid logon attempts by a user during a 15-minute time period.</t>
        </r>
      </text>
    </comment>
    <comment ref="J52" authorId="0" shapeId="0" xr:uid="{00000000-0006-0000-0600-000088000000}">
      <text>
        <r>
          <rPr>
            <sz val="11"/>
            <rFont val="Calibri"/>
          </rPr>
          <t>The Juniper SRX Services Gateway Firewall must generate an alert to, at a minimum, the ISSO and ISSM when unusual/unauthorized activities or conditions are detected during continuous monitoring of communications traffic as it traverses inbound or outbound  across internal security boundaries.</t>
        </r>
      </text>
    </comment>
    <comment ref="K52" authorId="0" shapeId="0" xr:uid="{00000000-0006-0000-0600-000089000000}">
      <text>
        <r>
          <rPr>
            <sz val="11"/>
            <rFont val="Calibri"/>
          </rPr>
          <t>The Juniper SRX Services Gateway Firewall must generate an alert that can be forwarded to, at a minimum, the ISSO and ISSM when threats identified by authoritative sources are detected.</t>
        </r>
      </text>
    </comment>
    <comment ref="L52" authorId="0" shapeId="0" xr:uid="{00000000-0006-0000-0600-00008A000000}">
      <text>
        <r>
          <rPr>
            <sz val="11"/>
            <rFont val="Calibri"/>
          </rPr>
          <t>The Juniper SRX Services Gateway Firewall must generate an alert that can be forwarded to, at a minimum, the ISSO and ISSM when DoS incidents are detected.</t>
        </r>
      </text>
    </comment>
    <comment ref="M52" authorId="0" shapeId="0" xr:uid="{00000000-0006-0000-0600-00008B000000}">
      <text>
        <r>
          <rPr>
            <sz val="11"/>
            <rFont val="Calibri"/>
          </rPr>
          <t>The IDPS must send an alert to, at a minimum, the ISSO and ISSM when intrusion detection events are detected that indicate a compromise or potential for compromise.</t>
        </r>
      </text>
    </comment>
    <comment ref="N52" authorId="0" shapeId="0" xr:uid="{00000000-0006-0000-0600-00008C000000}">
      <text>
        <r>
          <rPr>
            <sz val="11"/>
            <rFont val="Calibri"/>
          </rPr>
          <t>The Juniper Networks SRX Series Gateway IDPS must generate an alert to, at a minimum, the ISSO and ISSM when root-level intrusion events that provide unauthorized privileged access are detected.</t>
        </r>
      </text>
    </comment>
    <comment ref="O52" authorId="0" shapeId="0" xr:uid="{00000000-0006-0000-0600-00008D000000}">
      <text>
        <r>
          <rPr>
            <sz val="11"/>
            <rFont val="Calibri"/>
          </rPr>
          <t>The IDPS must send an alert to, at a minimum, the ISSO and ISSM when DoS incidents are detected.</t>
        </r>
      </text>
    </comment>
    <comment ref="P52" authorId="0" shapeId="0" xr:uid="{00000000-0006-0000-0600-00008E000000}">
      <text>
        <r>
          <rPr>
            <sz val="11"/>
            <rFont val="Calibri"/>
          </rPr>
          <t>The Juniper Networks SRX Series Gateway IDPS must send an immediate alert to, at a minimum, the Security Control Auditor (SCA) when malicious code is detected.</t>
        </r>
      </text>
    </comment>
    <comment ref="Q52" authorId="0" shapeId="0" xr:uid="{00000000-0006-0000-0600-00008F000000}">
      <text>
        <r>
          <rPr>
            <sz val="11"/>
            <rFont val="Calibri"/>
          </rPr>
          <t>The Juniper SRX Services Gateway must generate an immediate system alert message to the management console when a log processing failure is detected.</t>
        </r>
      </text>
    </comment>
    <comment ref="R52" authorId="0" shapeId="0" xr:uid="{00000000-0006-0000-0600-000090000000}">
      <text>
        <r>
          <rPr>
            <sz val="11"/>
            <rFont val="Calibri"/>
          </rPr>
          <t>For local accounts, the Juniper SRX Services Gateway must generate an alert message to the management console and generate a log event record that can be forwarded to the ISSO and designated system administrators when local accounts are created.</t>
        </r>
      </text>
    </comment>
    <comment ref="S52" authorId="0" shapeId="0" xr:uid="{00000000-0006-0000-0600-000091000000}">
      <text>
        <r>
          <rPr>
            <sz val="11"/>
            <rFont val="Calibri"/>
          </rPr>
          <t>The Juniper SRX Services Gateway must generate an alert message to the management console and generate a log event record that can be forwarded to the ISSO and designated system administrators when the local accounts (i.e., the account of last resort or root account) are modified.</t>
        </r>
      </text>
    </comment>
    <comment ref="T52" authorId="0" shapeId="0" xr:uid="{00000000-0006-0000-0600-000092000000}">
      <text>
        <r>
          <rPr>
            <sz val="11"/>
            <rFont val="Calibri"/>
          </rPr>
          <t>The Juniper SRX Services Gateway must generate an alert message to the management console and generate a log event record that can be forwarded to the ISSO and designated system administrators when accounts are disabled.</t>
        </r>
      </text>
    </comment>
    <comment ref="U52" authorId="0" shapeId="0" xr:uid="{00000000-0006-0000-0600-000093000000}">
      <text>
        <r>
          <rPr>
            <sz val="11"/>
            <rFont val="Calibri"/>
          </rPr>
          <t>The Juniper SRX Services Gateway must generate an immediate alert message to the management console for account enabling actions.</t>
        </r>
      </text>
    </comment>
    <comment ref="V52" authorId="0" shapeId="0" xr:uid="{00000000-0006-0000-0600-000094000000}">
      <text>
        <r>
          <rPr>
            <sz val="11"/>
            <rFont val="Calibri"/>
          </rPr>
          <t>The Juniper SRX Services Gateway must detect the addition of components and issue a priority 1 alert to the ISSM and SA, at a minimum.</t>
        </r>
      </text>
    </comment>
    <comment ref="W52" authorId="0" shapeId="0" xr:uid="{00000000-0006-0000-0600-000095000000}">
      <text>
        <r>
          <rPr>
            <sz val="11"/>
            <rFont val="Calibri"/>
          </rPr>
          <t>The Juniper SRX Services Gateway must generate an alarm or send an alert message to the management console when a component failure is detected.</t>
        </r>
      </text>
    </comment>
    <comment ref="J68" authorId="0" shapeId="0" xr:uid="{00000000-0006-0000-0600-000096000000}">
      <text>
        <r>
          <rPr>
            <sz val="11"/>
            <rFont val="Calibri"/>
          </rPr>
          <t>The Juniper SRX Services Gateway must have the number of rollbacks set to 5 or more.</t>
        </r>
      </text>
    </comment>
    <comment ref="J70" authorId="0" shapeId="0" xr:uid="{00000000-0006-0000-0600-000097000000}">
      <text>
        <r>
          <rPr>
            <sz val="11"/>
            <rFont val="Calibri"/>
          </rPr>
          <t>The Juniper SRX Services Gateway must display the Standard Mandatory DoD Notice and Consent Banner before granting access.</t>
        </r>
      </text>
    </comment>
    <comment ref="J88" authorId="0" shapeId="0" xr:uid="{00000000-0006-0000-0600-000098000000}">
      <text>
        <r>
          <rPr>
            <sz val="11"/>
            <rFont val="Calibri"/>
          </rPr>
          <t>The Juniper SRX Services Gateway Firewall must only allow inbound communications from organization-defined authorized sources routed to organization-defined authorized destinations.</t>
        </r>
      </text>
    </comment>
    <comment ref="K88" authorId="0" shapeId="0" xr:uid="{00000000-0006-0000-0600-000099000000}">
      <text>
        <r>
          <rPr>
            <sz val="11"/>
            <rFont val="Calibri"/>
          </rPr>
          <t>The Juniper SRX Services Gateway Firewall must be configured to fail securely in the event of an operational failure of the firewall filtering or boundary protection function.</t>
        </r>
      </text>
    </comment>
    <comment ref="L88" authorId="0" shapeId="0" xr:uid="{00000000-0006-0000-0600-00009A000000}">
      <text>
        <r>
          <rPr>
            <sz val="11"/>
            <rFont val="Calibri"/>
          </rPr>
          <t>The Juniper SRX Services Gateway Firewall must deny network communications traffic by default and allow network communications traffic by exception (i.e., deny all, permit by exception).</t>
        </r>
      </text>
    </comment>
    <comment ref="M88" authorId="0" shapeId="0" xr:uid="{00000000-0006-0000-0600-00009B000000}">
      <text>
        <r>
          <rPr>
            <sz val="11"/>
            <rFont val="Calibri"/>
          </rPr>
          <t>The Juniper SRX Services Gateway Firewall must configure ICMP to meet DoD requirements.</t>
        </r>
      </text>
    </comment>
    <comment ref="N88" authorId="0" shapeId="0" xr:uid="{00000000-0006-0000-0600-00009C000000}">
      <text>
        <r>
          <rPr>
            <sz val="11"/>
            <rFont val="Calibri"/>
          </rPr>
          <t>The Juniper SRX Services Gateway VPN must uniquely identify and authenticate organizational users (or processes acting on behalf of organizational users).</t>
        </r>
      </text>
    </comment>
    <comment ref="O88" authorId="0" shapeId="0" xr:uid="{00000000-0006-0000-0600-00009D000000}">
      <text>
        <r>
          <rPr>
            <sz val="11"/>
            <rFont val="Calibri"/>
          </rPr>
          <t>The Juniper SRX Services Gateway VPN must uniquely identify and authenticate non-organizational users (or processes acting on behalf of non-organizational users).</t>
        </r>
      </text>
    </comment>
    <comment ref="P88" authorId="0" shapeId="0" xr:uid="{00000000-0006-0000-0600-00009E000000}">
      <text>
        <r>
          <rPr>
            <sz val="11"/>
            <rFont val="Calibri"/>
          </rPr>
          <t>The Juniper SRX Services Gateway VPN must only allow incoming VPN communications from organization-defined authorized sources routed to organization-defined authorized destinations.</t>
        </r>
      </text>
    </comment>
    <comment ref="Q88" authorId="0" shapeId="0" xr:uid="{00000000-0006-0000-0600-00009F000000}">
      <text>
        <r>
          <rPr>
            <sz val="11"/>
            <rFont val="Calibri"/>
          </rPr>
          <t>If the loopback interface is used, the Juniper SRX Services Gateway must protect the loopback interface with firewall filters for known attacks that may exploit this interface.</t>
        </r>
      </text>
    </comment>
    <comment ref="J91" authorId="0" shapeId="0" xr:uid="{00000000-0006-0000-0600-0000A0000000}">
      <text>
        <r>
          <rPr>
            <sz val="11"/>
            <rFont val="Calibri"/>
          </rPr>
          <t>The Juniper SRX Services Gateway VPN must renegotiate the IPsec security association after 8 hours or less.</t>
        </r>
      </text>
    </comment>
    <comment ref="K91" authorId="0" shapeId="0" xr:uid="{00000000-0006-0000-0600-0000A1000000}">
      <text>
        <r>
          <rPr>
            <sz val="11"/>
            <rFont val="Calibri"/>
          </rPr>
          <t>The Juniper SRX Services Gateway VPN must renegotiate the IKE security association after 24 hours or less.</t>
        </r>
      </text>
    </comment>
    <comment ref="L91" authorId="0" shapeId="0" xr:uid="{00000000-0006-0000-0600-0000A2000000}">
      <text>
        <r>
          <rPr>
            <sz val="11"/>
            <rFont val="Calibri"/>
          </rPr>
          <t>The Juniper SRX Services Gateway VPN must use AES256 for the IPsec proposal to protect the confidentiality of remote access sessions.</t>
        </r>
      </text>
    </comment>
    <comment ref="M91" authorId="0" shapeId="0" xr:uid="{00000000-0006-0000-0600-0000A3000000}">
      <text>
        <r>
          <rPr>
            <sz val="11"/>
            <rFont val="Calibri"/>
          </rPr>
          <t>The Juniper SRX Services Gateway VPN must use AES256 encryption for the Internet Key Exchange (IKE) proposal to protect the confidentiality of remote access sessions.</t>
        </r>
      </text>
    </comment>
    <comment ref="N91" authorId="0" shapeId="0" xr:uid="{00000000-0006-0000-0600-0000A4000000}">
      <text>
        <r>
          <rPr>
            <sz val="11"/>
            <rFont val="Calibri"/>
          </rPr>
          <t>The Juniper SRX Services Gateway VPN must be configured to use Diffie-Hellman (DH) group 15 or higher.</t>
        </r>
      </text>
    </comment>
    <comment ref="O91" authorId="0" shapeId="0" xr:uid="{00000000-0006-0000-0600-0000A5000000}">
      <text>
        <r>
          <rPr>
            <sz val="11"/>
            <rFont val="Calibri"/>
          </rPr>
          <t>The Juniper SRX Services Gateway VPN must be configured to use IPsec with SHA256 or greater to negotiate hashing to protect the integrity of remote access sessions.</t>
        </r>
      </text>
    </comment>
    <comment ref="P91" authorId="0" shapeId="0" xr:uid="{00000000-0006-0000-0600-0000A6000000}">
      <text>
        <r>
          <rPr>
            <sz val="11"/>
            <rFont val="Calibri"/>
          </rPr>
          <t>The Juniper SRX Services Gateway VPN must use Internet Key Exchange (IKE) for IPsec VPN Security Associations (SAs).</t>
        </r>
      </text>
    </comment>
    <comment ref="Q91" authorId="0" shapeId="0" xr:uid="{00000000-0006-0000-0600-0000A7000000}">
      <text>
        <r>
          <rPr>
            <sz val="11"/>
            <rFont val="Calibri"/>
          </rPr>
          <t>The Juniper SRX Services Gateway VPN must not accept certificates that have been revoked when using PKI for authentication.</t>
        </r>
      </text>
    </comment>
    <comment ref="R91" authorId="0" shapeId="0" xr:uid="{00000000-0006-0000-0600-0000A8000000}">
      <text>
        <r>
          <rPr>
            <sz val="11"/>
            <rFont val="Calibri"/>
          </rPr>
          <t>The Juniper SRX Services Gateway VPN must specify Perfect Forward Secrecy (PFS).</t>
        </r>
      </text>
    </comment>
    <comment ref="S91" authorId="0" shapeId="0" xr:uid="{00000000-0006-0000-0600-0000A9000000}">
      <text>
        <r>
          <rPr>
            <sz val="11"/>
            <rFont val="Calibri"/>
          </rPr>
          <t>The Juniper SRX Services Gateway VPN must use Encapsulating Security Payload (ESP) in tunnel mode.</t>
        </r>
      </text>
    </comment>
    <comment ref="T91" authorId="0" shapeId="0" xr:uid="{00000000-0006-0000-0600-0000AA000000}">
      <text>
        <r>
          <rPr>
            <sz val="11"/>
            <rFont val="Calibri"/>
          </rPr>
          <t>The Juniper SRX Services Gateway VPN must use IKEv2 for IPsec VPN security associations.</t>
        </r>
      </text>
    </comment>
    <comment ref="U91" authorId="0" shapeId="0" xr:uid="{00000000-0006-0000-0600-0000AB000000}">
      <text>
        <r>
          <rPr>
            <sz val="11"/>
            <rFont val="Calibri"/>
          </rPr>
          <t>The Juniper SRX Services Gateway VPN must use multifactor authentication (e.g., DoD PKI) for network access to non-privileged accounts.</t>
        </r>
      </text>
    </comment>
    <comment ref="V91" authorId="0" shapeId="0" xr:uid="{00000000-0006-0000-0600-0000AC000000}">
      <text>
        <r>
          <rPr>
            <sz val="11"/>
            <rFont val="Calibri"/>
          </rPr>
          <t>The Juniper SRX Services Gateway VPN Internet Key Exchange (IKE) must be configured to use an approved Commercial Solution for Classified (CSfC) when transporting classified traffic across an unclassified network.</t>
        </r>
      </text>
    </comment>
    <comment ref="W91" authorId="0" shapeId="0" xr:uid="{00000000-0006-0000-0600-0000AD000000}">
      <text>
        <r>
          <rPr>
            <sz val="11"/>
            <rFont val="Calibri"/>
          </rPr>
          <t>The Juniper SRX Services Gateway VPN IKE must use NIST FIPS-validated cryptography to implement encryption services for unclassified VPN traffic.</t>
        </r>
      </text>
    </comment>
    <comment ref="X91" authorId="0" shapeId="0" xr:uid="{00000000-0006-0000-0600-0000AE000000}">
      <text>
        <r>
          <rPr>
            <sz val="11"/>
            <rFont val="Calibri"/>
          </rPr>
          <t>The Juniper SRX Services Gateway VPN must configure Internet Key Exchange (IKE) with SHA1 or greater to protect the authenticity of communications sessions.</t>
        </r>
      </text>
    </comment>
    <comment ref="Y91" authorId="0" shapeId="0" xr:uid="{00000000-0006-0000-0600-0000AF000000}">
      <text>
        <r>
          <rPr>
            <sz val="11"/>
            <rFont val="Calibri"/>
          </rPr>
          <t>The Juniper SRX Services Gateway VPN must only allow the use of DoD PKI established certificate authorities for verification of the establishment of protected sessions.</t>
        </r>
      </text>
    </comment>
    <comment ref="Z91" authorId="0" shapeId="0" xr:uid="{00000000-0006-0000-0600-0000B0000000}">
      <text>
        <r>
          <rPr>
            <sz val="11"/>
            <rFont val="Calibri"/>
          </rPr>
          <t>The Juniper SRX Services Gateway VPN must use anti-replay mechanisms for security associations.</t>
        </r>
      </text>
    </comment>
    <comment ref="AA91" authorId="0" shapeId="0" xr:uid="{00000000-0006-0000-0600-0000B1000000}">
      <text>
        <r>
          <rPr>
            <sz val="11"/>
            <rFont val="Calibri"/>
          </rPr>
          <t>The Juniper SRX Services Gateway must use and securely configure SNMPv3 if SNMP is enabled.</t>
        </r>
      </text>
    </comment>
    <comment ref="AB91" authorId="0" shapeId="0" xr:uid="{00000000-0006-0000-0600-0000B2000000}">
      <text>
        <r>
          <rPr>
            <sz val="11"/>
            <rFont val="Calibri"/>
          </rPr>
          <t>For nonlocal maintenance sessions using SNMP, the Juniper SRX Services Gateway must use and securely configure SNMPv3 with SHA256 or higher to protect the integrity of maintenance and diagnostic communications.</t>
        </r>
      </text>
    </comment>
    <comment ref="AC91" authorId="0" shapeId="0" xr:uid="{00000000-0006-0000-0600-0000B3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AD91" authorId="0" shapeId="0" xr:uid="{00000000-0006-0000-0600-0000B4000000}">
      <text>
        <r>
          <rPr>
            <sz val="11"/>
            <rFont val="Calibri"/>
          </rPr>
          <t>The Juniper SRX Services Gateway must securely configure SNMPv3 with privacy options to protect the confidentiality of nonlocal maintenance and diagnostic communications using SNMP.</t>
        </r>
      </text>
    </comment>
    <comment ref="AE91" authorId="0" shapeId="0" xr:uid="{00000000-0006-0000-0600-0000B5000000}">
      <text>
        <r>
          <rPr>
            <sz val="11"/>
            <rFont val="Calibri"/>
          </rPr>
          <t>The Juniper SRX Services Gateway must use SSHv2 with privacy options to protect the confidentiality of maintenance and diagnostic communications for nonlocal maintenance sessions using SSH.</t>
        </r>
      </text>
    </comment>
    <comment ref="J93" authorId="0" shapeId="0" xr:uid="{00000000-0006-0000-0600-0000B6000000}">
      <text>
        <r>
          <rPr>
            <sz val="11"/>
            <rFont val="Calibri"/>
          </rPr>
          <t>The Juniper SRX Services Gateway VPN must renegotiate the IPsec security association after 8 hours or less.</t>
        </r>
      </text>
    </comment>
    <comment ref="K93" authorId="0" shapeId="0" xr:uid="{00000000-0006-0000-0600-0000B7000000}">
      <text>
        <r>
          <rPr>
            <sz val="11"/>
            <rFont val="Calibri"/>
          </rPr>
          <t>The Juniper SRX Services Gateway VPN must renegotiate the IKE security association after 24 hours or less.</t>
        </r>
      </text>
    </comment>
    <comment ref="L93" authorId="0" shapeId="0" xr:uid="{00000000-0006-0000-0600-0000B8000000}">
      <text>
        <r>
          <rPr>
            <sz val="11"/>
            <rFont val="Calibri"/>
          </rPr>
          <t>The Juniper SRX Services Gateway VPN must use AES256 for the IPsec proposal to protect the confidentiality of remote access sessions.</t>
        </r>
      </text>
    </comment>
    <comment ref="M93" authorId="0" shapeId="0" xr:uid="{00000000-0006-0000-0600-0000B9000000}">
      <text>
        <r>
          <rPr>
            <sz val="11"/>
            <rFont val="Calibri"/>
          </rPr>
          <t>The Juniper SRX Services Gateway VPN must use AES256 encryption for the Internet Key Exchange (IKE) proposal to protect the confidentiality of remote access sessions.</t>
        </r>
      </text>
    </comment>
    <comment ref="N93" authorId="0" shapeId="0" xr:uid="{00000000-0006-0000-0600-0000BA000000}">
      <text>
        <r>
          <rPr>
            <sz val="11"/>
            <rFont val="Calibri"/>
          </rPr>
          <t>The Juniper SRX Services Gateway VPN must be configured to use Diffie-Hellman (DH) group 15 or higher.</t>
        </r>
      </text>
    </comment>
    <comment ref="O93" authorId="0" shapeId="0" xr:uid="{00000000-0006-0000-0600-0000BB000000}">
      <text>
        <r>
          <rPr>
            <sz val="11"/>
            <rFont val="Calibri"/>
          </rPr>
          <t>The Juniper SRX Services Gateway VPN must be configured to use IPsec with SHA256 or greater to negotiate hashing to protect the integrity of remote access sessions.</t>
        </r>
      </text>
    </comment>
    <comment ref="P93" authorId="0" shapeId="0" xr:uid="{00000000-0006-0000-0600-0000BC000000}">
      <text>
        <r>
          <rPr>
            <sz val="11"/>
            <rFont val="Calibri"/>
          </rPr>
          <t>The Juniper SRX Services Gateway VPN must use Internet Key Exchange (IKE) for IPsec VPN Security Associations (SAs).</t>
        </r>
      </text>
    </comment>
    <comment ref="Q93" authorId="0" shapeId="0" xr:uid="{00000000-0006-0000-0600-0000BD000000}">
      <text>
        <r>
          <rPr>
            <sz val="11"/>
            <rFont val="Calibri"/>
          </rPr>
          <t>The Juniper SRX Services Gateway VPN must specify Perfect Forward Secrecy (PFS).</t>
        </r>
      </text>
    </comment>
    <comment ref="R93" authorId="0" shapeId="0" xr:uid="{00000000-0006-0000-0600-0000BE000000}">
      <text>
        <r>
          <rPr>
            <sz val="11"/>
            <rFont val="Calibri"/>
          </rPr>
          <t>The Juniper SRX Services Gateway VPN must use Encapsulating Security Payload (ESP) in tunnel mode.</t>
        </r>
      </text>
    </comment>
    <comment ref="S93" authorId="0" shapeId="0" xr:uid="{00000000-0006-0000-0600-0000BF000000}">
      <text>
        <r>
          <rPr>
            <sz val="11"/>
            <rFont val="Calibri"/>
          </rPr>
          <t>The Juniper SRX Services Gateway VPN must use IKEv2 for IPsec VPN security associations.</t>
        </r>
      </text>
    </comment>
    <comment ref="T93" authorId="0" shapeId="0" xr:uid="{00000000-0006-0000-0600-0000C0000000}">
      <text>
        <r>
          <rPr>
            <sz val="11"/>
            <rFont val="Calibri"/>
          </rPr>
          <t>The Juniper SRX Services Gateway VPN Internet Key Exchange (IKE) must be configured to use an approved Commercial Solution for Classified (CSfC) when transporting classified traffic across an unclassified network.</t>
        </r>
      </text>
    </comment>
    <comment ref="U93" authorId="0" shapeId="0" xr:uid="{00000000-0006-0000-0600-0000C1000000}">
      <text>
        <r>
          <rPr>
            <sz val="11"/>
            <rFont val="Calibri"/>
          </rPr>
          <t>The Juniper SRX Services Gateway VPN IKE must use NIST FIPS-validated cryptography to implement encryption services for unclassified VPN traffic.</t>
        </r>
      </text>
    </comment>
    <comment ref="V93" authorId="0" shapeId="0" xr:uid="{00000000-0006-0000-0600-0000C2000000}">
      <text>
        <r>
          <rPr>
            <sz val="11"/>
            <rFont val="Calibri"/>
          </rPr>
          <t>The Juniper SRX Services Gateway VPN must configure Internet Key Exchange (IKE) with SHA1 or greater to protect the authenticity of communications sessions.</t>
        </r>
      </text>
    </comment>
    <comment ref="W93" authorId="0" shapeId="0" xr:uid="{00000000-0006-0000-0600-0000C3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J94" authorId="0" shapeId="0" xr:uid="{00000000-0006-0000-0600-0000C4000000}">
      <text>
        <r>
          <rPr>
            <sz val="11"/>
            <rFont val="Calibri"/>
          </rPr>
          <t>The Juniper SRX Services Gateway VPN IKE must use NIST FIPS-validated cryptography to implement encryption services for unclassified VPN traffic.</t>
        </r>
      </text>
    </comment>
    <comment ref="K94" authorId="0" shapeId="0" xr:uid="{00000000-0006-0000-0600-0000C5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J99" authorId="0" shapeId="0" xr:uid="{00000000-0006-0000-0600-0000C6000000}">
      <text>
        <r>
          <rPr>
            <sz val="11"/>
            <rFont val="Calibri"/>
          </rPr>
          <t>The Juniper SRX Services Gateway must be configured to use Junos 12.1 X46 or later to meet the minimum required version for DoD.</t>
        </r>
      </text>
    </comment>
    <comment ref="J100" authorId="0" shapeId="0" xr:uid="{00000000-0006-0000-0600-0000C7000000}">
      <text>
        <r>
          <rPr>
            <sz val="11"/>
            <rFont val="Calibri"/>
          </rPr>
          <t>The Juniper SRX Services Gateway Firewall providing content filtering must protect against known and unknown types of denial-of-service (DoS) attacks by implementing statistics-based screens.</t>
        </r>
      </text>
    </comment>
    <comment ref="K100" authorId="0" shapeId="0" xr:uid="{00000000-0006-0000-0600-0000D5000000}">
      <text>
        <r>
          <rPr>
            <sz val="11"/>
            <rFont val="Calibri"/>
          </rPr>
          <t>The Juniper SRX Services Gateway Firewall must implement load balancing on the perimeter firewall, at a minimum, to limit the effects of known and unknown types of denial-of-service (DoS) attacks on the network.</t>
        </r>
      </text>
    </comment>
    <comment ref="L100" authorId="0" shapeId="0" xr:uid="{00000000-0006-0000-0600-0000D6000000}">
      <text>
        <r>
          <rPr>
            <sz val="11"/>
            <rFont val="Calibri"/>
          </rPr>
          <t>The Juniper SRX Services Gateway Firewall must protect against known types of denial-of-service (DoS) attacks by implementing signature-based screens.</t>
        </r>
      </text>
    </comment>
    <comment ref="M100" authorId="0" shapeId="0" xr:uid="{00000000-0006-0000-0600-0000D7000000}">
      <text>
        <r>
          <rPr>
            <sz val="11"/>
            <rFont val="Calibri"/>
          </rPr>
          <t>The Juniper SRX Services Gateway Firewall must block outbound traffic containing known and unknown denial-of-service (DoS) attacks to protect against the use of internal information systems to launch any DoS attacks against other networks or endpoints.</t>
        </r>
      </text>
    </comment>
    <comment ref="N100" authorId="0" shapeId="0" xr:uid="{00000000-0006-0000-0600-0000D8000000}">
      <text>
        <r>
          <rPr>
            <sz val="11"/>
            <rFont val="Calibri"/>
          </rPr>
          <t>The Juniper SRX Services Gateway Firewall must continuously monitor all inbound communications traffic for unusual/unauthorized activities or conditions.</t>
        </r>
      </text>
    </comment>
    <comment ref="O100" authorId="0" shapeId="0" xr:uid="{00000000-0006-0000-0600-0000D9000000}">
      <text>
        <r>
          <rPr>
            <sz val="11"/>
            <rFont val="Calibri"/>
          </rPr>
          <t>The Juniper SRX Services Gateway Firewall must continuously monitor outbound communications traffic for unusual/unauthorized activities or conditions.</t>
        </r>
      </text>
    </comment>
    <comment ref="P100" authorId="0" shapeId="0" xr:uid="{00000000-0006-0000-0600-0000DA000000}">
      <text>
        <r>
          <rPr>
            <sz val="11"/>
            <rFont val="Calibri"/>
          </rPr>
          <t>The Juniper SRX Services Gateway Firewall must generate an alert that can be forwarded to, at a minimum, the ISSO and ISSM when DoS incidents are detected.</t>
        </r>
      </text>
    </comment>
    <comment ref="Q100" authorId="0" shapeId="0" xr:uid="{00000000-0006-0000-0600-0000DB000000}">
      <text>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text>
    </comment>
    <comment ref="R100" authorId="0" shapeId="0" xr:uid="{00000000-0006-0000-0600-0000DC000000}">
      <text>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text>
    </comment>
    <comment ref="S100" authorId="0" shapeId="0" xr:uid="{00000000-0006-0000-0600-0000DD000000}">
      <text>
        <r>
          <rPr>
            <sz val="11"/>
            <rFont val="Calibri"/>
          </rPr>
          <t>The Juniper Networks SRX Series Gateway IDPS must block outbound traffic containing known and unknown DoS attacks by ensuring that rules are applied to outbound communications traffic.</t>
        </r>
      </text>
    </comment>
    <comment ref="T100" authorId="0" shapeId="0" xr:uid="{00000000-0006-0000-0600-0000DE000000}">
      <text>
        <r>
          <rPr>
            <sz val="11"/>
            <rFont val="Calibri"/>
          </rPr>
          <t>The Juniper Networks SRX Series Gateway IDPS must block outbound traffic containing known and unknown DoS attacks by ensuring that signature-based objects are applied to outbound communications traffic.</t>
        </r>
      </text>
    </comment>
    <comment ref="U100" authorId="0" shapeId="0" xr:uid="{00000000-0006-0000-0600-0000DF000000}">
      <text>
        <r>
          <rPr>
            <sz val="11"/>
            <rFont val="Calibri"/>
          </rPr>
          <t>The Juniper Networks SRX Series Gateway IDPS must block outbound traffic containing known and unknown DoS attacks by ensuring that anomaly-based attack objects are applied to outbound communications traffic.</t>
        </r>
      </text>
    </comment>
    <comment ref="V100" authorId="0" shapeId="0" xr:uid="{00000000-0006-0000-0600-0000E0000000}">
      <text>
        <r>
          <rPr>
            <sz val="11"/>
            <rFont val="Calibri"/>
          </rPr>
          <t>The Juniper Networks SRX Series Gateway IDPS must detect, at a minimum, mobile code that is unsigned or exhibiting unusual behavior, has not undergone a risk assessment, or is prohibited for use based on a risk assessment.</t>
        </r>
      </text>
    </comment>
    <comment ref="W100" authorId="0" shapeId="0" xr:uid="{00000000-0006-0000-0600-0000E1000000}">
      <text>
        <r>
          <rPr>
            <sz val="11"/>
            <rFont val="Calibri"/>
          </rPr>
          <t>The Juniper Networks SRX Series Gateway IDPS must block any prohibited mobile code at the enclave boundary when it is detected.</t>
        </r>
      </text>
    </comment>
    <comment ref="X100" authorId="0" shapeId="0" xr:uid="{00000000-0006-0000-0600-0000E2000000}">
      <text>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text>
    </comment>
    <comment ref="Y100" authorId="0" shapeId="0" xr:uid="{00000000-0006-0000-0600-0000E3000000}">
      <text>
        <r>
          <rPr>
            <sz val="11"/>
            <rFont val="Calibri"/>
          </rPr>
          <t>To protect against unauthorized data mining, the Juniper Networks SRX Series Gateway IDPS must prevent code injection attacks launched against data storage objects, including, at a minimum, databases, database records, queries, and fields.</t>
        </r>
      </text>
    </comment>
    <comment ref="Z100" authorId="0" shapeId="0" xr:uid="{00000000-0006-0000-0600-0000E4000000}">
      <text>
        <r>
          <rPr>
            <sz val="11"/>
            <rFont val="Calibri"/>
          </rPr>
          <t>To protect against unauthorized data mining, the Juniper Networks SRX Series Gateway IDPS must prevent code injection attacks launched against application objects, including, at a minimum, application URLs and application code.</t>
        </r>
      </text>
    </comment>
    <comment ref="AA100" authorId="0" shapeId="0" xr:uid="{00000000-0006-0000-0600-0000E5000000}">
      <text>
        <r>
          <rPr>
            <sz val="11"/>
            <rFont val="Calibri"/>
          </rPr>
          <t>To protect against unauthorized data mining, the Juniper Networks SRX Series Gateway IDPS must prevent SQL injection attacks launched against data storage objects, including, at a minimum, databases, database records, and database fields.</t>
        </r>
      </text>
    </comment>
    <comment ref="AB100" authorId="0" shapeId="0" xr:uid="{00000000-0006-0000-0600-0000E6000000}">
      <text>
        <r>
          <rPr>
            <sz val="11"/>
            <rFont val="Calibri"/>
          </rPr>
          <t>To protect against unauthorized data mining, the Juniper Networks SRX Series Gateway IDPS must detect code injection attacks launched against data storage objects, including, at a minimum, databases, database records, queries, and fields.</t>
        </r>
      </text>
    </comment>
    <comment ref="AC100" authorId="0" shapeId="0" xr:uid="{00000000-0006-0000-0600-0000E7000000}">
      <text>
        <r>
          <rPr>
            <sz val="11"/>
            <rFont val="Calibri"/>
          </rPr>
          <t>To protect against unauthorized data mining, the Juniper Networks SRX Series Gateway IDPS must detect code injection attacks launched against application objects, including, at a minimum, application URLs and application code.</t>
        </r>
      </text>
    </comment>
    <comment ref="AD100" authorId="0" shapeId="0" xr:uid="{00000000-0006-0000-0600-0000E8000000}">
      <text>
        <r>
          <rPr>
            <sz val="11"/>
            <rFont val="Calibri"/>
          </rPr>
          <t>To protect against unauthorized data mining, the Juniper Networks SRX Series Gateway IDPS must detect SQL injection attacks launched against data storage objects, including, at a minimum, databases, database records, and database fields.</t>
        </r>
      </text>
    </comment>
    <comment ref="AE100" authorId="0" shapeId="0" xr:uid="{00000000-0006-0000-0600-0000E9000000}">
      <text>
        <r>
          <rPr>
            <sz val="11"/>
            <rFont val="Calibri"/>
          </rPr>
          <t>The Juniper Networks SRX Series Gateway IDPS must protect against or limit the effects of known and unknown types of Denial of Service (DoS) attacks by employing rate-based attack prevention behavior analysis.</t>
        </r>
      </text>
    </comment>
    <comment ref="AF100" authorId="0" shapeId="0" xr:uid="{00000000-0006-0000-0600-0000EA000000}">
      <text>
        <r>
          <rPr>
            <sz val="11"/>
            <rFont val="Calibri"/>
          </rPr>
          <t>The Juniper Networks SRX Series Gateway IDPS must protect against or limit the effects of known and unknown types of Denial of Service (DoS) attacks by employing anomaly-based detection.</t>
        </r>
      </text>
    </comment>
    <comment ref="AG100" authorId="0" shapeId="0" xr:uid="{00000000-0006-0000-0600-0000EB000000}">
      <text>
        <r>
          <rPr>
            <sz val="11"/>
            <rFont val="Calibri"/>
          </rPr>
          <t>The Juniper Networks SRX Series Gateway IDPS must protect against or limit the effects of known types of Denial of Service (DoS) attacks by employing signatures.</t>
        </r>
      </text>
    </comment>
    <comment ref="AH100" authorId="0" shapeId="0" xr:uid="{00000000-0006-0000-0600-0000C8000000}">
      <text>
        <r>
          <rPr>
            <sz val="11"/>
            <rFont val="Calibri"/>
          </rPr>
          <t>The IDPS must send an alert to, at a minimum, the ISSO and ISSM when intrusion detection events are detected that indicate a compromise or potential for compromise.</t>
        </r>
      </text>
    </comment>
    <comment ref="AI100" authorId="0" shapeId="0" xr:uid="{00000000-0006-0000-0600-0000C9000000}">
      <text>
        <r>
          <rPr>
            <sz val="11"/>
            <rFont val="Calibri"/>
          </rPr>
          <t>The Juniper Networks SRX Series Gateway IDPS must generate an alert to, at a minimum, the ISSO and ISSM when root-level intrusion events that provide unauthorized privileged access are detected.</t>
        </r>
      </text>
    </comment>
    <comment ref="AJ100" authorId="0" shapeId="0" xr:uid="{00000000-0006-0000-0600-0000CA000000}">
      <text>
        <r>
          <rPr>
            <sz val="11"/>
            <rFont val="Calibri"/>
          </rPr>
          <t>The IDPS must send an alert to, at a minimum, the ISSO and ISSM when DoS incidents are detected.</t>
        </r>
      </text>
    </comment>
    <comment ref="AK100" authorId="0" shapeId="0" xr:uid="{00000000-0006-0000-0600-0000CB000000}">
      <text>
        <r>
          <rPr>
            <sz val="11"/>
            <rFont val="Calibri"/>
          </rPr>
          <t>The Juniper Networks SRX Series Gateway IDPS must automatically install updates to signature definitions.</t>
        </r>
      </text>
    </comment>
    <comment ref="AL100" authorId="0" shapeId="0" xr:uid="{00000000-0006-0000-0600-0000CC000000}">
      <text>
        <r>
          <rPr>
            <sz val="11"/>
            <rFont val="Calibri"/>
          </rPr>
          <t>The Juniper Networks SRX Series Gateway IDPS must perform real-time monitoring of files from external sources at network entry/exit points.</t>
        </r>
      </text>
    </comment>
    <comment ref="AM100" authorId="0" shapeId="0" xr:uid="{00000000-0006-0000-0600-0000CD000000}">
      <text>
        <r>
          <rPr>
            <sz val="11"/>
            <rFont val="Calibri"/>
          </rPr>
          <t>The Juniper Networks SRX Series Gateway IDPS must drop packets or disconnect the connection when malicious code is detected.</t>
        </r>
      </text>
    </comment>
    <comment ref="AN100" authorId="0" shapeId="0" xr:uid="{00000000-0006-0000-0600-0000CE000000}">
      <text>
        <r>
          <rPr>
            <sz val="11"/>
            <rFont val="Calibri"/>
          </rPr>
          <t>The Juniper Networks SRX Series Gateway IDPS must send an immediate alert to, at a minimum, the Security Control Auditor (SCA) when malicious code is detected.</t>
        </r>
      </text>
    </comment>
    <comment ref="AO100" authorId="0" shapeId="0" xr:uid="{00000000-0006-0000-0600-0000CF000000}">
      <text>
        <r>
          <rPr>
            <sz val="11"/>
            <rFont val="Calibri"/>
          </rPr>
          <t>The Juniper Networks SRX Series Gateway IDPS must have only active Juniper Networks licenses.</t>
        </r>
      </text>
    </comment>
    <comment ref="AP100" authorId="0" shapeId="0" xr:uid="{00000000-0006-0000-0600-0000D0000000}">
      <text>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text>
    </comment>
    <comment ref="AQ100" authorId="0" shapeId="0" xr:uid="{00000000-0006-0000-0600-0000D1000000}">
      <text>
        <r>
          <rPr>
            <sz val="11"/>
            <rFont val="Calibri"/>
          </rPr>
          <t>The Juniper SRX Services Gateway VPN device also fulfills the role of IDPS in the architecture, the device must inspect the VPN traffic in compliance with DoD IDPS requirements.</t>
        </r>
      </text>
    </comment>
    <comment ref="AR100" authorId="0" shapeId="0" xr:uid="{00000000-0006-0000-0600-0000D2000000}">
      <text>
        <r>
          <rPr>
            <sz val="11"/>
            <rFont val="Calibri"/>
          </rPr>
          <t>If IDPS inspection is performed separately from the Juniper SRX Services Gateway VPN device, the VPN must route sessions to an IDPS for inspection.</t>
        </r>
      </text>
    </comment>
    <comment ref="AS100" authorId="0" shapeId="0" xr:uid="{00000000-0006-0000-0600-0000D3000000}">
      <text>
        <r>
          <rPr>
            <sz val="11"/>
            <rFont val="Calibri"/>
          </rPr>
          <t>The Juniper SRX Services Gateway must configure the control plane to protect against or limit the effects of common types of Denial of Service (DoS) attacks on the device itself by configuring applicable system options and internet-options.</t>
        </r>
      </text>
    </comment>
    <comment ref="AT100" authorId="0" shapeId="0" xr:uid="{00000000-0006-0000-0600-0000D4000000}">
      <text>
        <r>
          <rPr>
            <sz val="11"/>
            <rFont val="Calibri"/>
          </rPr>
          <t>The Juniper SRX Services Gateway must implement service redundancy to protect against or limit the effects of common types of Denial of Service (DoS) attacks on the device itself.</t>
        </r>
      </text>
    </comment>
    <comment ref="J102" authorId="0" shapeId="0" xr:uid="{00000000-0006-0000-0600-0000EC000000}">
      <text>
        <r>
          <rPr>
            <sz val="11"/>
            <rFont val="Calibri"/>
          </rPr>
          <t>The Juniper SRX Services Gateway Firewall must continuously monitor all inbound communications traffic for unusual/unauthorized activities or conditions.</t>
        </r>
      </text>
    </comment>
    <comment ref="K102" authorId="0" shapeId="0" xr:uid="{00000000-0006-0000-0600-0000ED000000}">
      <text>
        <r>
          <rPr>
            <sz val="11"/>
            <rFont val="Calibri"/>
          </rPr>
          <t>The Juniper SRX Services Gateway Firewall must continuously monitor outbound communications traffic for unusual/unauthorized activities or conditions.</t>
        </r>
      </text>
    </comment>
    <comment ref="L102" authorId="0" shapeId="0" xr:uid="{00000000-0006-0000-0600-0000EE000000}">
      <text>
        <r>
          <rPr>
            <sz val="11"/>
            <rFont val="Calibri"/>
          </rPr>
          <t>The Juniper Networks SRX Series Gateway IDPS must provide audit record generation capability for detecting events based on implementation of policy filters, rules, and signatures.</t>
        </r>
      </text>
    </comment>
    <comment ref="M102" authorId="0" shapeId="0" xr:uid="{00000000-0006-0000-0600-0000EF000000}">
      <text>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text>
    </comment>
    <comment ref="N102" authorId="0" shapeId="0" xr:uid="{00000000-0006-0000-0600-0000F0000000}">
      <text>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text>
    </comment>
    <comment ref="O102" authorId="0" shapeId="0" xr:uid="{00000000-0006-0000-0600-0000F1000000}">
      <text>
        <r>
          <rPr>
            <sz val="11"/>
            <rFont val="Calibri"/>
          </rPr>
          <t>The Juniper Networks SRX Series Gateway IDPS must provide audit record generation with a configurable severity and escalation level capability.</t>
        </r>
      </text>
    </comment>
    <comment ref="P102" authorId="0" shapeId="0" xr:uid="{00000000-0006-0000-0600-0000F2000000}">
      <text>
        <r>
          <rPr>
            <sz val="11"/>
            <rFont val="Calibri"/>
          </rPr>
          <t>The Juniper Networks SRX Series Gateway IDPS must detect, at a minimum, mobile code that is unsigned or exhibiting unusual behavior, has not undergone a risk assessment, or is prohibited for use based on a risk assessment.</t>
        </r>
      </text>
    </comment>
    <comment ref="Q102" authorId="0" shapeId="0" xr:uid="{00000000-0006-0000-0600-0000F3000000}">
      <text>
        <r>
          <rPr>
            <sz val="11"/>
            <rFont val="Calibri"/>
          </rPr>
          <t>The Juniper Networks SRX Series Gateway IDPS must block any prohibited mobile code at the enclave boundary when it is detected.</t>
        </r>
      </text>
    </comment>
    <comment ref="R102" authorId="0" shapeId="0" xr:uid="{00000000-0006-0000-0600-0000F4000000}">
      <text>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text>
    </comment>
    <comment ref="S102" authorId="0" shapeId="0" xr:uid="{00000000-0006-0000-0600-0000F5000000}">
      <text>
        <r>
          <rPr>
            <sz val="11"/>
            <rFont val="Calibri"/>
          </rPr>
          <t>To protect against unauthorized data mining, the Juniper Networks SRX Series Gateway IDPS must prevent code injection attacks launched against data storage objects, including, at a minimum, databases, database records, queries, and fields.</t>
        </r>
      </text>
    </comment>
    <comment ref="T102" authorId="0" shapeId="0" xr:uid="{00000000-0006-0000-0600-0000F6000000}">
      <text>
        <r>
          <rPr>
            <sz val="11"/>
            <rFont val="Calibri"/>
          </rPr>
          <t>To protect against unauthorized data mining, the Juniper Networks SRX Series Gateway IDPS must prevent code injection attacks launched against application objects, including, at a minimum, application URLs and application code.</t>
        </r>
      </text>
    </comment>
    <comment ref="U102" authorId="0" shapeId="0" xr:uid="{00000000-0006-0000-0600-0000F7000000}">
      <text>
        <r>
          <rPr>
            <sz val="11"/>
            <rFont val="Calibri"/>
          </rPr>
          <t>To protect against unauthorized data mining, the Juniper Networks SRX Series Gateway IDPS must prevent SQL injection attacks launched against data storage objects, including, at a minimum, databases, database records, and database fields.</t>
        </r>
      </text>
    </comment>
    <comment ref="V102" authorId="0" shapeId="0" xr:uid="{00000000-0006-0000-0600-0000F8000000}">
      <text>
        <r>
          <rPr>
            <sz val="11"/>
            <rFont val="Calibri"/>
          </rPr>
          <t>To protect against unauthorized data mining, the Juniper Networks SRX Series Gateway IDPS must detect code injection attacks launched against data storage objects, including, at a minimum, databases, database records, queries, and fields.</t>
        </r>
      </text>
    </comment>
    <comment ref="W102" authorId="0" shapeId="0" xr:uid="{00000000-0006-0000-0600-0000F9000000}">
      <text>
        <r>
          <rPr>
            <sz val="11"/>
            <rFont val="Calibri"/>
          </rPr>
          <t>To protect against unauthorized data mining, the Juniper Networks SRX Series Gateway IDPS must detect code injection attacks launched against application objects, including, at a minimum, application URLs and application code.</t>
        </r>
      </text>
    </comment>
    <comment ref="X102" authorId="0" shapeId="0" xr:uid="{00000000-0006-0000-0600-0000FA000000}">
      <text>
        <r>
          <rPr>
            <sz val="11"/>
            <rFont val="Calibri"/>
          </rPr>
          <t>To protect against unauthorized data mining, the Juniper Networks SRX Series Gateway IDPS must detect SQL injection attacks launched against data storage objects, including, at a minimum, databases, database records, and database fields.</t>
        </r>
      </text>
    </comment>
    <comment ref="Y102" authorId="0" shapeId="0" xr:uid="{00000000-0006-0000-0600-0000FB000000}">
      <text>
        <r>
          <rPr>
            <sz val="11"/>
            <rFont val="Calibri"/>
          </rPr>
          <t>The Juniper Networks SRX Series Gateway IDPS must automatically install updates to signature definitions.</t>
        </r>
      </text>
    </comment>
    <comment ref="Z102" authorId="0" shapeId="0" xr:uid="{00000000-0006-0000-0600-0000FC000000}">
      <text>
        <r>
          <rPr>
            <sz val="11"/>
            <rFont val="Calibri"/>
          </rPr>
          <t>The Juniper Networks SRX Series Gateway IDPS must perform real-time monitoring of files from external sources at network entry/exit points.</t>
        </r>
      </text>
    </comment>
    <comment ref="AA102" authorId="0" shapeId="0" xr:uid="{00000000-0006-0000-0600-0000FD000000}">
      <text>
        <r>
          <rPr>
            <sz val="11"/>
            <rFont val="Calibri"/>
          </rPr>
          <t>The Juniper Networks SRX Series Gateway IDPS must drop packets or disconnect the connection when malicious code is detected.</t>
        </r>
      </text>
    </comment>
    <comment ref="AB102" authorId="0" shapeId="0" xr:uid="{00000000-0006-0000-0600-0000FE000000}">
      <text>
        <r>
          <rPr>
            <sz val="11"/>
            <rFont val="Calibri"/>
          </rPr>
          <t>The Juniper Networks SRX Series Gateway IDPS must have only active Juniper Networks licenses.</t>
        </r>
      </text>
    </comment>
    <comment ref="AC102" authorId="0" shapeId="0" xr:uid="{00000000-0006-0000-0600-0000FF000000}">
      <text>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text>
    </comment>
    <comment ref="AD102" authorId="0" shapeId="0" xr:uid="{00000000-0006-0000-0600-000000010000}">
      <text>
        <r>
          <rPr>
            <sz val="11"/>
            <rFont val="Calibri"/>
          </rPr>
          <t>The Juniper SRX Services Gateway VPN device also fulfills the role of IDPS in the architecture, the device must inspect the VPN traffic in compliance with DoD IDPS requirements.</t>
        </r>
      </text>
    </comment>
    <comment ref="AE102" authorId="0" shapeId="0" xr:uid="{00000000-0006-0000-0600-000001010000}">
      <text>
        <r>
          <rPr>
            <sz val="11"/>
            <rFont val="Calibri"/>
          </rPr>
          <t>If IDPS inspection is performed separately from the Juniper SRX Services Gateway VPN device, the VPN must route sessions to an IDPS for inspection.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Juniper SRX Services Gateway Firewall must terminate all communications sessions associated with user traffic after 15 minutes or less of inactivity.</t>
        </r>
      </text>
    </comment>
    <comment ref="I89" authorId="0" shapeId="0" xr:uid="{00000000-0006-0000-0700-000006000000}">
      <text>
        <r>
          <rPr>
            <sz val="11"/>
            <rFont val="Calibri"/>
          </rPr>
          <t>The Juniper SRX Services Gateway VPN must terminate all network connections associated with a communications session at the end of the session.</t>
        </r>
      </text>
    </comment>
    <comment ref="J89" authorId="0" shapeId="0" xr:uid="{00000000-0006-0000-0700-000002000000}">
      <text>
        <r>
          <rPr>
            <sz val="11"/>
            <rFont val="Calibri"/>
          </rPr>
          <t>For local accounts created on the device, the Juniper SRX Services Gateway must enforce the limit of three consecutive invalid logon attempts by a user during a 15-minute time period.</t>
        </r>
      </text>
    </comment>
    <comment ref="K89" authorId="0" shapeId="0" xr:uid="{00000000-0006-0000-0700-000003000000}">
      <text>
        <r>
          <rPr>
            <sz val="11"/>
            <rFont val="Calibri"/>
          </rPr>
          <t>The Juniper SRX Services Gateway must terminate a device management session after 10 minutes of inactivity, except to fulfill documented and validated mission requirements.</t>
        </r>
      </text>
    </comment>
    <comment ref="L89" authorId="0" shapeId="0" xr:uid="{00000000-0006-0000-0700-000004000000}">
      <text>
        <r>
          <rPr>
            <sz val="11"/>
            <rFont val="Calibri"/>
          </rPr>
          <t>The Juniper SRX Services Gateway must terminate a device management session if the keep-alive count is exceeded.</t>
        </r>
      </text>
    </comment>
    <comment ref="M89" authorId="0" shapeId="0" xr:uid="{00000000-0006-0000-0700-000005000000}">
      <text>
        <r>
          <rPr>
            <sz val="11"/>
            <rFont val="Calibri"/>
          </rPr>
          <t>The Juniper SRX Services Gateway must automatically terminate a network administrator session after organization-defined conditions or trigger events requiring session disconnect.</t>
        </r>
      </text>
    </comment>
    <comment ref="H91" authorId="0" shapeId="0" xr:uid="{00000000-0006-0000-0700-000007000000}">
      <text>
        <r>
          <rPr>
            <sz val="11"/>
            <rFont val="Calibri"/>
          </rPr>
          <t>The Juniper SRX Services Gateway VPN must not accept certificates that have been revoked when using PKI for authentication.</t>
        </r>
      </text>
    </comment>
    <comment ref="I91" authorId="0" shapeId="0" xr:uid="{00000000-0006-0000-0700-000012000000}">
      <text>
        <r>
          <rPr>
            <sz val="11"/>
            <rFont val="Calibri"/>
          </rPr>
          <t>The Juniper SRX Services Gateway VPN must uniquely identify and authenticate organizational users (or processes acting on behalf of organizational users).</t>
        </r>
      </text>
    </comment>
    <comment ref="J91" authorId="0" shapeId="0" xr:uid="{00000000-0006-0000-0700-000013000000}">
      <text>
        <r>
          <rPr>
            <sz val="11"/>
            <rFont val="Calibri"/>
          </rPr>
          <t>The Juniper SRX Services Gateway VPN must use multifactor authentication (e.g., DoD PKI) for network access to non-privileged accounts.</t>
        </r>
      </text>
    </comment>
    <comment ref="K91" authorId="0" shapeId="0" xr:uid="{00000000-0006-0000-0700-000014000000}">
      <text>
        <r>
          <rPr>
            <sz val="11"/>
            <rFont val="Calibri"/>
          </rPr>
          <t>The Juniper SRX Services Gateway VPN must uniquely identify and authenticate non-organizational users (or processes acting on behalf of non-organizational users).</t>
        </r>
      </text>
    </comment>
    <comment ref="L91" authorId="0" shapeId="0" xr:uid="{00000000-0006-0000-0700-000015000000}">
      <text>
        <r>
          <rPr>
            <sz val="11"/>
            <rFont val="Calibri"/>
          </rPr>
          <t>The Juniper SRX Services Gateway VPN IKE must use NIST FIPS-validated cryptography to implement encryption services for unclassified VPN traffic.</t>
        </r>
      </text>
    </comment>
    <comment ref="M91" authorId="0" shapeId="0" xr:uid="{00000000-0006-0000-0700-000016000000}">
      <text>
        <r>
          <rPr>
            <sz val="11"/>
            <rFont val="Calibri"/>
          </rPr>
          <t>The Juniper SRX Services Gateway VPN must only allow the use of DoD PKI established certificate authorities for verification of the establishment of protected sessions.</t>
        </r>
      </text>
    </comment>
    <comment ref="N91" authorId="0" shapeId="0" xr:uid="{00000000-0006-0000-0700-000008000000}">
      <text>
        <r>
          <rPr>
            <sz val="11"/>
            <rFont val="Calibri"/>
          </rPr>
          <t>The Juniper SRX Services Gateway must display the Standard Mandatory DoD Notice and Consent Banner before granting access.</t>
        </r>
      </text>
    </comment>
    <comment ref="O91" authorId="0" shapeId="0" xr:uid="{00000000-0006-0000-0700-000009000000}">
      <text>
        <r>
          <rPr>
            <sz val="11"/>
            <rFont val="Calibri"/>
          </rPr>
          <t>The Juniper SRX Services Gateway must be configured to use an authentication server to centrally manage authentication and logon settings for remote and nonlocal access.</t>
        </r>
      </text>
    </comment>
    <comment ref="P91" authorId="0" shapeId="0" xr:uid="{00000000-0006-0000-0700-00000A000000}">
      <text>
        <r>
          <rPr>
            <sz val="11"/>
            <rFont val="Calibri"/>
          </rPr>
          <t>The Juniper SRX Services Gateway must use DOD-approved PKI rather than proprietary or self-signed device certificates.</t>
        </r>
      </text>
    </comment>
    <comment ref="Q91" authorId="0" shapeId="0" xr:uid="{00000000-0006-0000-0700-00000B000000}">
      <text>
        <r>
          <rPr>
            <sz val="11"/>
            <rFont val="Calibri"/>
          </rPr>
          <t>The Juniper SRX Services Gateway must use and securely configure SNMPv3 if SNMP is enabled.</t>
        </r>
      </text>
    </comment>
    <comment ref="R91" authorId="0" shapeId="0" xr:uid="{00000000-0006-0000-0700-00000C000000}">
      <text>
        <r>
          <rPr>
            <sz val="11"/>
            <rFont val="Calibri"/>
          </rPr>
          <t>The Juniper SRX Services Gateway must implement replay-resistant authentication mechanisms for network access to privileged accounts.</t>
        </r>
      </text>
    </comment>
    <comment ref="S91" authorId="0" shapeId="0" xr:uid="{00000000-0006-0000-0700-00000D000000}">
      <text>
        <r>
          <rPr>
            <sz val="11"/>
            <rFont val="Calibri"/>
          </rPr>
          <t>For nonlocal maintenance sessions using SNMP, the Juniper SRX Services Gateway must use and securely configure SNMPv3 with SHA256 or higher to protect the integrity of maintenance and diagnostic communications.</t>
        </r>
      </text>
    </comment>
    <comment ref="T91" authorId="0" shapeId="0" xr:uid="{00000000-0006-0000-0700-00000E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U91" authorId="0" shapeId="0" xr:uid="{00000000-0006-0000-0700-00000F000000}">
      <text>
        <r>
          <rPr>
            <sz val="11"/>
            <rFont val="Calibri"/>
          </rPr>
          <t>The Juniper SRX Services Gateway must securely configure SNMPv3 with privacy options to protect the confidentiality of nonlocal maintenance and diagnostic communications using SNMP.</t>
        </r>
      </text>
    </comment>
    <comment ref="V91" authorId="0" shapeId="0" xr:uid="{00000000-0006-0000-0700-000010000000}">
      <text>
        <r>
          <rPr>
            <sz val="11"/>
            <rFont val="Calibri"/>
          </rPr>
          <t>The Juniper SRX Services Gateway must be configured to use an authentication server to centrally apply authentication and logon settings for remote and nonlocal access for device management.</t>
        </r>
      </text>
    </comment>
    <comment ref="W91" authorId="0" shapeId="0" xr:uid="{00000000-0006-0000-0700-000011000000}">
      <text>
        <r>
          <rPr>
            <sz val="11"/>
            <rFont val="Calibri"/>
          </rPr>
          <t>The Juniper SRX Services Gateway must specify the order in which authentication servers are used.</t>
        </r>
      </text>
    </comment>
    <comment ref="H92" authorId="0" shapeId="0" xr:uid="{00000000-0006-0000-0700-000017000000}">
      <text>
        <r>
          <rPr>
            <sz val="11"/>
            <rFont val="Calibri"/>
          </rPr>
          <t>The Juniper SRX Services Gateway VPN must uniquely identify and authenticate organizational users (or processes acting on behalf of organizational users).</t>
        </r>
      </text>
    </comment>
    <comment ref="I92" authorId="0" shapeId="0" xr:uid="{00000000-0006-0000-0700-000018000000}">
      <text>
        <r>
          <rPr>
            <sz val="11"/>
            <rFont val="Calibri"/>
          </rPr>
          <t>The Juniper SRX Services Gateway VPN must uniquely identify and authenticate non-organizational users (or processes acting on behalf of non-organizational users).</t>
        </r>
      </text>
    </comment>
    <comment ref="H93" authorId="0" shapeId="0" xr:uid="{00000000-0006-0000-0700-000019000000}">
      <text>
        <r>
          <rPr>
            <sz val="11"/>
            <rFont val="Calibri"/>
          </rPr>
          <t>For User Role Firewalls, the Juniper SRX Services Gateway Firewall must employ user attribute-based security policies to enforce approved authorizations for logical access to information and system resources.</t>
        </r>
      </text>
    </comment>
    <comment ref="I93" authorId="0" shapeId="0" xr:uid="{00000000-0006-0000-0700-000021000000}">
      <text>
        <r>
          <rPr>
            <sz val="11"/>
            <rFont val="Calibri"/>
          </rPr>
          <t>The Juniper SRX Services Gateway VPN must limit the number of concurrent sessions for user accounts to one (1) and administrative accounts to three (3), or set to an organization-defined number.</t>
        </r>
      </text>
    </comment>
    <comment ref="J93" authorId="0" shapeId="0" xr:uid="{00000000-0006-0000-0700-000022000000}">
      <text>
        <r>
          <rPr>
            <sz val="11"/>
            <rFont val="Calibri"/>
          </rPr>
          <t>The Juniper SRX Services Gateway must limit the number of concurrent sessions to a maximum of 10 or less for remote access using SSH.</t>
        </r>
      </text>
    </comment>
    <comment ref="K93" authorId="0" shapeId="0" xr:uid="{00000000-0006-0000-0700-000023000000}">
      <text>
        <r>
          <rPr>
            <sz val="11"/>
            <rFont val="Calibri"/>
          </rPr>
          <t>For local accounts created on the device, the Juniper SRX Services Gateway must automatically generate log records for account creation events.</t>
        </r>
      </text>
    </comment>
    <comment ref="L93" authorId="0" shapeId="0" xr:uid="{00000000-0006-0000-0700-000024000000}">
      <text>
        <r>
          <rPr>
            <sz val="11"/>
            <rFont val="Calibri"/>
          </rPr>
          <t>For local accounts created on the device, the Juniper SRX Services Gateway must automatically generate log records for account modification events.</t>
        </r>
      </text>
    </comment>
    <comment ref="M93" authorId="0" shapeId="0" xr:uid="{00000000-0006-0000-0700-000025000000}">
      <text>
        <r>
          <rPr>
            <sz val="11"/>
            <rFont val="Calibri"/>
          </rPr>
          <t>For local accounts created on the device, the Juniper SRX Services Gateway must automatically generate log records for account disabling events.</t>
        </r>
      </text>
    </comment>
    <comment ref="N93" authorId="0" shapeId="0" xr:uid="{00000000-0006-0000-0700-000026000000}">
      <text>
        <r>
          <rPr>
            <sz val="11"/>
            <rFont val="Calibri"/>
          </rPr>
          <t>For local accounts created on the device, the Juniper SRX Services Gateway must automatically generate log records for account removal events.</t>
        </r>
      </text>
    </comment>
    <comment ref="O93" authorId="0" shapeId="0" xr:uid="{00000000-0006-0000-0700-000027000000}">
      <text>
        <r>
          <rPr>
            <sz val="11"/>
            <rFont val="Calibri"/>
          </rPr>
          <t>The Juniper SRX Services Gateway must automatically generate a log event when accounts are enabled.</t>
        </r>
      </text>
    </comment>
    <comment ref="P93" authorId="0" shapeId="0" xr:uid="{00000000-0006-0000-0700-000028000000}">
      <text>
        <r>
          <rPr>
            <sz val="11"/>
            <rFont val="Calibri"/>
          </rPr>
          <t>The Juniper SRX Services Gateway must enforce the assigned privilege level for each administrator and authorizations for access to all commands by assigning a login class to all AAA-authenticated users.</t>
        </r>
      </text>
    </comment>
    <comment ref="Q93" authorId="0" shapeId="0" xr:uid="{00000000-0006-0000-0700-000029000000}">
      <text>
        <r>
          <rPr>
            <sz val="11"/>
            <rFont val="Calibri"/>
          </rPr>
          <t>The Juniper SRX Services Gateway must implement logon roles to ensure only authorized roles are allowed to install software and updates.</t>
        </r>
      </text>
    </comment>
    <comment ref="R93" authorId="0" shapeId="0" xr:uid="{00000000-0006-0000-0700-00002A000000}">
      <text>
        <r>
          <rPr>
            <sz val="11"/>
            <rFont val="Calibri"/>
          </rPr>
          <t>For nonlocal maintenance sessions, the Juniper SRX Services Gateway must remove or explicitly deny the use of nonsecure protocols.</t>
        </r>
      </text>
    </comment>
    <comment ref="S93" authorId="0" shapeId="0" xr:uid="{00000000-0006-0000-0700-00002B000000}">
      <text>
        <r>
          <rPr>
            <sz val="11"/>
            <rFont val="Calibri"/>
          </rPr>
          <t>The Juniper SRX Services Gateway must ensure access to start a UNIX-level shell is restricted to only the root account.</t>
        </r>
      </text>
    </comment>
    <comment ref="T93" authorId="0" shapeId="0" xr:uid="{00000000-0006-0000-0700-00002C000000}">
      <text>
        <r>
          <rPr>
            <sz val="11"/>
            <rFont val="Calibri"/>
          </rPr>
          <t>The Juniper SRX Services Gateway must be configured with only one local user account to be used as the account of last resort.</t>
        </r>
      </text>
    </comment>
    <comment ref="U93" authorId="0" shapeId="0" xr:uid="{00000000-0006-0000-0700-00002D000000}">
      <text>
        <r>
          <rPr>
            <sz val="11"/>
            <rFont val="Calibri"/>
          </rPr>
          <t>For local accounts using password authentication (i.e., the root account and the account of last resort), the Juniper SRX Services Gateway must enforce a minimum 15-character password length.</t>
        </r>
      </text>
    </comment>
    <comment ref="V93" authorId="0" shapeId="0" xr:uid="{00000000-0006-0000-0700-00002E000000}">
      <text>
        <r>
          <rPr>
            <sz val="11"/>
            <rFont val="Calibri"/>
          </rPr>
          <t>For local accounts using password authentication (i.e., the root account and the account of last resort), the Juniper SRX Services Gateway must enforce password complexity by setting the password change type to character sets.</t>
        </r>
      </text>
    </comment>
    <comment ref="W93" authorId="0" shapeId="0" xr:uid="{00000000-0006-0000-0700-00002F000000}">
      <text>
        <r>
          <rPr>
            <sz val="11"/>
            <rFont val="Calibri"/>
          </rPr>
          <t>For local accounts using password authentication (i.e., the root account and the account of last resort), the Juniper SRX Services Gateway must enforce password complexity by requiring at least one uppercase character be used.</t>
        </r>
      </text>
    </comment>
    <comment ref="X93" authorId="0" shapeId="0" xr:uid="{00000000-0006-0000-0700-00001A000000}">
      <text>
        <r>
          <rPr>
            <sz val="11"/>
            <rFont val="Calibri"/>
          </rPr>
          <t>For local accounts using password authentication (i.e., the root account and the account of last resort), the Juniper SRX Services Gateway must enforce password complexity by requiring at least one lowercase character be used.</t>
        </r>
      </text>
    </comment>
    <comment ref="Y93" authorId="0" shapeId="0" xr:uid="{00000000-0006-0000-0700-00001B000000}">
      <text>
        <r>
          <rPr>
            <sz val="11"/>
            <rFont val="Calibri"/>
          </rPr>
          <t>For local accounts using password authentication (i.e., the root account and the account of last resort), the Juniper SRX Services Gateway must enforce password complexity by requiring at least one numeric character be used.</t>
        </r>
      </text>
    </comment>
    <comment ref="Z93" authorId="0" shapeId="0" xr:uid="{00000000-0006-0000-0700-00001C000000}">
      <text>
        <r>
          <rPr>
            <sz val="11"/>
            <rFont val="Calibri"/>
          </rPr>
          <t>For local accounts using password authentication (i.e., the root account and the account of last resort), the Juniper SRX Services Gateway must enforce password complexity by requiring at least one special character be used.</t>
        </r>
      </text>
    </comment>
    <comment ref="AA93" authorId="0" shapeId="0" xr:uid="{00000000-0006-0000-0700-00001D000000}">
      <text>
        <r>
          <rPr>
            <sz val="11"/>
            <rFont val="Calibri"/>
          </rPr>
          <t>The Juniper SRX Services Gateway must use the SHA256 or later protocol for password authentication for local accounts using password authentication (i.e., the root account and the account of last resort).</t>
        </r>
      </text>
    </comment>
    <comment ref="AB93" authorId="0" shapeId="0" xr:uid="{00000000-0006-0000-0700-00001E000000}">
      <text>
        <r>
          <rPr>
            <sz val="11"/>
            <rFont val="Calibri"/>
          </rPr>
          <t>For nonlocal maintenance sessions, the Juniper SRX Services Gateway must ensure only zones where management functionality is desired have host-inbound-traffic system-services configured.</t>
        </r>
      </text>
    </comment>
    <comment ref="AC93" authorId="0" shapeId="0" xr:uid="{00000000-0006-0000-0700-00001F000000}">
      <text>
        <r>
          <rPr>
            <sz val="11"/>
            <rFont val="Calibri"/>
          </rPr>
          <t>The Juniper SRX Services Gateway must limit the number of sessions per minute to an organization-defined number for SSH to protect remote access management from unauthorized access.</t>
        </r>
      </text>
    </comment>
    <comment ref="AD93" authorId="0" shapeId="0" xr:uid="{00000000-0006-0000-0700-000020000000}">
      <text>
        <r>
          <rPr>
            <sz val="11"/>
            <rFont val="Calibri"/>
          </rPr>
          <t>For nonlocal maintenance sessions, the Juniper SRX Services Gateway must explicitly deny the use of J-Web.</t>
        </r>
      </text>
    </comment>
    <comment ref="H110" authorId="0" shapeId="0" xr:uid="{00000000-0006-0000-0700-000030000000}">
      <text>
        <r>
          <rPr>
            <sz val="11"/>
            <rFont val="Calibri"/>
          </rPr>
          <t>The Juniper SRX Services Gateway must reveal log messages or management console alerts only to the ISSO, ISSM, and SA roles).</t>
        </r>
      </text>
    </comment>
    <comment ref="H111" authorId="0" shapeId="0" xr:uid="{00000000-0006-0000-0700-000031000000}">
      <text>
        <r>
          <rPr>
            <sz val="11"/>
            <rFont val="Calibri"/>
          </rPr>
          <t>The Juniper SRX Services Gateway VPN must renegotiate the IPsec security association after 8 hours or less.</t>
        </r>
      </text>
    </comment>
    <comment ref="I111" authorId="0" shapeId="0" xr:uid="{00000000-0006-0000-0700-000032000000}">
      <text>
        <r>
          <rPr>
            <sz val="11"/>
            <rFont val="Calibri"/>
          </rPr>
          <t>The Juniper SRX Services Gateway VPN must renegotiate the IKE security association after 24 hours or less.</t>
        </r>
      </text>
    </comment>
    <comment ref="J111" authorId="0" shapeId="0" xr:uid="{00000000-0006-0000-0700-000033000000}">
      <text>
        <r>
          <rPr>
            <sz val="11"/>
            <rFont val="Calibri"/>
          </rPr>
          <t>The Juniper SRX Services Gateway VPN must use AES256 for the IPsec proposal to protect the confidentiality of remote access sessions.</t>
        </r>
      </text>
    </comment>
    <comment ref="K111" authorId="0" shapeId="0" xr:uid="{00000000-0006-0000-0700-000034000000}">
      <text>
        <r>
          <rPr>
            <sz val="11"/>
            <rFont val="Calibri"/>
          </rPr>
          <t>The Juniper SRX Services Gateway VPN must use AES256 encryption for the Internet Key Exchange (IKE) proposal to protect the confidentiality of remote access sessions.</t>
        </r>
      </text>
    </comment>
    <comment ref="L111" authorId="0" shapeId="0" xr:uid="{00000000-0006-0000-0700-000035000000}">
      <text>
        <r>
          <rPr>
            <sz val="11"/>
            <rFont val="Calibri"/>
          </rPr>
          <t>The Juniper SRX Services Gateway VPN must be configured to use Diffie-Hellman (DH) group 15 or higher.</t>
        </r>
      </text>
    </comment>
    <comment ref="M111" authorId="0" shapeId="0" xr:uid="{00000000-0006-0000-0700-000036000000}">
      <text>
        <r>
          <rPr>
            <sz val="11"/>
            <rFont val="Calibri"/>
          </rPr>
          <t>The Juniper SRX Services Gateway VPN must be configured to use IPsec with SHA256 or greater to negotiate hashing to protect the integrity of remote access sessions.</t>
        </r>
      </text>
    </comment>
    <comment ref="N111" authorId="0" shapeId="0" xr:uid="{00000000-0006-0000-0700-000037000000}">
      <text>
        <r>
          <rPr>
            <sz val="11"/>
            <rFont val="Calibri"/>
          </rPr>
          <t>The Juniper SRX Services Gateway VPN must use Internet Key Exchange (IKE) for IPsec VPN Security Associations (SAs).</t>
        </r>
      </text>
    </comment>
    <comment ref="O111" authorId="0" shapeId="0" xr:uid="{00000000-0006-0000-0700-000038000000}">
      <text>
        <r>
          <rPr>
            <sz val="11"/>
            <rFont val="Calibri"/>
          </rPr>
          <t>The Juniper SRX Services Gateway VPN must not accept certificates that have been revoked when using PKI for authentication.</t>
        </r>
      </text>
    </comment>
    <comment ref="P111" authorId="0" shapeId="0" xr:uid="{00000000-0006-0000-0700-000039000000}">
      <text>
        <r>
          <rPr>
            <sz val="11"/>
            <rFont val="Calibri"/>
          </rPr>
          <t>The Juniper SRX Services Gateway VPN must specify Perfect Forward Secrecy (PFS).</t>
        </r>
      </text>
    </comment>
    <comment ref="Q111" authorId="0" shapeId="0" xr:uid="{00000000-0006-0000-0700-00003A000000}">
      <text>
        <r>
          <rPr>
            <sz val="11"/>
            <rFont val="Calibri"/>
          </rPr>
          <t>The Juniper SRX Services Gateway VPN must use Encapsulating Security Payload (ESP) in tunnel mode.</t>
        </r>
      </text>
    </comment>
    <comment ref="R111" authorId="0" shapeId="0" xr:uid="{00000000-0006-0000-0700-00003B000000}">
      <text>
        <r>
          <rPr>
            <sz val="11"/>
            <rFont val="Calibri"/>
          </rPr>
          <t>The Juniper SRX Services Gateway VPN must use IKEv2 for IPsec VPN security associations.</t>
        </r>
      </text>
    </comment>
    <comment ref="S111" authorId="0" shapeId="0" xr:uid="{00000000-0006-0000-0700-00003C000000}">
      <text>
        <r>
          <rPr>
            <sz val="11"/>
            <rFont val="Calibri"/>
          </rPr>
          <t>The Juniper SRX Services Gateway VPN must use multifactor authentication (e.g., DoD PKI) for network access to non-privileged accounts.</t>
        </r>
      </text>
    </comment>
    <comment ref="T111" authorId="0" shapeId="0" xr:uid="{00000000-0006-0000-0700-00003D000000}">
      <text>
        <r>
          <rPr>
            <sz val="11"/>
            <rFont val="Calibri"/>
          </rPr>
          <t>The Juniper SRX Services Gateway VPN Internet Key Exchange (IKE) must be configured to use an approved Commercial Solution for Classified (CSfC) when transporting classified traffic across an unclassified network.</t>
        </r>
      </text>
    </comment>
    <comment ref="U111" authorId="0" shapeId="0" xr:uid="{00000000-0006-0000-0700-00003E000000}">
      <text>
        <r>
          <rPr>
            <sz val="11"/>
            <rFont val="Calibri"/>
          </rPr>
          <t>The Juniper SRX Services Gateway VPN IKE must use NIST FIPS-validated cryptography to implement encryption services for unclassified VPN traffic.</t>
        </r>
      </text>
    </comment>
    <comment ref="V111" authorId="0" shapeId="0" xr:uid="{00000000-0006-0000-0700-00003F000000}">
      <text>
        <r>
          <rPr>
            <sz val="11"/>
            <rFont val="Calibri"/>
          </rPr>
          <t>The Juniper SRX Services Gateway VPN must configure Internet Key Exchange (IKE) with SHA1 or greater to protect the authenticity of communications sessions.</t>
        </r>
      </text>
    </comment>
    <comment ref="W111" authorId="0" shapeId="0" xr:uid="{00000000-0006-0000-0700-000040000000}">
      <text>
        <r>
          <rPr>
            <sz val="11"/>
            <rFont val="Calibri"/>
          </rPr>
          <t>The Juniper SRX Services Gateway VPN must only allow the use of DoD PKI established certificate authorities for verification of the establishment of protected sessions.</t>
        </r>
      </text>
    </comment>
    <comment ref="X111" authorId="0" shapeId="0" xr:uid="{00000000-0006-0000-0700-000041000000}">
      <text>
        <r>
          <rPr>
            <sz val="11"/>
            <rFont val="Calibri"/>
          </rPr>
          <t>The Juniper SRX Services Gateway VPN must use anti-replay mechanisms for security associations.</t>
        </r>
      </text>
    </comment>
    <comment ref="Y111" authorId="0" shapeId="0" xr:uid="{00000000-0006-0000-0700-000042000000}">
      <text>
        <r>
          <rPr>
            <sz val="11"/>
            <rFont val="Calibri"/>
          </rPr>
          <t>The Juniper SRX Services Gateway must use and securely configure SNMPv3 if SNMP is enabled.</t>
        </r>
      </text>
    </comment>
    <comment ref="Z111" authorId="0" shapeId="0" xr:uid="{00000000-0006-0000-0700-000043000000}">
      <text>
        <r>
          <rPr>
            <sz val="11"/>
            <rFont val="Calibri"/>
          </rPr>
          <t>For nonlocal maintenance sessions using SNMP, the Juniper SRX Services Gateway must use and securely configure SNMPv3 with SHA256 or higher to protect the integrity of maintenance and diagnostic communications.</t>
        </r>
      </text>
    </comment>
    <comment ref="AA111" authorId="0" shapeId="0" xr:uid="{00000000-0006-0000-0700-000044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AB111" authorId="0" shapeId="0" xr:uid="{00000000-0006-0000-0700-000045000000}">
      <text>
        <r>
          <rPr>
            <sz val="11"/>
            <rFont val="Calibri"/>
          </rPr>
          <t>The Juniper SRX Services Gateway must securely configure SNMPv3 with privacy options to protect the confidentiality of nonlocal maintenance and diagnostic communications using SNMP.</t>
        </r>
      </text>
    </comment>
    <comment ref="AC111" authorId="0" shapeId="0" xr:uid="{00000000-0006-0000-0700-000046000000}">
      <text>
        <r>
          <rPr>
            <sz val="11"/>
            <rFont val="Calibri"/>
          </rPr>
          <t>The Juniper SRX Services Gateway must use SSHv2 with privacy options to protect the confidentiality of maintenance and diagnostic communications for nonlocal maintenance sessions using SSH.</t>
        </r>
      </text>
    </comment>
    <comment ref="H134" authorId="0" shapeId="0" xr:uid="{00000000-0006-0000-0700-000047000000}">
      <text>
        <r>
          <rPr>
            <sz val="11"/>
            <rFont val="Calibri"/>
          </rPr>
          <t>The Juniper SRX Services Gateway Firewall must be configured to prohibit or restrict the use of unauthorized functions, ports, protocols, and/or services, as defined in the PPSM CAL, vulnerability assessments.</t>
        </r>
      </text>
    </comment>
    <comment ref="I134" authorId="0" shapeId="0" xr:uid="{00000000-0006-0000-0700-000048000000}">
      <text>
        <r>
          <rPr>
            <sz val="11"/>
            <rFont val="Calibri"/>
          </rPr>
          <t>The Juniper SRX Services Gateway Firewall must only allow inbound communications from organization-defined authorized sources routed to organization-defined authorized destinations.</t>
        </r>
      </text>
    </comment>
    <comment ref="J134" authorId="0" shapeId="0" xr:uid="{00000000-0006-0000-0700-000049000000}">
      <text>
        <r>
          <rPr>
            <sz val="11"/>
            <rFont val="Calibri"/>
          </rPr>
          <t>The Juniper SRX Services Gateway Firewall must be configured to fail securely in the event of an operational failure of the firewall filtering or boundary protection function.</t>
        </r>
      </text>
    </comment>
    <comment ref="K134" authorId="0" shapeId="0" xr:uid="{00000000-0006-0000-0700-00004A000000}">
      <text>
        <r>
          <rPr>
            <sz val="11"/>
            <rFont val="Calibri"/>
          </rPr>
          <t>The Juniper SRX Services Gateway Firewall must deny network communications traffic by default and allow network communications traffic by exception (i.e., deny all, permit by exception).</t>
        </r>
      </text>
    </comment>
    <comment ref="L134" authorId="0" shapeId="0" xr:uid="{00000000-0006-0000-0700-00004B000000}">
      <text>
        <r>
          <rPr>
            <sz val="11"/>
            <rFont val="Calibri"/>
          </rPr>
          <t>The Juniper SRX Services Gateway Firewall must configure ICMP to meet DoD requirements.</t>
        </r>
      </text>
    </comment>
    <comment ref="M134" authorId="0" shapeId="0" xr:uid="{00000000-0006-0000-0700-00004C000000}">
      <text>
        <r>
          <rPr>
            <sz val="11"/>
            <rFont val="Calibri"/>
          </rPr>
          <t>The Juniper SRX Services Gateway VPN must ensure inbound and outbound traffic is configured with a security policy in compliance with information flow control policies.</t>
        </r>
      </text>
    </comment>
    <comment ref="N134" authorId="0" shapeId="0" xr:uid="{00000000-0006-0000-0700-00004D000000}">
      <text>
        <r>
          <rPr>
            <sz val="11"/>
            <rFont val="Calibri"/>
          </rPr>
          <t>The Juniper SRX Services Gateway VPN must be configured to prohibit or restrict the use of functions, ports, protocols, and/or services, as defined in the PPSM CAL and vulnerability assessments.</t>
        </r>
      </text>
    </comment>
    <comment ref="O134" authorId="0" shapeId="0" xr:uid="{00000000-0006-0000-0700-00004E000000}">
      <text>
        <r>
          <rPr>
            <sz val="11"/>
            <rFont val="Calibri"/>
          </rPr>
          <t>The Juniper SRX Services Gateway VPN must only allow incoming VPN communications from organization-defined authorized sources routed to organization-defined authorized destinations.</t>
        </r>
      </text>
    </comment>
    <comment ref="P134" authorId="0" shapeId="0" xr:uid="{00000000-0006-0000-0700-00004F000000}">
      <text>
        <r>
          <rPr>
            <sz val="11"/>
            <rFont val="Calibri"/>
          </rPr>
          <t>The Juniper SRX Services Gateway VPN must disable split-tunneling for remote clients VPNs.</t>
        </r>
      </text>
    </comment>
    <comment ref="Q134" authorId="0" shapeId="0" xr:uid="{00000000-0006-0000-0700-000050000000}">
      <text>
        <r>
          <rPr>
            <sz val="11"/>
            <rFont val="Calibri"/>
          </rPr>
          <t>The Juniper SRX Services Gateway must generate a log event when privileged commands are executed.</t>
        </r>
      </text>
    </comment>
    <comment ref="R134" authorId="0" shapeId="0" xr:uid="{00000000-0006-0000-0700-000051000000}">
      <text>
        <r>
          <rPr>
            <sz val="11"/>
            <rFont val="Calibri"/>
          </rPr>
          <t>If the loopback interface is used, the Juniper SRX Services Gateway must protect the loopback interface with firewall filters for known attacks that may exploit this interface.</t>
        </r>
      </text>
    </comment>
    <comment ref="S134" authorId="0" shapeId="0" xr:uid="{00000000-0006-0000-0700-000052000000}">
      <text>
        <r>
          <rPr>
            <sz val="11"/>
            <rFont val="Calibri"/>
          </rPr>
          <t>The Juniper SRX Services Gateway must ensure SSH is disabled for root user logon to prevent remote access using the root account.</t>
        </r>
      </text>
    </comment>
    <comment ref="T134" authorId="0" shapeId="0" xr:uid="{00000000-0006-0000-0700-000053000000}">
      <text>
        <r>
          <rPr>
            <sz val="11"/>
            <rFont val="Calibri"/>
          </rPr>
          <t>The Juniper SRX Services Gateway must ensure TCP forwarding is disabled for SSH to prevent unauthorized access.</t>
        </r>
      </text>
    </comment>
    <comment ref="U134" authorId="0" shapeId="0" xr:uid="{00000000-0006-0000-0700-000054000000}">
      <text>
        <r>
          <rPr>
            <sz val="11"/>
            <rFont val="Calibri"/>
          </rPr>
          <t>For local logging, the Juniper SRX Services Gateway must generate a message to the system management console when a log processing failure occurs.</t>
        </r>
      </text>
    </comment>
    <comment ref="H136" authorId="0" shapeId="0" xr:uid="{00000000-0006-0000-0700-000055000000}">
      <text>
        <r>
          <rPr>
            <sz val="11"/>
            <rFont val="Calibri"/>
          </rPr>
          <t>The Juniper SRX Services Gateway must implement service redundancy to protect against or limit the effects of common types of Denial of Service (DoS) attacks on the device itself.</t>
        </r>
      </text>
    </comment>
    <comment ref="H137" authorId="0" shapeId="0" xr:uid="{00000000-0006-0000-0700-000056000000}">
      <text>
        <r>
          <rPr>
            <sz val="11"/>
            <rFont val="Calibri"/>
          </rPr>
          <t>The Juniper SRX Services Gateway Firewall providing content filtering must protect against known and unknown types of denial-of-service (DoS) attacks by implementing statistics-based screens.</t>
        </r>
      </text>
    </comment>
    <comment ref="I137" authorId="0" shapeId="0" xr:uid="{00000000-0006-0000-0700-000057000000}">
      <text>
        <r>
          <rPr>
            <sz val="11"/>
            <rFont val="Calibri"/>
          </rPr>
          <t>The Juniper SRX Services Gateway Firewall must implement load balancing on the perimeter firewall, at a minimum, to limit the effects of known and unknown types of denial-of-service (DoS) attacks on the network.</t>
        </r>
      </text>
    </comment>
    <comment ref="J137" authorId="0" shapeId="0" xr:uid="{00000000-0006-0000-0700-000058000000}">
      <text>
        <r>
          <rPr>
            <sz val="11"/>
            <rFont val="Calibri"/>
          </rPr>
          <t>The Juniper SRX Services Gateway Firewall must protect against known types of denial-of-service (DoS) attacks by implementing signature-based screens.</t>
        </r>
      </text>
    </comment>
    <comment ref="K137" authorId="0" shapeId="0" xr:uid="{00000000-0006-0000-0700-000059000000}">
      <text>
        <r>
          <rPr>
            <sz val="11"/>
            <rFont val="Calibri"/>
          </rPr>
          <t>The Juniper SRX Services Gateway Firewall must block outbound traffic containing known and unknown denial-of-service (DoS) attacks to protect against the use of internal information systems to launch any DoS attacks against other networks or endpoints.</t>
        </r>
      </text>
    </comment>
    <comment ref="L137" authorId="0" shapeId="0" xr:uid="{00000000-0006-0000-0700-00005A000000}">
      <text>
        <r>
          <rPr>
            <sz val="11"/>
            <rFont val="Calibri"/>
          </rPr>
          <t>The Juniper Networks SRX Series Gateway IDPS must block outbound traffic containing known and unknown DoS attacks by ensuring that rules are applied to outbound communications traffic.</t>
        </r>
      </text>
    </comment>
    <comment ref="M137" authorId="0" shapeId="0" xr:uid="{00000000-0006-0000-0700-00005B000000}">
      <text>
        <r>
          <rPr>
            <sz val="11"/>
            <rFont val="Calibri"/>
          </rPr>
          <t>The Juniper Networks SRX Series Gateway IDPS must block outbound traffic containing known and unknown DoS attacks by ensuring that signature-based objects are applied to outbound communications traffic.</t>
        </r>
      </text>
    </comment>
    <comment ref="N137" authorId="0" shapeId="0" xr:uid="{00000000-0006-0000-0700-00005C000000}">
      <text>
        <r>
          <rPr>
            <sz val="11"/>
            <rFont val="Calibri"/>
          </rPr>
          <t>The Juniper Networks SRX Series Gateway IDPS must block outbound traffic containing known and unknown DoS attacks by ensuring that anomaly-based attack objects are applied to outbound communications traffic.</t>
        </r>
      </text>
    </comment>
    <comment ref="O137" authorId="0" shapeId="0" xr:uid="{00000000-0006-0000-0700-00005D000000}">
      <text>
        <r>
          <rPr>
            <sz val="11"/>
            <rFont val="Calibri"/>
          </rPr>
          <t>The Juniper Networks SRX Series Gateway IDPS must protect against or limit the effects of known and unknown types of Denial of Service (DoS) attacks by employing rate-based attack prevention behavior analysis.</t>
        </r>
      </text>
    </comment>
    <comment ref="P137" authorId="0" shapeId="0" xr:uid="{00000000-0006-0000-0700-00005E000000}">
      <text>
        <r>
          <rPr>
            <sz val="11"/>
            <rFont val="Calibri"/>
          </rPr>
          <t>The Juniper Networks SRX Series Gateway IDPS must protect against or limit the effects of known and unknown types of Denial of Service (DoS) attacks by employing anomaly-based detection.</t>
        </r>
      </text>
    </comment>
    <comment ref="Q137" authorId="0" shapeId="0" xr:uid="{00000000-0006-0000-0700-00005F000000}">
      <text>
        <r>
          <rPr>
            <sz val="11"/>
            <rFont val="Calibri"/>
          </rPr>
          <t>The Juniper Networks SRX Series Gateway IDPS must protect against or limit the effects of known types of Denial of Service (DoS) attacks by employing signatures.</t>
        </r>
      </text>
    </comment>
    <comment ref="R137" authorId="0" shapeId="0" xr:uid="{00000000-0006-0000-0700-000060000000}">
      <text>
        <r>
          <rPr>
            <sz val="11"/>
            <rFont val="Calibri"/>
          </rPr>
          <t>The Juniper SRX Services Gateway must configure the control plane to protect against or limit the effects of common types of Denial of Service (DoS) attacks on the device itself by configuring applicable system options and internet-options.</t>
        </r>
      </text>
    </comment>
    <comment ref="S137" authorId="0" shapeId="0" xr:uid="{00000000-0006-0000-0700-000061000000}">
      <text>
        <r>
          <rPr>
            <sz val="11"/>
            <rFont val="Calibri"/>
          </rPr>
          <t>The Juniper SRX Services Gateway must implement service redundancy to protect against or limit the effects of common types of Denial of Service (DoS) attacks on the device itself.</t>
        </r>
      </text>
    </comment>
    <comment ref="H143" authorId="0" shapeId="0" xr:uid="{00000000-0006-0000-0700-000062000000}">
      <text>
        <r>
          <rPr>
            <sz val="11"/>
            <rFont val="Calibri"/>
          </rPr>
          <t>The Juniper SRX Services Gateway must be configured to use Junos 12.1 X46 or later to meet the minimum required version for DoD.</t>
        </r>
      </text>
    </comment>
    <comment ref="H145" authorId="0" shapeId="0" xr:uid="{00000000-0006-0000-0700-000063000000}">
      <text>
        <r>
          <rPr>
            <sz val="11"/>
            <rFont val="Calibri"/>
          </rPr>
          <t>The Juniper SRX Services Gateway Firewall must disable or remove unnecessary network services and functions that are not used as part of its role in the architecture.</t>
        </r>
      </text>
    </comment>
    <comment ref="I145" authorId="0" shapeId="0" xr:uid="{00000000-0006-0000-0700-000064000000}">
      <text>
        <r>
          <rPr>
            <sz val="11"/>
            <rFont val="Calibri"/>
          </rPr>
          <t>The Juniper SRX Services Gateway Firewall must not be configured as an NTP server since providing this network service is unrelated to the role as a firewall.</t>
        </r>
      </text>
    </comment>
    <comment ref="J145" authorId="0" shapeId="0" xr:uid="{00000000-0006-0000-0700-000065000000}">
      <text>
        <r>
          <rPr>
            <sz val="11"/>
            <rFont val="Calibri"/>
          </rPr>
          <t>The Juniper SRX Services Gateway Firewall must not be configured as a DNS proxy since providing this network service is unrelated to the role as a Firewall.</t>
        </r>
      </text>
    </comment>
    <comment ref="K145" authorId="0" shapeId="0" xr:uid="{00000000-0006-0000-0700-000066000000}">
      <text>
        <r>
          <rPr>
            <sz val="11"/>
            <rFont val="Calibri"/>
          </rPr>
          <t>The Juniper SRX Services Gateway Firewall must not be configured as a DHCP server since providing this network service is unrelated to the role as a Firewall.</t>
        </r>
      </text>
    </comment>
    <comment ref="L145" authorId="0" shapeId="0" xr:uid="{00000000-0006-0000-0700-000067000000}">
      <text>
        <r>
          <rPr>
            <sz val="11"/>
            <rFont val="Calibri"/>
          </rPr>
          <t>The Juniper SRX Services Gateway Firewall must only allow inbound communications from organization-defined authorized sources routed to organization-defined authorized destinations.</t>
        </r>
      </text>
    </comment>
    <comment ref="M145" authorId="0" shapeId="0" xr:uid="{00000000-0006-0000-0700-000068000000}">
      <text>
        <r>
          <rPr>
            <sz val="11"/>
            <rFont val="Calibri"/>
          </rPr>
          <t>The Juniper SRX Services Gateway Firewall must deny network communications traffic by default and allow network communications traffic by exception (i.e., deny all, permit by exception).</t>
        </r>
      </text>
    </comment>
    <comment ref="N145" authorId="0" shapeId="0" xr:uid="{00000000-0006-0000-0700-000069000000}">
      <text>
        <r>
          <rPr>
            <sz val="11"/>
            <rFont val="Calibri"/>
          </rPr>
          <t>The Juniper SRX Services Gateway must disable or remove unnecessary network services and functions that are not used as part of its role in the architecture.</t>
        </r>
      </text>
    </comment>
    <comment ref="O145" authorId="0" shapeId="0" xr:uid="{00000000-0006-0000-0700-00006A000000}">
      <text>
        <r>
          <rPr>
            <sz val="11"/>
            <rFont val="Calibri"/>
          </rPr>
          <t>The Juniper SRX Services Gateway VPN must only allow incoming VPN communications from organization-defined authorized sources routed to organization-defined authorized destinations.</t>
        </r>
      </text>
    </comment>
    <comment ref="P145" authorId="0" shapeId="0" xr:uid="{00000000-0006-0000-0700-00006B000000}">
      <text>
        <r>
          <rPr>
            <sz val="11"/>
            <rFont val="Calibri"/>
          </rPr>
          <t>The Juniper SRX Services Gateway must be configured to prohibit the use of unnecessary and/or nonsecure functions, ports, protocols, and/or services, as defined in the PPSM CAL and vulnerability assessments.</t>
        </r>
      </text>
    </comment>
    <comment ref="Q145" authorId="0" shapeId="0" xr:uid="{00000000-0006-0000-0700-00006C000000}">
      <text>
        <r>
          <rPr>
            <sz val="11"/>
            <rFont val="Calibri"/>
          </rPr>
          <t>For nonlocal maintenance sessions, the Juniper SRX Services Gateway must remove or explicitly deny the use of nonsecure protocols.</t>
        </r>
      </text>
    </comment>
    <comment ref="R145" authorId="0" shapeId="0" xr:uid="{00000000-0006-0000-0700-00006D000000}">
      <text>
        <r>
          <rPr>
            <sz val="11"/>
            <rFont val="Calibri"/>
          </rPr>
          <t>The Juniper SRX Services Gateway must ensure access to start a UNIX-level shell is restricted to only the root account.</t>
        </r>
      </text>
    </comment>
    <comment ref="S145" authorId="0" shapeId="0" xr:uid="{00000000-0006-0000-0700-00006E000000}">
      <text>
        <r>
          <rPr>
            <sz val="11"/>
            <rFont val="Calibri"/>
          </rPr>
          <t>For nonlocal maintenance sessions, the Juniper SRX Services Gateway must ensure only zones where management functionality is desired have host-inbound-traffic system-services configured.</t>
        </r>
      </text>
    </comment>
    <comment ref="T145" authorId="0" shapeId="0" xr:uid="{00000000-0006-0000-0700-00006F000000}">
      <text>
        <r>
          <rPr>
            <sz val="11"/>
            <rFont val="Calibri"/>
          </rPr>
          <t>For nonlocal maintenance sessions, the Juniper SRX Services Gateway must explicitly deny the use of J-Web.</t>
        </r>
      </text>
    </comment>
    <comment ref="H149" authorId="0" shapeId="0" xr:uid="{00000000-0006-0000-0700-000070000000}">
      <text>
        <r>
          <rPr>
            <sz val="11"/>
            <rFont val="Calibri"/>
          </rPr>
          <t>The Juniper SRX Services Gateway must generate log records when firewall filters, security screens and security policies are invoked and the traffic is denied or restricted.</t>
        </r>
      </text>
    </comment>
    <comment ref="I149" authorId="0" shapeId="0" xr:uid="{00000000-0006-0000-0700-000074000000}">
      <text>
        <r>
          <rPr>
            <sz val="11"/>
            <rFont val="Calibri"/>
          </rPr>
          <t>The Juniper SRX Services Gateway Firewall must generate audit records when unsuccessful attempts to access security zones occur.</t>
        </r>
      </text>
    </comment>
    <comment ref="J149" authorId="0" shapeId="0" xr:uid="{00000000-0006-0000-0700-000075000000}">
      <text>
        <r>
          <rPr>
            <sz val="11"/>
            <rFont val="Calibri"/>
          </rPr>
          <t>The Juniper SRX Services Gateway Firewall must be configured to support centralized management and configuration of the audit log.</t>
        </r>
      </text>
    </comment>
    <comment ref="K149" authorId="0" shapeId="0" xr:uid="{00000000-0006-0000-0700-000076000000}">
      <text>
        <r>
          <rPr>
            <sz val="11"/>
            <rFont val="Calibri"/>
          </rPr>
          <t>In the event that communications with the Syslog server is lost, the Juniper SRX Services Gateway must continue to queue traffic log records locally.</t>
        </r>
      </text>
    </comment>
    <comment ref="L149" authorId="0" shapeId="0" xr:uid="{00000000-0006-0000-0700-000077000000}">
      <text>
        <r>
          <rPr>
            <sz val="11"/>
            <rFont val="Calibri"/>
          </rPr>
          <t>The Juniper Networks SRX Series Gateway IDPS must provide audit record generation capability for detecting events based on implementation of policy filters, rules, and signatures.</t>
        </r>
      </text>
    </comment>
    <comment ref="M149" authorId="0" shapeId="0" xr:uid="{00000000-0006-0000-0700-000078000000}">
      <text>
        <r>
          <rPr>
            <sz val="11"/>
            <rFont val="Calibri"/>
          </rPr>
          <t>The Juniper Networks SRX Series Gateway IDPS must provide audit record generation with a configurable severity and escalation level capability.</t>
        </r>
      </text>
    </comment>
    <comment ref="N149" authorId="0" shapeId="0" xr:uid="{00000000-0006-0000-0700-000079000000}">
      <text>
        <r>
          <rPr>
            <sz val="11"/>
            <rFont val="Calibri"/>
          </rPr>
          <t>For local accounts created on the device, the Juniper SRX Services Gateway must automatically generate log records for account creation events.</t>
        </r>
      </text>
    </comment>
    <comment ref="O149" authorId="0" shapeId="0" xr:uid="{00000000-0006-0000-0700-00007A000000}">
      <text>
        <r>
          <rPr>
            <sz val="11"/>
            <rFont val="Calibri"/>
          </rPr>
          <t>For local accounts created on the device, the Juniper SRX Services Gateway must automatically generate log records for account modification events.</t>
        </r>
      </text>
    </comment>
    <comment ref="P149" authorId="0" shapeId="0" xr:uid="{00000000-0006-0000-0700-00007B000000}">
      <text>
        <r>
          <rPr>
            <sz val="11"/>
            <rFont val="Calibri"/>
          </rPr>
          <t>For local accounts created on the device, the Juniper SRX Services Gateway must automatically generate log records for account disabling events.</t>
        </r>
      </text>
    </comment>
    <comment ref="Q149" authorId="0" shapeId="0" xr:uid="{00000000-0006-0000-0700-00007C000000}">
      <text>
        <r>
          <rPr>
            <sz val="11"/>
            <rFont val="Calibri"/>
          </rPr>
          <t>For local accounts created on the device, the Juniper SRX Services Gateway must automatically generate log records for account removal events.</t>
        </r>
      </text>
    </comment>
    <comment ref="R149" authorId="0" shapeId="0" xr:uid="{00000000-0006-0000-0700-00007D000000}">
      <text>
        <r>
          <rPr>
            <sz val="11"/>
            <rFont val="Calibri"/>
          </rPr>
          <t>The Juniper SRX Services Gateway must automatically generate a log event when accounts are enabled.</t>
        </r>
      </text>
    </comment>
    <comment ref="S149" authorId="0" shapeId="0" xr:uid="{00000000-0006-0000-0700-00007E000000}">
      <text>
        <r>
          <rPr>
            <sz val="11"/>
            <rFont val="Calibri"/>
          </rPr>
          <t>The Juniper SRX Services Gateway must generate log records when successful attempts to configure the device and use commands occur.</t>
        </r>
      </text>
    </comment>
    <comment ref="T149" authorId="0" shapeId="0" xr:uid="{00000000-0006-0000-0700-00007F000000}">
      <text>
        <r>
          <rPr>
            <sz val="11"/>
            <rFont val="Calibri"/>
          </rPr>
          <t>The Juniper SRX Services Gateway must generate log records when changes are made to administrator privileges.</t>
        </r>
      </text>
    </comment>
    <comment ref="U149" authorId="0" shapeId="0" xr:uid="{00000000-0006-0000-0700-000080000000}">
      <text>
        <r>
          <rPr>
            <sz val="11"/>
            <rFont val="Calibri"/>
          </rPr>
          <t>The Juniper SRX Services Gateway must generate log records when administrator privileges are deleted.</t>
        </r>
      </text>
    </comment>
    <comment ref="V149" authorId="0" shapeId="0" xr:uid="{00000000-0006-0000-0700-000081000000}">
      <text>
        <r>
          <rPr>
            <sz val="11"/>
            <rFont val="Calibri"/>
          </rPr>
          <t>The Juniper SRX Services Gateway must generate log records when logon events occur.</t>
        </r>
      </text>
    </comment>
    <comment ref="W149" authorId="0" shapeId="0" xr:uid="{00000000-0006-0000-0700-000082000000}">
      <text>
        <r>
          <rPr>
            <sz val="11"/>
            <rFont val="Calibri"/>
          </rPr>
          <t>The Juniper SRX Services Gateway must generate log records when privileged commands are executed.</t>
        </r>
      </text>
    </comment>
    <comment ref="X149" authorId="0" shapeId="0" xr:uid="{00000000-0006-0000-0700-000083000000}">
      <text>
        <r>
          <rPr>
            <sz val="11"/>
            <rFont val="Calibri"/>
          </rPr>
          <t>The Juniper SRX Services Gateway must generate log records when concurrent logons from different workstations occur.</t>
        </r>
      </text>
    </comment>
    <comment ref="Y149" authorId="0" shapeId="0" xr:uid="{00000000-0006-0000-0700-000084000000}">
      <text>
        <r>
          <rPr>
            <sz val="11"/>
            <rFont val="Calibri"/>
          </rPr>
          <t>The Juniper SRX Services Gateway must generate log records containing the full-text recording of privileged commands.</t>
        </r>
      </text>
    </comment>
    <comment ref="Z149" authorId="0" shapeId="0" xr:uid="{00000000-0006-0000-0700-000085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AA149" authorId="0" shapeId="0" xr:uid="{00000000-0006-0000-0700-000086000000}">
      <text>
        <r>
          <rPr>
            <sz val="11"/>
            <rFont val="Calibri"/>
          </rPr>
          <t>The Juniper SRX Services Gateway must record time stamps for log records using Coordinated Universal Time (UTC).</t>
        </r>
      </text>
    </comment>
    <comment ref="AB149" authorId="0" shapeId="0" xr:uid="{00000000-0006-0000-0700-000087000000}">
      <text>
        <r>
          <rPr>
            <sz val="11"/>
            <rFont val="Calibri"/>
          </rPr>
          <t>The Juniper SRX Services Gateway must be configured to synchronize internal information system clocks with the primary and secondary NTP servers for the network.</t>
        </r>
      </text>
    </comment>
    <comment ref="AC149" authorId="0" shapeId="0" xr:uid="{00000000-0006-0000-0700-000088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AD149" authorId="0" shapeId="0" xr:uid="{00000000-0006-0000-0700-000089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AE149" authorId="0" shapeId="0" xr:uid="{00000000-0006-0000-0700-000071000000}">
      <text>
        <r>
          <rPr>
            <sz val="11"/>
            <rFont val="Calibri"/>
          </rPr>
          <t>In the event that communications with the events server is lost, the Juniper SRX Services Gateway must continue to queue log records locally.</t>
        </r>
      </text>
    </comment>
    <comment ref="AF149" authorId="0" shapeId="0" xr:uid="{00000000-0006-0000-0700-000072000000}">
      <text>
        <r>
          <rPr>
            <sz val="11"/>
            <rFont val="Calibri"/>
          </rPr>
          <t>The Juniper SRX Services Gateway must be configured to use a centralized authentication server to authenticate privileged users for remote and nonlocal access for device management.</t>
        </r>
      </text>
    </comment>
    <comment ref="AG149" authorId="0" shapeId="0" xr:uid="{00000000-0006-0000-0700-000073000000}">
      <text>
        <r>
          <rPr>
            <sz val="11"/>
            <rFont val="Calibri"/>
          </rPr>
          <t>The Juniper SRX Services Gateway must reveal log messages or management console alerts only to the ISSO, ISSM, and SA roles).</t>
        </r>
      </text>
    </comment>
    <comment ref="H158" authorId="0" shapeId="0" xr:uid="{00000000-0006-0000-0700-00008A000000}">
      <text>
        <r>
          <rPr>
            <sz val="11"/>
            <rFont val="Calibri"/>
          </rPr>
          <t>The Juniper SRX Services Gateway must generate log records when firewall filters, security screens and security policies are invoked and the traffic is denied or restricted.</t>
        </r>
      </text>
    </comment>
    <comment ref="I158" authorId="0" shapeId="0" xr:uid="{00000000-0006-0000-0700-00008B000000}">
      <text>
        <r>
          <rPr>
            <sz val="11"/>
            <rFont val="Calibri"/>
          </rPr>
          <t>The Juniper SRX Services Gateway Firewall must generate audit records when unsuccessful attempts to access security zones occur.</t>
        </r>
      </text>
    </comment>
    <comment ref="J158" authorId="0" shapeId="0" xr:uid="{00000000-0006-0000-0700-00008C000000}">
      <text>
        <r>
          <rPr>
            <sz val="11"/>
            <rFont val="Calibri"/>
          </rPr>
          <t>The Juniper SRX Services Gateway Firewall must be configured to support centralized management and configuration of the audit log.</t>
        </r>
      </text>
    </comment>
    <comment ref="K158" authorId="0" shapeId="0" xr:uid="{00000000-0006-0000-0700-00008D000000}">
      <text>
        <r>
          <rPr>
            <sz val="11"/>
            <rFont val="Calibri"/>
          </rPr>
          <t>In the event that communications with the Syslog server is lost, the Juniper SRX Services Gateway must continue to queue traffic log records locally.</t>
        </r>
      </text>
    </comment>
    <comment ref="L158" authorId="0" shapeId="0" xr:uid="{00000000-0006-0000-0700-00008E000000}">
      <text>
        <r>
          <rPr>
            <sz val="11"/>
            <rFont val="Calibri"/>
          </rPr>
          <t>The Juniper SRX Services Gateway must generate log records when successful attempts to configure the device and use commands occur.</t>
        </r>
      </text>
    </comment>
    <comment ref="M158" authorId="0" shapeId="0" xr:uid="{00000000-0006-0000-0700-00008F000000}">
      <text>
        <r>
          <rPr>
            <sz val="11"/>
            <rFont val="Calibri"/>
          </rPr>
          <t>The Juniper SRX Services Gateway must generate log records when changes are made to administrator privileges.</t>
        </r>
      </text>
    </comment>
    <comment ref="N158" authorId="0" shapeId="0" xr:uid="{00000000-0006-0000-0700-000090000000}">
      <text>
        <r>
          <rPr>
            <sz val="11"/>
            <rFont val="Calibri"/>
          </rPr>
          <t>The Juniper SRX Services Gateway must generate log records when administrator privileges are deleted.</t>
        </r>
      </text>
    </comment>
    <comment ref="O158" authorId="0" shapeId="0" xr:uid="{00000000-0006-0000-0700-000091000000}">
      <text>
        <r>
          <rPr>
            <sz val="11"/>
            <rFont val="Calibri"/>
          </rPr>
          <t>The Juniper SRX Services Gateway must generate log records when logon events occur.</t>
        </r>
      </text>
    </comment>
    <comment ref="P158" authorId="0" shapeId="0" xr:uid="{00000000-0006-0000-0700-000092000000}">
      <text>
        <r>
          <rPr>
            <sz val="11"/>
            <rFont val="Calibri"/>
          </rPr>
          <t>The Juniper SRX Services Gateway must generate log records when privileged commands are executed.</t>
        </r>
      </text>
    </comment>
    <comment ref="Q158" authorId="0" shapeId="0" xr:uid="{00000000-0006-0000-0700-000093000000}">
      <text>
        <r>
          <rPr>
            <sz val="11"/>
            <rFont val="Calibri"/>
          </rPr>
          <t>The Juniper SRX Services Gateway must generate log records when concurrent logons from different workstations occur.</t>
        </r>
      </text>
    </comment>
    <comment ref="R158" authorId="0" shapeId="0" xr:uid="{00000000-0006-0000-0700-000094000000}">
      <text>
        <r>
          <rPr>
            <sz val="11"/>
            <rFont val="Calibri"/>
          </rPr>
          <t>The Juniper SRX Services Gateway must generate log records containing the full-text recording of privileged commands.</t>
        </r>
      </text>
    </comment>
    <comment ref="S158" authorId="0" shapeId="0" xr:uid="{00000000-0006-0000-0700-000095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T158" authorId="0" shapeId="0" xr:uid="{00000000-0006-0000-0700-000096000000}">
      <text>
        <r>
          <rPr>
            <sz val="11"/>
            <rFont val="Calibri"/>
          </rPr>
          <t>The Juniper SRX Services Gateway must record time stamps for log records using Coordinated Universal Time (UTC).</t>
        </r>
      </text>
    </comment>
    <comment ref="U158" authorId="0" shapeId="0" xr:uid="{00000000-0006-0000-0700-000097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V158" authorId="0" shapeId="0" xr:uid="{00000000-0006-0000-0700-000098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W158" authorId="0" shapeId="0" xr:uid="{00000000-0006-0000-0700-000099000000}">
      <text>
        <r>
          <rPr>
            <sz val="11"/>
            <rFont val="Calibri"/>
          </rPr>
          <t>In the event that communications with the events server is lost, the Juniper SRX Services Gateway must continue to queue log records locally.</t>
        </r>
      </text>
    </comment>
    <comment ref="X158" authorId="0" shapeId="0" xr:uid="{00000000-0006-0000-0700-00009A000000}">
      <text>
        <r>
          <rPr>
            <sz val="11"/>
            <rFont val="Calibri"/>
          </rPr>
          <t>The Juniper SRX Services Gateway must be configured to use a centralized authentication server to authenticate privileged users for remote and nonlocal access for device management.</t>
        </r>
      </text>
    </comment>
    <comment ref="H161" authorId="0" shapeId="0" xr:uid="{00000000-0006-0000-0700-00009B000000}">
      <text>
        <r>
          <rPr>
            <sz val="11"/>
            <rFont val="Calibri"/>
          </rPr>
          <t>The Juniper SRX Services Gateway Firewall must generate an alert to, at a minimum, the ISSO and ISSM when unusual/unauthorized activities or conditions are detected during continuous monitoring of communications traffic as it traverses inbound or outbound  across internal security boundaries.</t>
        </r>
      </text>
    </comment>
    <comment ref="I161" authorId="0" shapeId="0" xr:uid="{00000000-0006-0000-0700-00009C000000}">
      <text>
        <r>
          <rPr>
            <sz val="11"/>
            <rFont val="Calibri"/>
          </rPr>
          <t>The Juniper SRX Services Gateway Firewall must generate an alert that can be forwarded to, at a minimum, the ISSO and ISSM when threats identified by authoritative sources are detected.</t>
        </r>
      </text>
    </comment>
    <comment ref="J161" authorId="0" shapeId="0" xr:uid="{00000000-0006-0000-0700-00009D000000}">
      <text>
        <r>
          <rPr>
            <sz val="11"/>
            <rFont val="Calibri"/>
          </rPr>
          <t>The Juniper SRX Services Gateway Firewall must generate an alert that can be forwarded to, at a minimum, the ISSO and ISSM when DoS incidents are detected.</t>
        </r>
      </text>
    </comment>
    <comment ref="K161" authorId="0" shapeId="0" xr:uid="{00000000-0006-0000-0700-00009E000000}">
      <text>
        <r>
          <rPr>
            <sz val="11"/>
            <rFont val="Calibri"/>
          </rPr>
          <t>The IDPS must send an alert to, at a minimum, the ISSO and ISSM when intrusion detection events are detected that indicate a compromise or potential for compromise.</t>
        </r>
      </text>
    </comment>
    <comment ref="L161" authorId="0" shapeId="0" xr:uid="{00000000-0006-0000-0700-00009F000000}">
      <text>
        <r>
          <rPr>
            <sz val="11"/>
            <rFont val="Calibri"/>
          </rPr>
          <t>The Juniper Networks SRX Series Gateway IDPS must generate an alert to, at a minimum, the ISSO and ISSM when root-level intrusion events that provide unauthorized privileged access are detected.</t>
        </r>
      </text>
    </comment>
    <comment ref="M161" authorId="0" shapeId="0" xr:uid="{00000000-0006-0000-0700-0000A0000000}">
      <text>
        <r>
          <rPr>
            <sz val="11"/>
            <rFont val="Calibri"/>
          </rPr>
          <t>The IDPS must send an alert to, at a minimum, the ISSO and ISSM when DoS incidents are detected.</t>
        </r>
      </text>
    </comment>
    <comment ref="N161" authorId="0" shapeId="0" xr:uid="{00000000-0006-0000-0700-0000A1000000}">
      <text>
        <r>
          <rPr>
            <sz val="11"/>
            <rFont val="Calibri"/>
          </rPr>
          <t>The Juniper Networks SRX Series Gateway IDPS must send an immediate alert to, at a minimum, the Security Control Auditor (SCA) when malicious code is detected.</t>
        </r>
      </text>
    </comment>
    <comment ref="O161" authorId="0" shapeId="0" xr:uid="{00000000-0006-0000-0700-0000A2000000}">
      <text>
        <r>
          <rPr>
            <sz val="11"/>
            <rFont val="Calibri"/>
          </rPr>
          <t>The Juniper SRX Services Gateway must generate an immediate system alert message to the management console when a log processing failure is detected.</t>
        </r>
      </text>
    </comment>
    <comment ref="P161" authorId="0" shapeId="0" xr:uid="{00000000-0006-0000-0700-0000A3000000}">
      <text>
        <r>
          <rPr>
            <sz val="11"/>
            <rFont val="Calibri"/>
          </rPr>
          <t>For local accounts, the Juniper SRX Services Gateway must generate an alert message to the management console and generate a log event record that can be forwarded to the ISSO and designated system administrators when local accounts are created.</t>
        </r>
      </text>
    </comment>
    <comment ref="Q161" authorId="0" shapeId="0" xr:uid="{00000000-0006-0000-0700-0000A4000000}">
      <text>
        <r>
          <rPr>
            <sz val="11"/>
            <rFont val="Calibri"/>
          </rPr>
          <t>The Juniper SRX Services Gateway must generate an alert message to the management console and generate a log event record that can be forwarded to the ISSO and designated system administrators when the local accounts (i.e., the account of last resort or root account) are modified.</t>
        </r>
      </text>
    </comment>
    <comment ref="R161" authorId="0" shapeId="0" xr:uid="{00000000-0006-0000-0700-0000A5000000}">
      <text>
        <r>
          <rPr>
            <sz val="11"/>
            <rFont val="Calibri"/>
          </rPr>
          <t>The Juniper SRX Services Gateway must generate an alert message to the management console and generate a log event record that can be forwarded to the ISSO and designated system administrators when accounts are disabled.</t>
        </r>
      </text>
    </comment>
    <comment ref="S161" authorId="0" shapeId="0" xr:uid="{00000000-0006-0000-0700-0000A6000000}">
      <text>
        <r>
          <rPr>
            <sz val="11"/>
            <rFont val="Calibri"/>
          </rPr>
          <t>The Juniper SRX Services Gateway must generate an immediate alert message to the management console for account enabling actions.</t>
        </r>
      </text>
    </comment>
    <comment ref="T161" authorId="0" shapeId="0" xr:uid="{00000000-0006-0000-0700-0000A7000000}">
      <text>
        <r>
          <rPr>
            <sz val="11"/>
            <rFont val="Calibri"/>
          </rPr>
          <t>The Juniper SRX Services Gateway must detect the addition of components and issue a priority 1 alert to the ISSM and SA, at a minimum.</t>
        </r>
      </text>
    </comment>
    <comment ref="U161" authorId="0" shapeId="0" xr:uid="{00000000-0006-0000-0700-0000A8000000}">
      <text>
        <r>
          <rPr>
            <sz val="11"/>
            <rFont val="Calibri"/>
          </rPr>
          <t>The Juniper SRX Services Gateway must generate an alarm or send an alert message to the management console when a component failure is detected.</t>
        </r>
      </text>
    </comment>
    <comment ref="H165" authorId="0" shapeId="0" xr:uid="{00000000-0006-0000-0700-0000A9000000}">
      <text>
        <r>
          <rPr>
            <sz val="11"/>
            <rFont val="Calibri"/>
          </rPr>
          <t>The Juniper SRX Services Gateway Firewall providing content filtering must protect against known and unknown types of denial-of-service (DoS) attacks by implementing statistics-based screens.</t>
        </r>
      </text>
    </comment>
    <comment ref="I165" authorId="0" shapeId="0" xr:uid="{00000000-0006-0000-0700-0000B1000000}">
      <text>
        <r>
          <rPr>
            <sz val="11"/>
            <rFont val="Calibri"/>
          </rPr>
          <t>The Juniper SRX Services Gateway Firewall must implement load balancing on the perimeter firewall, at a minimum, to limit the effects of known and unknown types of denial-of-service (DoS) attacks on the network.</t>
        </r>
      </text>
    </comment>
    <comment ref="J165" authorId="0" shapeId="0" xr:uid="{00000000-0006-0000-0700-0000B2000000}">
      <text>
        <r>
          <rPr>
            <sz val="11"/>
            <rFont val="Calibri"/>
          </rPr>
          <t>The Juniper SRX Services Gateway Firewall must protect against known types of denial-of-service (DoS) attacks by implementing signature-based screens.</t>
        </r>
      </text>
    </comment>
    <comment ref="K165" authorId="0" shapeId="0" xr:uid="{00000000-0006-0000-0700-0000B3000000}">
      <text>
        <r>
          <rPr>
            <sz val="11"/>
            <rFont val="Calibri"/>
          </rPr>
          <t>The Juniper SRX Services Gateway Firewall must block outbound traffic containing known and unknown denial-of-service (DoS) attacks to protect against the use of internal information systems to launch any DoS attacks against other networks or endpoints.</t>
        </r>
      </text>
    </comment>
    <comment ref="L165" authorId="0" shapeId="0" xr:uid="{00000000-0006-0000-0700-0000B4000000}">
      <text>
        <r>
          <rPr>
            <sz val="11"/>
            <rFont val="Calibri"/>
          </rPr>
          <t>The Juniper SRX Services Gateway Firewall must continuously monitor all inbound communications traffic for unusual/unauthorized activities or conditions.</t>
        </r>
      </text>
    </comment>
    <comment ref="M165" authorId="0" shapeId="0" xr:uid="{00000000-0006-0000-0700-0000B5000000}">
      <text>
        <r>
          <rPr>
            <sz val="11"/>
            <rFont val="Calibri"/>
          </rPr>
          <t>The Juniper SRX Services Gateway Firewall must continuously monitor outbound communications traffic for unusual/unauthorized activities or conditions.</t>
        </r>
      </text>
    </comment>
    <comment ref="N165" authorId="0" shapeId="0" xr:uid="{00000000-0006-0000-0700-0000B6000000}">
      <text>
        <r>
          <rPr>
            <sz val="11"/>
            <rFont val="Calibri"/>
          </rPr>
          <t>The Juniper Networks SRX Series Gateway IDPS must provide audit record generation capability for detecting events based on implementation of policy filters, rules, and signatures.</t>
        </r>
      </text>
    </comment>
    <comment ref="O165" authorId="0" shapeId="0" xr:uid="{00000000-0006-0000-0700-0000B7000000}">
      <text>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text>
    </comment>
    <comment ref="P165" authorId="0" shapeId="0" xr:uid="{00000000-0006-0000-0700-0000B8000000}">
      <text>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text>
    </comment>
    <comment ref="Q165" authorId="0" shapeId="0" xr:uid="{00000000-0006-0000-0700-0000B9000000}">
      <text>
        <r>
          <rPr>
            <sz val="11"/>
            <rFont val="Calibri"/>
          </rPr>
          <t>The Juniper Networks SRX Series Gateway IDPS must provide audit record generation with a configurable severity and escalation level capability.</t>
        </r>
      </text>
    </comment>
    <comment ref="R165" authorId="0" shapeId="0" xr:uid="{00000000-0006-0000-0700-0000BA000000}">
      <text>
        <r>
          <rPr>
            <sz val="11"/>
            <rFont val="Calibri"/>
          </rPr>
          <t>The Juniper Networks SRX Series Gateway IDPS must block outbound traffic containing known and unknown DoS attacks by ensuring that rules are applied to outbound communications traffic.</t>
        </r>
      </text>
    </comment>
    <comment ref="S165" authorId="0" shapeId="0" xr:uid="{00000000-0006-0000-0700-0000BB000000}">
      <text>
        <r>
          <rPr>
            <sz val="11"/>
            <rFont val="Calibri"/>
          </rPr>
          <t>The Juniper Networks SRX Series Gateway IDPS must block outbound traffic containing known and unknown DoS attacks by ensuring that signature-based objects are applied to outbound communications traffic.</t>
        </r>
      </text>
    </comment>
    <comment ref="T165" authorId="0" shapeId="0" xr:uid="{00000000-0006-0000-0700-0000BC000000}">
      <text>
        <r>
          <rPr>
            <sz val="11"/>
            <rFont val="Calibri"/>
          </rPr>
          <t>The Juniper Networks SRX Series Gateway IDPS must block outbound traffic containing known and unknown DoS attacks by ensuring that anomaly-based attack objects are applied to outbound communications traffic.</t>
        </r>
      </text>
    </comment>
    <comment ref="U165" authorId="0" shapeId="0" xr:uid="{00000000-0006-0000-0700-0000BD000000}">
      <text>
        <r>
          <rPr>
            <sz val="11"/>
            <rFont val="Calibri"/>
          </rPr>
          <t>The Juniper Networks SRX Series Gateway IDPS must detect, at a minimum, mobile code that is unsigned or exhibiting unusual behavior, has not undergone a risk assessment, or is prohibited for use based on a risk assessment.</t>
        </r>
      </text>
    </comment>
    <comment ref="V165" authorId="0" shapeId="0" xr:uid="{00000000-0006-0000-0700-0000BE000000}">
      <text>
        <r>
          <rPr>
            <sz val="11"/>
            <rFont val="Calibri"/>
          </rPr>
          <t>The Juniper Networks SRX Series Gateway IDPS must block any prohibited mobile code at the enclave boundary when it is detected.</t>
        </r>
      </text>
    </comment>
    <comment ref="W165" authorId="0" shapeId="0" xr:uid="{00000000-0006-0000-0700-0000BF000000}">
      <text>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text>
    </comment>
    <comment ref="X165" authorId="0" shapeId="0" xr:uid="{00000000-0006-0000-0700-0000C0000000}">
      <text>
        <r>
          <rPr>
            <sz val="11"/>
            <rFont val="Calibri"/>
          </rPr>
          <t>To protect against unauthorized data mining, the Juniper Networks SRX Series Gateway IDPS must prevent code injection attacks launched against data storage objects, including, at a minimum, databases, database records, queries, and fields.</t>
        </r>
      </text>
    </comment>
    <comment ref="Y165" authorId="0" shapeId="0" xr:uid="{00000000-0006-0000-0700-0000C1000000}">
      <text>
        <r>
          <rPr>
            <sz val="11"/>
            <rFont val="Calibri"/>
          </rPr>
          <t>To protect against unauthorized data mining, the Juniper Networks SRX Series Gateway IDPS must prevent code injection attacks launched against application objects, including, at a minimum, application URLs and application code.</t>
        </r>
      </text>
    </comment>
    <comment ref="Z165" authorId="0" shapeId="0" xr:uid="{00000000-0006-0000-0700-0000C2000000}">
      <text>
        <r>
          <rPr>
            <sz val="11"/>
            <rFont val="Calibri"/>
          </rPr>
          <t>To protect against unauthorized data mining, the Juniper Networks SRX Series Gateway IDPS must prevent SQL injection attacks launched against data storage objects, including, at a minimum, databases, database records, and database fields.</t>
        </r>
      </text>
    </comment>
    <comment ref="AA165" authorId="0" shapeId="0" xr:uid="{00000000-0006-0000-0700-0000C3000000}">
      <text>
        <r>
          <rPr>
            <sz val="11"/>
            <rFont val="Calibri"/>
          </rPr>
          <t>To protect against unauthorized data mining, the Juniper Networks SRX Series Gateway IDPS must detect code injection attacks launched against data storage objects, including, at a minimum, databases, database records, queries, and fields.</t>
        </r>
      </text>
    </comment>
    <comment ref="AB165" authorId="0" shapeId="0" xr:uid="{00000000-0006-0000-0700-0000C4000000}">
      <text>
        <r>
          <rPr>
            <sz val="11"/>
            <rFont val="Calibri"/>
          </rPr>
          <t>To protect against unauthorized data mining, the Juniper Networks SRX Series Gateway IDPS must detect code injection attacks launched against application objects, including, at a minimum, application URLs and application code.</t>
        </r>
      </text>
    </comment>
    <comment ref="AC165" authorId="0" shapeId="0" xr:uid="{00000000-0006-0000-0700-0000C5000000}">
      <text>
        <r>
          <rPr>
            <sz val="11"/>
            <rFont val="Calibri"/>
          </rPr>
          <t>To protect against unauthorized data mining, the Juniper Networks SRX Series Gateway IDPS must detect SQL injection attacks launched against data storage objects, including, at a minimum, databases, database records, and database fields.</t>
        </r>
      </text>
    </comment>
    <comment ref="AD165" authorId="0" shapeId="0" xr:uid="{00000000-0006-0000-0700-0000C6000000}">
      <text>
        <r>
          <rPr>
            <sz val="11"/>
            <rFont val="Calibri"/>
          </rPr>
          <t>The Juniper Networks SRX Series Gateway IDPS must protect against or limit the effects of known and unknown types of Denial of Service (DoS) attacks by employing rate-based attack prevention behavior analysis.</t>
        </r>
      </text>
    </comment>
    <comment ref="AE165" authorId="0" shapeId="0" xr:uid="{00000000-0006-0000-0700-0000C7000000}">
      <text>
        <r>
          <rPr>
            <sz val="11"/>
            <rFont val="Calibri"/>
          </rPr>
          <t>The Juniper Networks SRX Series Gateway IDPS must protect against or limit the effects of known and unknown types of Denial of Service (DoS) attacks by employing anomaly-based detection.</t>
        </r>
      </text>
    </comment>
    <comment ref="AF165" authorId="0" shapeId="0" xr:uid="{00000000-0006-0000-0700-0000C8000000}">
      <text>
        <r>
          <rPr>
            <sz val="11"/>
            <rFont val="Calibri"/>
          </rPr>
          <t>The Juniper Networks SRX Series Gateway IDPS must protect against or limit the effects of known types of Denial of Service (DoS) attacks by employing signatures.</t>
        </r>
      </text>
    </comment>
    <comment ref="AG165" authorId="0" shapeId="0" xr:uid="{00000000-0006-0000-0700-0000C9000000}">
      <text>
        <r>
          <rPr>
            <sz val="11"/>
            <rFont val="Calibri"/>
          </rPr>
          <t>The Juniper Networks SRX Series Gateway IDPS must automatically install updates to signature definitions.</t>
        </r>
      </text>
    </comment>
    <comment ref="AH165" authorId="0" shapeId="0" xr:uid="{00000000-0006-0000-0700-0000AA000000}">
      <text>
        <r>
          <rPr>
            <sz val="11"/>
            <rFont val="Calibri"/>
          </rPr>
          <t>The Juniper Networks SRX Series Gateway IDPS must perform real-time monitoring of files from external sources at network entry/exit points.</t>
        </r>
      </text>
    </comment>
    <comment ref="AI165" authorId="0" shapeId="0" xr:uid="{00000000-0006-0000-0700-0000AB000000}">
      <text>
        <r>
          <rPr>
            <sz val="11"/>
            <rFont val="Calibri"/>
          </rPr>
          <t>The Juniper Networks SRX Series Gateway IDPS must drop packets or disconnect the connection when malicious code is detected.</t>
        </r>
      </text>
    </comment>
    <comment ref="AJ165" authorId="0" shapeId="0" xr:uid="{00000000-0006-0000-0700-0000AC000000}">
      <text>
        <r>
          <rPr>
            <sz val="11"/>
            <rFont val="Calibri"/>
          </rPr>
          <t>The Juniper Networks SRX Series Gateway IDPS must have only active Juniper Networks licenses.</t>
        </r>
      </text>
    </comment>
    <comment ref="AK165" authorId="0" shapeId="0" xr:uid="{00000000-0006-0000-0700-0000AD000000}">
      <text>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text>
    </comment>
    <comment ref="AL165" authorId="0" shapeId="0" xr:uid="{00000000-0006-0000-0700-0000AE000000}">
      <text>
        <r>
          <rPr>
            <sz val="11"/>
            <rFont val="Calibri"/>
          </rPr>
          <t>The Juniper SRX Services Gateway VPN device also fulfills the role of IDPS in the architecture, the device must inspect the VPN traffic in compliance with DoD IDPS requirements.</t>
        </r>
      </text>
    </comment>
    <comment ref="AM165" authorId="0" shapeId="0" xr:uid="{00000000-0006-0000-0700-0000AF000000}">
      <text>
        <r>
          <rPr>
            <sz val="11"/>
            <rFont val="Calibri"/>
          </rPr>
          <t>If IDPS inspection is performed separately from the Juniper SRX Services Gateway VPN device, the VPN must route sessions to an IDPS for inspection.</t>
        </r>
      </text>
    </comment>
    <comment ref="AN165" authorId="0" shapeId="0" xr:uid="{00000000-0006-0000-0700-0000B0000000}">
      <text>
        <r>
          <rPr>
            <sz val="11"/>
            <rFont val="Calibri"/>
          </rPr>
          <t>The Juniper SRX Services Gateway must configure the control plane to protect against or limit the effects of common types of Denial of Service (DoS) attacks on the device itself by configuring applicable system options and internet-options.</t>
        </r>
      </text>
    </comment>
    <comment ref="H168" authorId="0" shapeId="0" xr:uid="{00000000-0006-0000-0700-0000CA000000}">
      <text>
        <r>
          <rPr>
            <sz val="11"/>
            <rFont val="Calibri"/>
          </rPr>
          <t>The Juniper SRX Services Gateway Firewall must continuously monitor all inbound communications traffic for unusual/unauthorized activities or conditions.</t>
        </r>
      </text>
    </comment>
    <comment ref="I168" authorId="0" shapeId="0" xr:uid="{00000000-0006-0000-0700-0000CB000000}">
      <text>
        <r>
          <rPr>
            <sz val="11"/>
            <rFont val="Calibri"/>
          </rPr>
          <t>The Juniper SRX Services Gateway Firewall must continuously monitor outbound communications traffic for unusual/unauthorized activities or conditions.</t>
        </r>
      </text>
    </comment>
    <comment ref="J168" authorId="0" shapeId="0" xr:uid="{00000000-0006-0000-0700-0000CC000000}">
      <text>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text>
    </comment>
    <comment ref="K168" authorId="0" shapeId="0" xr:uid="{00000000-0006-0000-0700-0000CD000000}">
      <text>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text>
    </comment>
    <comment ref="L168" authorId="0" shapeId="0" xr:uid="{00000000-0006-0000-0700-0000CE000000}">
      <text>
        <r>
          <rPr>
            <sz val="11"/>
            <rFont val="Calibri"/>
          </rPr>
          <t>The Juniper Networks SRX Series Gateway IDPS must detect, at a minimum, mobile code that is unsigned or exhibiting unusual behavior, has not undergone a risk assessment, or is prohibited for use based on a risk assessment.</t>
        </r>
      </text>
    </comment>
    <comment ref="M168" authorId="0" shapeId="0" xr:uid="{00000000-0006-0000-0700-0000CF000000}">
      <text>
        <r>
          <rPr>
            <sz val="11"/>
            <rFont val="Calibri"/>
          </rPr>
          <t>The Juniper Networks SRX Series Gateway IDPS must block any prohibited mobile code at the enclave boundary when it is detected.</t>
        </r>
      </text>
    </comment>
    <comment ref="N168" authorId="0" shapeId="0" xr:uid="{00000000-0006-0000-0700-0000D0000000}">
      <text>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text>
    </comment>
    <comment ref="O168" authorId="0" shapeId="0" xr:uid="{00000000-0006-0000-0700-0000D1000000}">
      <text>
        <r>
          <rPr>
            <sz val="11"/>
            <rFont val="Calibri"/>
          </rPr>
          <t>To protect against unauthorized data mining, the Juniper Networks SRX Series Gateway IDPS must prevent code injection attacks launched against data storage objects, including, at a minimum, databases, database records, queries, and fields.</t>
        </r>
      </text>
    </comment>
    <comment ref="P168" authorId="0" shapeId="0" xr:uid="{00000000-0006-0000-0700-0000D2000000}">
      <text>
        <r>
          <rPr>
            <sz val="11"/>
            <rFont val="Calibri"/>
          </rPr>
          <t>To protect against unauthorized data mining, the Juniper Networks SRX Series Gateway IDPS must prevent code injection attacks launched against application objects, including, at a minimum, application URLs and application code.</t>
        </r>
      </text>
    </comment>
    <comment ref="Q168" authorId="0" shapeId="0" xr:uid="{00000000-0006-0000-0700-0000D3000000}">
      <text>
        <r>
          <rPr>
            <sz val="11"/>
            <rFont val="Calibri"/>
          </rPr>
          <t>To protect against unauthorized data mining, the Juniper Networks SRX Series Gateway IDPS must prevent SQL injection attacks launched against data storage objects, including, at a minimum, databases, database records, and database fields.</t>
        </r>
      </text>
    </comment>
    <comment ref="R168" authorId="0" shapeId="0" xr:uid="{00000000-0006-0000-0700-0000D4000000}">
      <text>
        <r>
          <rPr>
            <sz val="11"/>
            <rFont val="Calibri"/>
          </rPr>
          <t>To protect against unauthorized data mining, the Juniper Networks SRX Series Gateway IDPS must detect code injection attacks launched against data storage objects, including, at a minimum, databases, database records, queries, and fields.</t>
        </r>
      </text>
    </comment>
    <comment ref="S168" authorId="0" shapeId="0" xr:uid="{00000000-0006-0000-0700-0000D5000000}">
      <text>
        <r>
          <rPr>
            <sz val="11"/>
            <rFont val="Calibri"/>
          </rPr>
          <t>To protect against unauthorized data mining, the Juniper Networks SRX Series Gateway IDPS must detect code injection attacks launched against application objects, including, at a minimum, application URLs and application code.</t>
        </r>
      </text>
    </comment>
    <comment ref="T168" authorId="0" shapeId="0" xr:uid="{00000000-0006-0000-0700-0000D6000000}">
      <text>
        <r>
          <rPr>
            <sz val="11"/>
            <rFont val="Calibri"/>
          </rPr>
          <t>To protect against unauthorized data mining, the Juniper Networks SRX Series Gateway IDPS must detect SQL injection attacks launched against data storage objects, including, at a minimum, databases, database records, and database fields.</t>
        </r>
      </text>
    </comment>
    <comment ref="U168" authorId="0" shapeId="0" xr:uid="{00000000-0006-0000-0700-0000D7000000}">
      <text>
        <r>
          <rPr>
            <sz val="11"/>
            <rFont val="Calibri"/>
          </rPr>
          <t>The Juniper Networks SRX Series Gateway IDPS must automatically install updates to signature definitions.</t>
        </r>
      </text>
    </comment>
    <comment ref="V168" authorId="0" shapeId="0" xr:uid="{00000000-0006-0000-0700-0000D8000000}">
      <text>
        <r>
          <rPr>
            <sz val="11"/>
            <rFont val="Calibri"/>
          </rPr>
          <t>The Juniper Networks SRX Series Gateway IDPS must perform real-time monitoring of files from external sources at network entry/exit points.</t>
        </r>
      </text>
    </comment>
    <comment ref="W168" authorId="0" shapeId="0" xr:uid="{00000000-0006-0000-0700-0000D9000000}">
      <text>
        <r>
          <rPr>
            <sz val="11"/>
            <rFont val="Calibri"/>
          </rPr>
          <t>The Juniper Networks SRX Series Gateway IDPS must drop packets or disconnect the connection when malicious code is detected.</t>
        </r>
      </text>
    </comment>
    <comment ref="X168" authorId="0" shapeId="0" xr:uid="{00000000-0006-0000-0700-0000DA000000}">
      <text>
        <r>
          <rPr>
            <sz val="11"/>
            <rFont val="Calibri"/>
          </rPr>
          <t>The Juniper Networks SRX Series Gateway IDPS must have only active Juniper Networks licenses.</t>
        </r>
      </text>
    </comment>
    <comment ref="Y168" authorId="0" shapeId="0" xr:uid="{00000000-0006-0000-0700-0000DB000000}">
      <text>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text>
    </comment>
    <comment ref="Z168" authorId="0" shapeId="0" xr:uid="{00000000-0006-0000-0700-0000DC000000}">
      <text>
        <r>
          <rPr>
            <sz val="11"/>
            <rFont val="Calibri"/>
          </rPr>
          <t>The Juniper SRX Services Gateway VPN device also fulfills the role of IDPS in the architecture, the device must inspect the VPN traffic in compliance with DoD IDPS requirements.</t>
        </r>
      </text>
    </comment>
    <comment ref="AA168" authorId="0" shapeId="0" xr:uid="{00000000-0006-0000-0700-0000DD000000}">
      <text>
        <r>
          <rPr>
            <sz val="11"/>
            <rFont val="Calibri"/>
          </rPr>
          <t>If IDPS inspection is performed separately from the Juniper SRX Services Gateway VPN device, the VPN must route sessions to an IDPS for inspection.</t>
        </r>
      </text>
    </comment>
    <comment ref="H191" authorId="0" shapeId="0" xr:uid="{00000000-0006-0000-0700-0000DE000000}">
      <text>
        <r>
          <rPr>
            <sz val="11"/>
            <rFont val="Calibri"/>
          </rPr>
          <t>The Juniper SRX Services Gateway Firewall must generate an alert to, at a minimum, the ISSO and ISSM when unusual/unauthorized activities or conditions are detected during continuous monitoring of communications traffic as it traverses inbound or outbound  across internal security boundaries.</t>
        </r>
      </text>
    </comment>
    <comment ref="I191" authorId="0" shapeId="0" xr:uid="{00000000-0006-0000-0700-0000DF000000}">
      <text>
        <r>
          <rPr>
            <sz val="11"/>
            <rFont val="Calibri"/>
          </rPr>
          <t>The Juniper SRX Services Gateway Firewall must generate an alert that can be forwarded to, at a minimum, the ISSO and ISSM when threats identified by authoritative sources are detected.</t>
        </r>
      </text>
    </comment>
    <comment ref="J191" authorId="0" shapeId="0" xr:uid="{00000000-0006-0000-0700-0000E0000000}">
      <text>
        <r>
          <rPr>
            <sz val="11"/>
            <rFont val="Calibri"/>
          </rPr>
          <t>The Juniper SRX Services Gateway Firewall must generate an alert that can be forwarded to, at a minimum, the ISSO and ISSM when DoS incidents are detected.</t>
        </r>
      </text>
    </comment>
    <comment ref="K191" authorId="0" shapeId="0" xr:uid="{00000000-0006-0000-0700-0000E1000000}">
      <text>
        <r>
          <rPr>
            <sz val="11"/>
            <rFont val="Calibri"/>
          </rPr>
          <t>The IDPS must send an alert to, at a minimum, the ISSO and ISSM when intrusion detection events are detected that indicate a compromise or potential for compromise.</t>
        </r>
      </text>
    </comment>
    <comment ref="L191" authorId="0" shapeId="0" xr:uid="{00000000-0006-0000-0700-0000E2000000}">
      <text>
        <r>
          <rPr>
            <sz val="11"/>
            <rFont val="Calibri"/>
          </rPr>
          <t>The Juniper Networks SRX Series Gateway IDPS must generate an alert to, at a minimum, the ISSO and ISSM when root-level intrusion events that provide unauthorized privileged access are detected.</t>
        </r>
      </text>
    </comment>
    <comment ref="M191" authorId="0" shapeId="0" xr:uid="{00000000-0006-0000-0700-0000E3000000}">
      <text>
        <r>
          <rPr>
            <sz val="11"/>
            <rFont val="Calibri"/>
          </rPr>
          <t>The IDPS must send an alert to, at a minimum, the ISSO and ISSM when DoS incidents are detected.</t>
        </r>
      </text>
    </comment>
    <comment ref="N191" authorId="0" shapeId="0" xr:uid="{00000000-0006-0000-0700-0000E4000000}">
      <text>
        <r>
          <rPr>
            <sz val="11"/>
            <rFont val="Calibri"/>
          </rPr>
          <t>The Juniper Networks SRX Series Gateway IDPS must send an immediate alert to, at a minimum, the Security Control Auditor (SCA) when malicious code is detected.</t>
        </r>
      </text>
    </comment>
    <comment ref="O191" authorId="0" shapeId="0" xr:uid="{00000000-0006-0000-0700-0000E5000000}">
      <text>
        <r>
          <rPr>
            <sz val="11"/>
            <rFont val="Calibri"/>
          </rPr>
          <t>The Juniper SRX Services Gateway must generate an immediate system alert message to the management console when a log processing failure is detected.</t>
        </r>
      </text>
    </comment>
    <comment ref="P191" authorId="0" shapeId="0" xr:uid="{00000000-0006-0000-0700-0000E6000000}">
      <text>
        <r>
          <rPr>
            <sz val="11"/>
            <rFont val="Calibri"/>
          </rPr>
          <t>For local accounts, the Juniper SRX Services Gateway must generate an alert message to the management console and generate a log event record that can be forwarded to the ISSO and designated system administrators when local accounts are created.</t>
        </r>
      </text>
    </comment>
    <comment ref="Q191" authorId="0" shapeId="0" xr:uid="{00000000-0006-0000-0700-0000E7000000}">
      <text>
        <r>
          <rPr>
            <sz val="11"/>
            <rFont val="Calibri"/>
          </rPr>
          <t>The Juniper SRX Services Gateway must generate an alert message to the management console and generate a log event record that can be forwarded to the ISSO and designated system administrators when the local accounts (i.e., the account of last resort or root account) are modified.</t>
        </r>
      </text>
    </comment>
    <comment ref="R191" authorId="0" shapeId="0" xr:uid="{00000000-0006-0000-0700-0000E8000000}">
      <text>
        <r>
          <rPr>
            <sz val="11"/>
            <rFont val="Calibri"/>
          </rPr>
          <t>The Juniper SRX Services Gateway must generate an alert message to the management console and generate a log event record that can be forwarded to the ISSO and designated system administrators when accounts are disabled.</t>
        </r>
      </text>
    </comment>
    <comment ref="S191" authorId="0" shapeId="0" xr:uid="{00000000-0006-0000-0700-0000E9000000}">
      <text>
        <r>
          <rPr>
            <sz val="11"/>
            <rFont val="Calibri"/>
          </rPr>
          <t>The Juniper SRX Services Gateway must generate an immediate alert message to the management console for account enabling actions.</t>
        </r>
      </text>
    </comment>
    <comment ref="T191" authorId="0" shapeId="0" xr:uid="{00000000-0006-0000-0700-0000EA000000}">
      <text>
        <r>
          <rPr>
            <sz val="11"/>
            <rFont val="Calibri"/>
          </rPr>
          <t>The Juniper SRX Services Gateway must detect the addition of components and issue a priority 1 alert to the ISSM and SA, at a minimum.</t>
        </r>
      </text>
    </comment>
    <comment ref="U191" authorId="0" shapeId="0" xr:uid="{00000000-0006-0000-0700-0000EB000000}">
      <text>
        <r>
          <rPr>
            <sz val="11"/>
            <rFont val="Calibri"/>
          </rPr>
          <t>The Juniper SRX Services Gateway must generate an alarm or send an alert message to the management console when a component failure is detected.</t>
        </r>
      </text>
    </comment>
    <comment ref="H221" authorId="0" shapeId="0" xr:uid="{00000000-0006-0000-0700-0000EC000000}">
      <text>
        <r>
          <rPr>
            <sz val="11"/>
            <rFont val="Calibri"/>
          </rPr>
          <t>The Juniper SRX Services Gateway must have the number of rollbacks set to 5 or more.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For local accounts created on the device, the Juniper SRX Services Gateway must automatically generate log records for account creation events.</t>
        </r>
      </text>
    </comment>
    <comment ref="H37" authorId="0" shapeId="0" xr:uid="{00000000-0006-0000-0800-00000D000000}">
      <text>
        <r>
          <rPr>
            <sz val="11"/>
            <rFont val="Calibri"/>
          </rPr>
          <t>For local accounts created on the device, the Juniper SRX Services Gateway must automatically generate log records for account modification events.</t>
        </r>
      </text>
    </comment>
    <comment ref="I37" authorId="0" shapeId="0" xr:uid="{00000000-0006-0000-0800-000002000000}">
      <text>
        <r>
          <rPr>
            <sz val="11"/>
            <rFont val="Calibri"/>
          </rPr>
          <t>For local accounts created on the device, the Juniper SRX Services Gateway must automatically generate log records for account disabling events.</t>
        </r>
      </text>
    </comment>
    <comment ref="J37" authorId="0" shapeId="0" xr:uid="{00000000-0006-0000-0800-000003000000}">
      <text>
        <r>
          <rPr>
            <sz val="11"/>
            <rFont val="Calibri"/>
          </rPr>
          <t>For local accounts created on the device, the Juniper SRX Services Gateway must automatically generate log records for account removal events.</t>
        </r>
      </text>
    </comment>
    <comment ref="K37" authorId="0" shapeId="0" xr:uid="{00000000-0006-0000-0800-000004000000}">
      <text>
        <r>
          <rPr>
            <sz val="11"/>
            <rFont val="Calibri"/>
          </rPr>
          <t>The Juniper SRX Services Gateway must automatically generate a log event when accounts are enabled.</t>
        </r>
      </text>
    </comment>
    <comment ref="L37" authorId="0" shapeId="0" xr:uid="{00000000-0006-0000-0800-000005000000}">
      <text>
        <r>
          <rPr>
            <sz val="11"/>
            <rFont val="Calibri"/>
          </rPr>
          <t>The Juniper SRX Services Gateway must be configured with only one local user account to be used as the account of last resort.</t>
        </r>
      </text>
    </comment>
    <comment ref="M37" authorId="0" shapeId="0" xr:uid="{00000000-0006-0000-0800-000006000000}">
      <text>
        <r>
          <rPr>
            <sz val="11"/>
            <rFont val="Calibri"/>
          </rPr>
          <t>For local accounts using password authentication (i.e., the root account and the account of last resort), the Juniper SRX Services Gateway must enforce a minimum 15-character password length.</t>
        </r>
      </text>
    </comment>
    <comment ref="N37" authorId="0" shapeId="0" xr:uid="{00000000-0006-0000-0800-000007000000}">
      <text>
        <r>
          <rPr>
            <sz val="11"/>
            <rFont val="Calibri"/>
          </rPr>
          <t>For local accounts using password authentication (i.e., the root account and the account of last resort), the Juniper SRX Services Gateway must enforce password complexity by setting the password change type to character sets.</t>
        </r>
      </text>
    </comment>
    <comment ref="O37" authorId="0" shapeId="0" xr:uid="{00000000-0006-0000-0800-000008000000}">
      <text>
        <r>
          <rPr>
            <sz val="11"/>
            <rFont val="Calibri"/>
          </rPr>
          <t>For local accounts using password authentication (i.e., the root account and the account of last resort), the Juniper SRX Services Gateway must enforce password complexity by requiring at least one uppercase character be used.</t>
        </r>
      </text>
    </comment>
    <comment ref="P37" authorId="0" shapeId="0" xr:uid="{00000000-0006-0000-0800-000009000000}">
      <text>
        <r>
          <rPr>
            <sz val="11"/>
            <rFont val="Calibri"/>
          </rPr>
          <t>For local accounts using password authentication (i.e., the root account and the account of last resort), the Juniper SRX Services Gateway must enforce password complexity by requiring at least one lowercase character be used.</t>
        </r>
      </text>
    </comment>
    <comment ref="Q37" authorId="0" shapeId="0" xr:uid="{00000000-0006-0000-0800-00000A000000}">
      <text>
        <r>
          <rPr>
            <sz val="11"/>
            <rFont val="Calibri"/>
          </rPr>
          <t>For local accounts using password authentication (i.e., the root account and the account of last resort), the Juniper SRX Services Gateway must enforce password complexity by requiring at least one numeric character be used.</t>
        </r>
      </text>
    </comment>
    <comment ref="R37" authorId="0" shapeId="0" xr:uid="{00000000-0006-0000-0800-00000B000000}">
      <text>
        <r>
          <rPr>
            <sz val="11"/>
            <rFont val="Calibri"/>
          </rPr>
          <t>For local accounts using password authentication (i.e., the root account and the account of last resort), the Juniper SRX Services Gateway must enforce password complexity by requiring at least one special character be used.</t>
        </r>
      </text>
    </comment>
    <comment ref="S37" authorId="0" shapeId="0" xr:uid="{00000000-0006-0000-0800-00000C000000}">
      <text>
        <r>
          <rPr>
            <sz val="11"/>
            <rFont val="Calibri"/>
          </rPr>
          <t>The Juniper SRX Services Gateway must use the SHA256 or later protocol for password authentication for local accounts using password authentication (i.e., the root account and the account of last resort).</t>
        </r>
      </text>
    </comment>
    <comment ref="G45" authorId="0" shapeId="0" xr:uid="{00000000-0006-0000-0800-00000E000000}">
      <text>
        <r>
          <rPr>
            <sz val="11"/>
            <rFont val="Calibri"/>
          </rPr>
          <t>For local accounts created on the device, the Juniper SRX Services Gateway must enforce the limit of three consecutive invalid logon attempts by a user during a 15-minute time period.</t>
        </r>
      </text>
    </comment>
    <comment ref="G46" authorId="0" shapeId="0" xr:uid="{00000000-0006-0000-0800-00000F000000}">
      <text>
        <r>
          <rPr>
            <sz val="11"/>
            <rFont val="Calibri"/>
          </rPr>
          <t>The Juniper SRX Services Gateway Firewall must terminate all communications sessions associated with user traffic after 15 minutes or less of inactivity.</t>
        </r>
      </text>
    </comment>
    <comment ref="H46" authorId="0" shapeId="0" xr:uid="{00000000-0006-0000-0800-000010000000}">
      <text>
        <r>
          <rPr>
            <sz val="11"/>
            <rFont val="Calibri"/>
          </rPr>
          <t>The Juniper SRX Services Gateway VPN must terminate all network connections associated with a communications session at the end of the session.</t>
        </r>
      </text>
    </comment>
    <comment ref="I46" authorId="0" shapeId="0" xr:uid="{00000000-0006-0000-0800-000011000000}">
      <text>
        <r>
          <rPr>
            <sz val="11"/>
            <rFont val="Calibri"/>
          </rPr>
          <t>The Juniper SRX Services Gateway must terminate a device management session after 10 minutes of inactivity, except to fulfill documented and validated mission requirements.</t>
        </r>
      </text>
    </comment>
    <comment ref="J46" authorId="0" shapeId="0" xr:uid="{00000000-0006-0000-0800-000012000000}">
      <text>
        <r>
          <rPr>
            <sz val="11"/>
            <rFont val="Calibri"/>
          </rPr>
          <t>The Juniper SRX Services Gateway must terminate a device management session if the keep-alive count is exceeded.</t>
        </r>
      </text>
    </comment>
    <comment ref="K46" authorId="0" shapeId="0" xr:uid="{00000000-0006-0000-0800-000013000000}">
      <text>
        <r>
          <rPr>
            <sz val="11"/>
            <rFont val="Calibri"/>
          </rPr>
          <t>The Juniper SRX Services Gateway must automatically terminate a network administrator session after organization-defined conditions or trigger events requiring session disconnect.</t>
        </r>
      </text>
    </comment>
    <comment ref="G52" authorId="0" shapeId="0" xr:uid="{00000000-0006-0000-0800-000014000000}">
      <text>
        <r>
          <rPr>
            <sz val="11"/>
            <rFont val="Calibri"/>
          </rPr>
          <t>For User Role Firewalls, the Juniper SRX Services Gateway Firewall must employ user attribute-based security policies to enforce approved authorizations for logical access to information and system resources.</t>
        </r>
      </text>
    </comment>
    <comment ref="H52" authorId="0" shapeId="0" xr:uid="{00000000-0006-0000-0800-000015000000}">
      <text>
        <r>
          <rPr>
            <sz val="11"/>
            <rFont val="Calibri"/>
          </rPr>
          <t>The Juniper SRX Services Gateway VPN must not accept certificates that have been revoked when using PKI for authentication.</t>
        </r>
      </text>
    </comment>
    <comment ref="I52" authorId="0" shapeId="0" xr:uid="{00000000-0006-0000-0800-000016000000}">
      <text>
        <r>
          <rPr>
            <sz val="11"/>
            <rFont val="Calibri"/>
          </rPr>
          <t>The Juniper SRX Services Gateway VPN must use multifactor authentication (e.g., DoD PKI) for network access to non-privileged accounts.</t>
        </r>
      </text>
    </comment>
    <comment ref="J52" authorId="0" shapeId="0" xr:uid="{00000000-0006-0000-0800-000017000000}">
      <text>
        <r>
          <rPr>
            <sz val="11"/>
            <rFont val="Calibri"/>
          </rPr>
          <t>The Juniper SRX Services Gateway VPN must only allow the use of DoD PKI established certificate authorities for verification of the establishment of protected sessions.</t>
        </r>
      </text>
    </comment>
    <comment ref="K52" authorId="0" shapeId="0" xr:uid="{00000000-0006-0000-0800-000018000000}">
      <text>
        <r>
          <rPr>
            <sz val="11"/>
            <rFont val="Calibri"/>
          </rPr>
          <t>The Juniper SRX Services Gateway must enforce the assigned privilege level for each administrator and authorizations for access to all commands by assigning a login class to all AAA-authenticated users.</t>
        </r>
      </text>
    </comment>
    <comment ref="L52" authorId="0" shapeId="0" xr:uid="{00000000-0006-0000-0800-000019000000}">
      <text>
        <r>
          <rPr>
            <sz val="11"/>
            <rFont val="Calibri"/>
          </rPr>
          <t>The Juniper SRX Services Gateway must implement logon roles to ensure only authorized roles are allowed to install software and updates.</t>
        </r>
      </text>
    </comment>
    <comment ref="M52" authorId="0" shapeId="0" xr:uid="{00000000-0006-0000-0800-00001A000000}">
      <text>
        <r>
          <rPr>
            <sz val="11"/>
            <rFont val="Calibri"/>
          </rPr>
          <t>The Juniper SRX Services Gateway must be configured to use an authentication server to centrally manage authentication and logon settings for remote and nonlocal access.</t>
        </r>
      </text>
    </comment>
    <comment ref="N52" authorId="0" shapeId="0" xr:uid="{00000000-0006-0000-0800-00001B000000}">
      <text>
        <r>
          <rPr>
            <sz val="11"/>
            <rFont val="Calibri"/>
          </rPr>
          <t>The Juniper SRX Services Gateway must use DOD-approved PKI rather than proprietary or self-signed device certificates.</t>
        </r>
      </text>
    </comment>
    <comment ref="O52" authorId="0" shapeId="0" xr:uid="{00000000-0006-0000-0800-00001C000000}">
      <text>
        <r>
          <rPr>
            <sz val="11"/>
            <rFont val="Calibri"/>
          </rPr>
          <t>The Juniper SRX Services Gateway must implement replay-resistant authentication mechanisms for network access to privileged accounts.</t>
        </r>
      </text>
    </comment>
    <comment ref="P52" authorId="0" shapeId="0" xr:uid="{00000000-0006-0000-0800-00001D000000}">
      <text>
        <r>
          <rPr>
            <sz val="11"/>
            <rFont val="Calibri"/>
          </rPr>
          <t>The Juniper SRX Services Gateway must be configured to use an authentication server to centrally apply authentication and logon settings for remote and nonlocal access for device management.</t>
        </r>
      </text>
    </comment>
    <comment ref="Q52" authorId="0" shapeId="0" xr:uid="{00000000-0006-0000-0800-00001E000000}">
      <text>
        <r>
          <rPr>
            <sz val="11"/>
            <rFont val="Calibri"/>
          </rPr>
          <t>The Juniper SRX Services Gateway must specify the order in which authentication servers are used.</t>
        </r>
      </text>
    </comment>
    <comment ref="G53" authorId="0" shapeId="0" xr:uid="{00000000-0006-0000-0800-00001F000000}">
      <text>
        <r>
          <rPr>
            <sz val="11"/>
            <rFont val="Calibri"/>
          </rPr>
          <t>The Juniper SRX Services Gateway VPN must not accept certificates that have been revoked when using PKI for authentication.</t>
        </r>
      </text>
    </comment>
    <comment ref="H53" authorId="0" shapeId="0" xr:uid="{00000000-0006-0000-0800-000020000000}">
      <text>
        <r>
          <rPr>
            <sz val="11"/>
            <rFont val="Calibri"/>
          </rPr>
          <t>The Juniper SRX Services Gateway VPN must use multifactor authentication (e.g., DoD PKI) for network access to non-privileged accounts.</t>
        </r>
      </text>
    </comment>
    <comment ref="I53" authorId="0" shapeId="0" xr:uid="{00000000-0006-0000-0800-000021000000}">
      <text>
        <r>
          <rPr>
            <sz val="11"/>
            <rFont val="Calibri"/>
          </rPr>
          <t>The Juniper SRX Services Gateway VPN must only allow the use of DoD PKI established certificate authorities for verification of the establishment of protected sessions.</t>
        </r>
      </text>
    </comment>
    <comment ref="J53" authorId="0" shapeId="0" xr:uid="{00000000-0006-0000-0800-000022000000}">
      <text>
        <r>
          <rPr>
            <sz val="11"/>
            <rFont val="Calibri"/>
          </rPr>
          <t>The Juniper SRX Services Gateway must use DOD-approved PKI rather than proprietary or self-signed device certificates.</t>
        </r>
      </text>
    </comment>
    <comment ref="K53" authorId="0" shapeId="0" xr:uid="{00000000-0006-0000-0800-000023000000}">
      <text>
        <r>
          <rPr>
            <sz val="11"/>
            <rFont val="Calibri"/>
          </rPr>
          <t>The Juniper SRX Services Gateway must implement replay-resistant authentication mechanisms for network access to privileged accounts.</t>
        </r>
      </text>
    </comment>
    <comment ref="G55" authorId="0" shapeId="0" xr:uid="{00000000-0006-0000-0800-000024000000}">
      <text>
        <r>
          <rPr>
            <sz val="11"/>
            <rFont val="Calibri"/>
          </rPr>
          <t>The Juniper SRX Services Gateway must generate log records when changes are made to administrator privileges.</t>
        </r>
      </text>
    </comment>
    <comment ref="H55" authorId="0" shapeId="0" xr:uid="{00000000-0006-0000-0800-000025000000}">
      <text>
        <r>
          <rPr>
            <sz val="11"/>
            <rFont val="Calibri"/>
          </rPr>
          <t>The Juniper SRX Services Gateway must generate log records when administrator privileges are deleted.</t>
        </r>
      </text>
    </comment>
    <comment ref="G63" authorId="0" shapeId="0" xr:uid="{00000000-0006-0000-0800-000026000000}">
      <text>
        <r>
          <rPr>
            <sz val="11"/>
            <rFont val="Calibri"/>
          </rPr>
          <t>The Juniper SRX Services Gateway must be configured to use Junos 12.1 X46 or later to meet the minimum required version for DoD.</t>
        </r>
      </text>
    </comment>
    <comment ref="G64" authorId="0" shapeId="0" xr:uid="{00000000-0006-0000-0800-000027000000}">
      <text>
        <r>
          <rPr>
            <sz val="11"/>
            <rFont val="Calibri"/>
          </rPr>
          <t>The Juniper SRX Services Gateway Firewall must disable or remove unnecessary network services and functions that are not used as part of its role in the architecture.</t>
        </r>
      </text>
    </comment>
    <comment ref="H64" authorId="0" shapeId="0" xr:uid="{00000000-0006-0000-0800-000028000000}">
      <text>
        <r>
          <rPr>
            <sz val="11"/>
            <rFont val="Calibri"/>
          </rPr>
          <t>The Juniper SRX Services Gateway must disable or remove unnecessary network services and functions that are not used as part of its role in the architecture.</t>
        </r>
      </text>
    </comment>
    <comment ref="I64" authorId="0" shapeId="0" xr:uid="{00000000-0006-0000-0800-000029000000}">
      <text>
        <r>
          <rPr>
            <sz val="11"/>
            <rFont val="Calibri"/>
          </rPr>
          <t>The Juniper SRX Services Gateway must be configured to prohibit the use of unnecessary and/or nonsecure functions, ports, protocols, and/or services, as defined in the PPSM CAL and vulnerability assessments.</t>
        </r>
      </text>
    </comment>
    <comment ref="G69" authorId="0" shapeId="0" xr:uid="{00000000-0006-0000-0800-00002A000000}">
      <text>
        <r>
          <rPr>
            <sz val="11"/>
            <rFont val="Calibri"/>
          </rPr>
          <t>The Juniper SRX Services Gateway must generate log records when firewall filters, security screens and security policies are invoked and the traffic is denied or restricted.</t>
        </r>
      </text>
    </comment>
    <comment ref="H69" authorId="0" shapeId="0" xr:uid="{00000000-0006-0000-0800-000045000000}">
      <text>
        <r>
          <rPr>
            <sz val="11"/>
            <rFont val="Calibri"/>
          </rPr>
          <t>The Juniper SRX Services Gateway Firewall must generate audit records when unsuccessful attempts to access security zones occur.</t>
        </r>
      </text>
    </comment>
    <comment ref="I69" authorId="0" shapeId="0" xr:uid="{00000000-0006-0000-0800-000046000000}">
      <text>
        <r>
          <rPr>
            <sz val="11"/>
            <rFont val="Calibri"/>
          </rPr>
          <t>The Juniper SRX Services Gateway Firewall must be configured to support centralized management and configuration of the audit log.</t>
        </r>
      </text>
    </comment>
    <comment ref="J69" authorId="0" shapeId="0" xr:uid="{00000000-0006-0000-0800-000047000000}">
      <text>
        <r>
          <rPr>
            <sz val="11"/>
            <rFont val="Calibri"/>
          </rPr>
          <t>In the event that communications with the Syslog server is lost, the Juniper SRX Services Gateway must continue to queue traffic log records locally.</t>
        </r>
      </text>
    </comment>
    <comment ref="K69" authorId="0" shapeId="0" xr:uid="{00000000-0006-0000-0800-000048000000}">
      <text>
        <r>
          <rPr>
            <sz val="11"/>
            <rFont val="Calibri"/>
          </rPr>
          <t>The Juniper SRX Services Gateway Firewall must continuously monitor all inbound communications traffic for unusual/unauthorized activities or conditions.</t>
        </r>
      </text>
    </comment>
    <comment ref="L69" authorId="0" shapeId="0" xr:uid="{00000000-0006-0000-0800-000049000000}">
      <text>
        <r>
          <rPr>
            <sz val="11"/>
            <rFont val="Calibri"/>
          </rPr>
          <t>The Juniper SRX Services Gateway Firewall must continuously monitor outbound communications traffic for unusual/unauthorized activities or conditions.</t>
        </r>
      </text>
    </comment>
    <comment ref="M69" authorId="0" shapeId="0" xr:uid="{00000000-0006-0000-0800-00004A000000}">
      <text>
        <r>
          <rPr>
            <sz val="11"/>
            <rFont val="Calibri"/>
          </rPr>
          <t>The Juniper Networks SRX Series Gateway IDPS must provide audit record generation capability for detecting events based on implementation of policy filters, rules, and signatures.</t>
        </r>
      </text>
    </comment>
    <comment ref="N69" authorId="0" shapeId="0" xr:uid="{00000000-0006-0000-0800-00004B000000}">
      <text>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text>
    </comment>
    <comment ref="O69" authorId="0" shapeId="0" xr:uid="{00000000-0006-0000-0800-00004C000000}">
      <text>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text>
    </comment>
    <comment ref="P69" authorId="0" shapeId="0" xr:uid="{00000000-0006-0000-0800-00004D000000}">
      <text>
        <r>
          <rPr>
            <sz val="11"/>
            <rFont val="Calibri"/>
          </rPr>
          <t>The Juniper Networks SRX Series Gateway IDPS must provide audit record generation with a configurable severity and escalation level capability.</t>
        </r>
      </text>
    </comment>
    <comment ref="Q69" authorId="0" shapeId="0" xr:uid="{00000000-0006-0000-0800-00004E000000}">
      <text>
        <r>
          <rPr>
            <sz val="11"/>
            <rFont val="Calibri"/>
          </rPr>
          <t>The Juniper Networks SRX Series Gateway IDPS must detect, at a minimum, mobile code that is unsigned or exhibiting unusual behavior, has not undergone a risk assessment, or is prohibited for use based on a risk assessment.</t>
        </r>
      </text>
    </comment>
    <comment ref="R69" authorId="0" shapeId="0" xr:uid="{00000000-0006-0000-0800-00004F000000}">
      <text>
        <r>
          <rPr>
            <sz val="11"/>
            <rFont val="Calibri"/>
          </rPr>
          <t>The Juniper Networks SRX Series Gateway IDPS must block any prohibited mobile code at the enclave boundary when it is detected.</t>
        </r>
      </text>
    </comment>
    <comment ref="S69" authorId="0" shapeId="0" xr:uid="{00000000-0006-0000-0800-000050000000}">
      <text>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text>
    </comment>
    <comment ref="T69" authorId="0" shapeId="0" xr:uid="{00000000-0006-0000-0800-00002B000000}">
      <text>
        <r>
          <rPr>
            <sz val="11"/>
            <rFont val="Calibri"/>
          </rPr>
          <t>To protect against unauthorized data mining, the Juniper Networks SRX Series Gateway IDPS must prevent code injection attacks launched against data storage objects, including, at a minimum, databases, database records, queries, and fields.</t>
        </r>
      </text>
    </comment>
    <comment ref="U69" authorId="0" shapeId="0" xr:uid="{00000000-0006-0000-0800-00002C000000}">
      <text>
        <r>
          <rPr>
            <sz val="11"/>
            <rFont val="Calibri"/>
          </rPr>
          <t>To protect against unauthorized data mining, the Juniper Networks SRX Series Gateway IDPS must prevent code injection attacks launched against application objects, including, at a minimum, application URLs and application code.</t>
        </r>
      </text>
    </comment>
    <comment ref="V69" authorId="0" shapeId="0" xr:uid="{00000000-0006-0000-0800-00002D000000}">
      <text>
        <r>
          <rPr>
            <sz val="11"/>
            <rFont val="Calibri"/>
          </rPr>
          <t>To protect against unauthorized data mining, the Juniper Networks SRX Series Gateway IDPS must prevent SQL injection attacks launched against data storage objects, including, at a minimum, databases, database records, and database fields.</t>
        </r>
      </text>
    </comment>
    <comment ref="W69" authorId="0" shapeId="0" xr:uid="{00000000-0006-0000-0800-00002E000000}">
      <text>
        <r>
          <rPr>
            <sz val="11"/>
            <rFont val="Calibri"/>
          </rPr>
          <t>To protect against unauthorized data mining, the Juniper Networks SRX Series Gateway IDPS must detect code injection attacks launched against data storage objects, including, at a minimum, databases, database records, queries, and fields.</t>
        </r>
      </text>
    </comment>
    <comment ref="X69" authorId="0" shapeId="0" xr:uid="{00000000-0006-0000-0800-00002F000000}">
      <text>
        <r>
          <rPr>
            <sz val="11"/>
            <rFont val="Calibri"/>
          </rPr>
          <t>To protect against unauthorized data mining, the Juniper Networks SRX Series Gateway IDPS must detect code injection attacks launched against application objects, including, at a minimum, application URLs and application code.</t>
        </r>
      </text>
    </comment>
    <comment ref="Y69" authorId="0" shapeId="0" xr:uid="{00000000-0006-0000-0800-000030000000}">
      <text>
        <r>
          <rPr>
            <sz val="11"/>
            <rFont val="Calibri"/>
          </rPr>
          <t>To protect against unauthorized data mining, the Juniper Networks SRX Series Gateway IDPS must detect SQL injection attacks launched against data storage objects, including, at a minimum, databases, database records, and database fields.</t>
        </r>
      </text>
    </comment>
    <comment ref="Z69" authorId="0" shapeId="0" xr:uid="{00000000-0006-0000-0800-000031000000}">
      <text>
        <r>
          <rPr>
            <sz val="11"/>
            <rFont val="Calibri"/>
          </rPr>
          <t>The Juniper Networks SRX Series Gateway IDPS must automatically install updates to signature definitions.</t>
        </r>
      </text>
    </comment>
    <comment ref="AA69" authorId="0" shapeId="0" xr:uid="{00000000-0006-0000-0800-000032000000}">
      <text>
        <r>
          <rPr>
            <sz val="11"/>
            <rFont val="Calibri"/>
          </rPr>
          <t>The Juniper Networks SRX Series Gateway IDPS must perform real-time monitoring of files from external sources at network entry/exit points.</t>
        </r>
      </text>
    </comment>
    <comment ref="AB69" authorId="0" shapeId="0" xr:uid="{00000000-0006-0000-0800-000033000000}">
      <text>
        <r>
          <rPr>
            <sz val="11"/>
            <rFont val="Calibri"/>
          </rPr>
          <t>The Juniper Networks SRX Series Gateway IDPS must drop packets or disconnect the connection when malicious code is detected.</t>
        </r>
      </text>
    </comment>
    <comment ref="AC69" authorId="0" shapeId="0" xr:uid="{00000000-0006-0000-0800-000034000000}">
      <text>
        <r>
          <rPr>
            <sz val="11"/>
            <rFont val="Calibri"/>
          </rPr>
          <t>The Juniper Networks SRX Series Gateway IDPS must have only active Juniper Networks licenses.</t>
        </r>
      </text>
    </comment>
    <comment ref="AD69" authorId="0" shapeId="0" xr:uid="{00000000-0006-0000-0800-000035000000}">
      <text>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text>
    </comment>
    <comment ref="AE69" authorId="0" shapeId="0" xr:uid="{00000000-0006-0000-0800-000036000000}">
      <text>
        <r>
          <rPr>
            <sz val="11"/>
            <rFont val="Calibri"/>
          </rPr>
          <t>The Juniper SRX Services Gateway VPN device also fulfills the role of IDPS in the architecture, the device must inspect the VPN traffic in compliance with DoD IDPS requirements.</t>
        </r>
      </text>
    </comment>
    <comment ref="AF69" authorId="0" shapeId="0" xr:uid="{00000000-0006-0000-0800-000037000000}">
      <text>
        <r>
          <rPr>
            <sz val="11"/>
            <rFont val="Calibri"/>
          </rPr>
          <t>If IDPS inspection is performed separately from the Juniper SRX Services Gateway VPN device, the VPN must route sessions to an IDPS for inspection.</t>
        </r>
      </text>
    </comment>
    <comment ref="AG69" authorId="0" shapeId="0" xr:uid="{00000000-0006-0000-0800-000038000000}">
      <text>
        <r>
          <rPr>
            <sz val="11"/>
            <rFont val="Calibri"/>
          </rPr>
          <t>The Juniper SRX Services Gateway must generate log records when successful attempts to configure the device and use commands occur.</t>
        </r>
      </text>
    </comment>
    <comment ref="AH69" authorId="0" shapeId="0" xr:uid="{00000000-0006-0000-0800-000039000000}">
      <text>
        <r>
          <rPr>
            <sz val="11"/>
            <rFont val="Calibri"/>
          </rPr>
          <t>The Juniper SRX Services Gateway must generate log records when changes are made to administrator privileges.</t>
        </r>
      </text>
    </comment>
    <comment ref="AI69" authorId="0" shapeId="0" xr:uid="{00000000-0006-0000-0800-00003A000000}">
      <text>
        <r>
          <rPr>
            <sz val="11"/>
            <rFont val="Calibri"/>
          </rPr>
          <t>The Juniper SRX Services Gateway must generate log records when administrator privileges are deleted.</t>
        </r>
      </text>
    </comment>
    <comment ref="AJ69" authorId="0" shapeId="0" xr:uid="{00000000-0006-0000-0800-00003B000000}">
      <text>
        <r>
          <rPr>
            <sz val="11"/>
            <rFont val="Calibri"/>
          </rPr>
          <t>The Juniper SRX Services Gateway must generate log records when logon events occur.</t>
        </r>
      </text>
    </comment>
    <comment ref="AK69" authorId="0" shapeId="0" xr:uid="{00000000-0006-0000-0800-00003C000000}">
      <text>
        <r>
          <rPr>
            <sz val="11"/>
            <rFont val="Calibri"/>
          </rPr>
          <t>The Juniper SRX Services Gateway must generate log records when privileged commands are executed.</t>
        </r>
      </text>
    </comment>
    <comment ref="AL69" authorId="0" shapeId="0" xr:uid="{00000000-0006-0000-0800-00003D000000}">
      <text>
        <r>
          <rPr>
            <sz val="11"/>
            <rFont val="Calibri"/>
          </rPr>
          <t>The Juniper SRX Services Gateway must generate log records when concurrent logons from different workstations occur.</t>
        </r>
      </text>
    </comment>
    <comment ref="AM69" authorId="0" shapeId="0" xr:uid="{00000000-0006-0000-0800-00003E000000}">
      <text>
        <r>
          <rPr>
            <sz val="11"/>
            <rFont val="Calibri"/>
          </rPr>
          <t>The Juniper SRX Services Gateway must generate log records containing the full-text recording of privileged commands.</t>
        </r>
      </text>
    </comment>
    <comment ref="AN69" authorId="0" shapeId="0" xr:uid="{00000000-0006-0000-0800-00003F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AO69" authorId="0" shapeId="0" xr:uid="{00000000-0006-0000-0800-000040000000}">
      <text>
        <r>
          <rPr>
            <sz val="11"/>
            <rFont val="Calibri"/>
          </rPr>
          <t>The Juniper SRX Services Gateway must record time stamps for log records using Coordinated Universal Time (UTC).</t>
        </r>
      </text>
    </comment>
    <comment ref="AP69" authorId="0" shapeId="0" xr:uid="{00000000-0006-0000-0800-000041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AQ69" authorId="0" shapeId="0" xr:uid="{00000000-0006-0000-0800-000042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AR69" authorId="0" shapeId="0" xr:uid="{00000000-0006-0000-0800-000043000000}">
      <text>
        <r>
          <rPr>
            <sz val="11"/>
            <rFont val="Calibri"/>
          </rPr>
          <t>In the event that communications with the events server is lost, the Juniper SRX Services Gateway must continue to queue log records locally.</t>
        </r>
      </text>
    </comment>
    <comment ref="AS69" authorId="0" shapeId="0" xr:uid="{00000000-0006-0000-0800-000044000000}">
      <text>
        <r>
          <rPr>
            <sz val="11"/>
            <rFont val="Calibri"/>
          </rPr>
          <t>The Juniper SRX Services Gateway must be configured to use a centralized authentication server to authenticate privileged users for remote and nonlocal access for device management.</t>
        </r>
      </text>
    </comment>
    <comment ref="G74" authorId="0" shapeId="0" xr:uid="{00000000-0006-0000-0800-000051000000}">
      <text>
        <r>
          <rPr>
            <sz val="11"/>
            <rFont val="Calibri"/>
          </rPr>
          <t>The Juniper SRX Services Gateway Firewall providing content filtering must protect against known and unknown types of denial-of-service (DoS) attacks by implementing statistics-based screens.</t>
        </r>
      </text>
    </comment>
    <comment ref="H74" authorId="0" shapeId="0" xr:uid="{00000000-0006-0000-0800-000052000000}">
      <text>
        <r>
          <rPr>
            <sz val="11"/>
            <rFont val="Calibri"/>
          </rPr>
          <t>The Juniper SRX Services Gateway Firewall must implement load balancing on the perimeter firewall, at a minimum, to limit the effects of known and unknown types of denial-of-service (DoS) attacks on the network.</t>
        </r>
      </text>
    </comment>
    <comment ref="I74" authorId="0" shapeId="0" xr:uid="{00000000-0006-0000-0800-000053000000}">
      <text>
        <r>
          <rPr>
            <sz val="11"/>
            <rFont val="Calibri"/>
          </rPr>
          <t>The Juniper SRX Services Gateway Firewall must protect against known types of denial-of-service (DoS) attacks by implementing signature-based screens.</t>
        </r>
      </text>
    </comment>
    <comment ref="J74" authorId="0" shapeId="0" xr:uid="{00000000-0006-0000-0800-000054000000}">
      <text>
        <r>
          <rPr>
            <sz val="11"/>
            <rFont val="Calibri"/>
          </rPr>
          <t>The Juniper SRX Services Gateway Firewall must block outbound traffic containing known and unknown denial-of-service (DoS) attacks to protect against the use of internal information systems to launch any DoS attacks against other networks or endpoints.</t>
        </r>
      </text>
    </comment>
    <comment ref="K74" authorId="0" shapeId="0" xr:uid="{00000000-0006-0000-0800-000055000000}">
      <text>
        <r>
          <rPr>
            <sz val="11"/>
            <rFont val="Calibri"/>
          </rPr>
          <t>The Juniper SRX Services Gateway Firewall must only allow inbound communications from organization-defined authorized sources routed to organization-defined authorized destinations.</t>
        </r>
      </text>
    </comment>
    <comment ref="L74" authorId="0" shapeId="0" xr:uid="{00000000-0006-0000-0800-000056000000}">
      <text>
        <r>
          <rPr>
            <sz val="11"/>
            <rFont val="Calibri"/>
          </rPr>
          <t>The Juniper SRX Services Gateway Firewall must deny network communications traffic by default and allow network communications traffic by exception (i.e., deny all, permit by exception).</t>
        </r>
      </text>
    </comment>
    <comment ref="M74" authorId="0" shapeId="0" xr:uid="{00000000-0006-0000-0800-000057000000}">
      <text>
        <r>
          <rPr>
            <sz val="11"/>
            <rFont val="Calibri"/>
          </rPr>
          <t>The Juniper Networks SRX Series Gateway IDPS must block outbound traffic containing known and unknown DoS attacks by ensuring that rules are applied to outbound communications traffic.</t>
        </r>
      </text>
    </comment>
    <comment ref="N74" authorId="0" shapeId="0" xr:uid="{00000000-0006-0000-0800-000058000000}">
      <text>
        <r>
          <rPr>
            <sz val="11"/>
            <rFont val="Calibri"/>
          </rPr>
          <t>The Juniper Networks SRX Series Gateway IDPS must block outbound traffic containing known and unknown DoS attacks by ensuring that signature-based objects are applied to outbound communications traffic.</t>
        </r>
      </text>
    </comment>
    <comment ref="O74" authorId="0" shapeId="0" xr:uid="{00000000-0006-0000-0800-000059000000}">
      <text>
        <r>
          <rPr>
            <sz val="11"/>
            <rFont val="Calibri"/>
          </rPr>
          <t>The Juniper Networks SRX Series Gateway IDPS must block outbound traffic containing known and unknown DoS attacks by ensuring that anomaly-based attack objects are applied to outbound communications traffic.</t>
        </r>
      </text>
    </comment>
    <comment ref="P74" authorId="0" shapeId="0" xr:uid="{00000000-0006-0000-0800-00005A000000}">
      <text>
        <r>
          <rPr>
            <sz val="11"/>
            <rFont val="Calibri"/>
          </rPr>
          <t>The Juniper Networks SRX Series Gateway IDPS must protect against or limit the effects of known and unknown types of Denial of Service (DoS) attacks by employing rate-based attack prevention behavior analysis.</t>
        </r>
      </text>
    </comment>
    <comment ref="Q74" authorId="0" shapeId="0" xr:uid="{00000000-0006-0000-0800-00005B000000}">
      <text>
        <r>
          <rPr>
            <sz val="11"/>
            <rFont val="Calibri"/>
          </rPr>
          <t>The Juniper Networks SRX Series Gateway IDPS must protect against or limit the effects of known and unknown types of Denial of Service (DoS) attacks by employing anomaly-based detection.</t>
        </r>
      </text>
    </comment>
    <comment ref="R74" authorId="0" shapeId="0" xr:uid="{00000000-0006-0000-0800-00005C000000}">
      <text>
        <r>
          <rPr>
            <sz val="11"/>
            <rFont val="Calibri"/>
          </rPr>
          <t>The Juniper Networks SRX Series Gateway IDPS must protect against or limit the effects of known types of Denial of Service (DoS) attacks by employing signatures.</t>
        </r>
      </text>
    </comment>
    <comment ref="S74" authorId="0" shapeId="0" xr:uid="{00000000-0006-0000-0800-00005D000000}">
      <text>
        <r>
          <rPr>
            <sz val="11"/>
            <rFont val="Calibri"/>
          </rPr>
          <t>The Juniper SRX Services Gateway VPN must only allow incoming VPN communications from organization-defined authorized sources routed to organization-defined authorized destinations.</t>
        </r>
      </text>
    </comment>
    <comment ref="T74" authorId="0" shapeId="0" xr:uid="{00000000-0006-0000-0800-00005E000000}">
      <text>
        <r>
          <rPr>
            <sz val="11"/>
            <rFont val="Calibri"/>
          </rPr>
          <t>The Juniper SRX Services Gateway must configure the control plane to protect against or limit the effects of common types of Denial of Service (DoS) attacks on the device itself by configuring applicable system options and internet-options.</t>
        </r>
      </text>
    </comment>
    <comment ref="G77" authorId="0" shapeId="0" xr:uid="{00000000-0006-0000-0800-00005F000000}">
      <text>
        <r>
          <rPr>
            <sz val="11"/>
            <rFont val="Calibri"/>
          </rPr>
          <t>The Juniper SRX Services Gateway Firewall must only allow inbound communications from organization-defined authorized sources routed to organization-defined authorized destinations.</t>
        </r>
      </text>
    </comment>
    <comment ref="H77" authorId="0" shapeId="0" xr:uid="{00000000-0006-0000-0800-000060000000}">
      <text>
        <r>
          <rPr>
            <sz val="11"/>
            <rFont val="Calibri"/>
          </rPr>
          <t>The Juniper SRX Services Gateway Firewall must deny network communications traffic by default and allow network communications traffic by exception (i.e., deny all, permit by exception).</t>
        </r>
      </text>
    </comment>
    <comment ref="I77" authorId="0" shapeId="0" xr:uid="{00000000-0006-0000-0800-000061000000}">
      <text>
        <r>
          <rPr>
            <sz val="11"/>
            <rFont val="Calibri"/>
          </rPr>
          <t>The Juniper SRX Services Gateway VPN must only allow incoming VPN communications from organization-defined authorized sources routed to organization-defined authorized destinations.</t>
        </r>
      </text>
    </comment>
    <comment ref="G81" authorId="0" shapeId="0" xr:uid="{00000000-0006-0000-0800-000062000000}">
      <text>
        <r>
          <rPr>
            <sz val="11"/>
            <rFont val="Calibri"/>
          </rPr>
          <t>The Juniper SRX Services Gateway VPN must uniquely identify and authenticate organizational users (or processes acting on behalf of organizational users).</t>
        </r>
      </text>
    </comment>
    <comment ref="H81" authorId="0" shapeId="0" xr:uid="{00000000-0006-0000-0800-000063000000}">
      <text>
        <r>
          <rPr>
            <sz val="11"/>
            <rFont val="Calibri"/>
          </rPr>
          <t>The Juniper SRX Services Gateway VPN must uniquely identify and authenticate non-organizational users (or processes acting on behalf of non-organizational users).</t>
        </r>
      </text>
    </comment>
    <comment ref="G82" authorId="0" shapeId="0" xr:uid="{00000000-0006-0000-0800-000064000000}">
      <text>
        <r>
          <rPr>
            <sz val="11"/>
            <rFont val="Calibri"/>
          </rPr>
          <t>The Juniper SRX Services Gateway VPN must renegotiate the IPsec security association after 8 hours or less.</t>
        </r>
      </text>
    </comment>
    <comment ref="H82" authorId="0" shapeId="0" xr:uid="{00000000-0006-0000-0800-000065000000}">
      <text>
        <r>
          <rPr>
            <sz val="11"/>
            <rFont val="Calibri"/>
          </rPr>
          <t>The Juniper SRX Services Gateway VPN must renegotiate the IKE security association after 24 hours or less.</t>
        </r>
      </text>
    </comment>
    <comment ref="I82" authorId="0" shapeId="0" xr:uid="{00000000-0006-0000-0800-000066000000}">
      <text>
        <r>
          <rPr>
            <sz val="11"/>
            <rFont val="Calibri"/>
          </rPr>
          <t>The Juniper SRX Services Gateway VPN must use AES256 for the IPsec proposal to protect the confidentiality of remote access sessions.</t>
        </r>
      </text>
    </comment>
    <comment ref="J82" authorId="0" shapeId="0" xr:uid="{00000000-0006-0000-0800-000067000000}">
      <text>
        <r>
          <rPr>
            <sz val="11"/>
            <rFont val="Calibri"/>
          </rPr>
          <t>The Juniper SRX Services Gateway VPN must use AES256 encryption for the Internet Key Exchange (IKE) proposal to protect the confidentiality of remote access sessions.</t>
        </r>
      </text>
    </comment>
    <comment ref="K82" authorId="0" shapeId="0" xr:uid="{00000000-0006-0000-0800-000068000000}">
      <text>
        <r>
          <rPr>
            <sz val="11"/>
            <rFont val="Calibri"/>
          </rPr>
          <t>The Juniper SRX Services Gateway VPN must be configured to use Diffie-Hellman (DH) group 15 or higher.</t>
        </r>
      </text>
    </comment>
    <comment ref="L82" authorId="0" shapeId="0" xr:uid="{00000000-0006-0000-0800-000069000000}">
      <text>
        <r>
          <rPr>
            <sz val="11"/>
            <rFont val="Calibri"/>
          </rPr>
          <t>The Juniper SRX Services Gateway VPN must be configured to use IPsec with SHA256 or greater to negotiate hashing to protect the integrity of remote access sessions.</t>
        </r>
      </text>
    </comment>
    <comment ref="M82" authorId="0" shapeId="0" xr:uid="{00000000-0006-0000-0800-00006A000000}">
      <text>
        <r>
          <rPr>
            <sz val="11"/>
            <rFont val="Calibri"/>
          </rPr>
          <t>The Juniper SRX Services Gateway VPN must use Internet Key Exchange (IKE) for IPsec VPN Security Associations (SAs).</t>
        </r>
      </text>
    </comment>
    <comment ref="N82" authorId="0" shapeId="0" xr:uid="{00000000-0006-0000-0800-00006B000000}">
      <text>
        <r>
          <rPr>
            <sz val="11"/>
            <rFont val="Calibri"/>
          </rPr>
          <t>The Juniper SRX Services Gateway VPN must specify Perfect Forward Secrecy (PFS).</t>
        </r>
      </text>
    </comment>
    <comment ref="O82" authorId="0" shapeId="0" xr:uid="{00000000-0006-0000-0800-00006C000000}">
      <text>
        <r>
          <rPr>
            <sz val="11"/>
            <rFont val="Calibri"/>
          </rPr>
          <t>The Juniper SRX Services Gateway VPN must use Encapsulating Security Payload (ESP) in tunnel mode.</t>
        </r>
      </text>
    </comment>
    <comment ref="P82" authorId="0" shapeId="0" xr:uid="{00000000-0006-0000-0800-00006D000000}">
      <text>
        <r>
          <rPr>
            <sz val="11"/>
            <rFont val="Calibri"/>
          </rPr>
          <t>The Juniper SRX Services Gateway VPN must use IKEv2 for IPsec VPN security associations.</t>
        </r>
      </text>
    </comment>
    <comment ref="Q82" authorId="0" shapeId="0" xr:uid="{00000000-0006-0000-0800-00006E000000}">
      <text>
        <r>
          <rPr>
            <sz val="11"/>
            <rFont val="Calibri"/>
          </rPr>
          <t>The Juniper SRX Services Gateway VPN Internet Key Exchange (IKE) must be configured to use an approved Commercial Solution for Classified (CSfC) when transporting classified traffic across an unclassified network.</t>
        </r>
      </text>
    </comment>
    <comment ref="R82" authorId="0" shapeId="0" xr:uid="{00000000-0006-0000-0800-00006F000000}">
      <text>
        <r>
          <rPr>
            <sz val="11"/>
            <rFont val="Calibri"/>
          </rPr>
          <t>The Juniper SRX Services Gateway VPN IKE must use NIST FIPS-validated cryptography to implement encryption services for unclassified VPN traffic.</t>
        </r>
      </text>
    </comment>
    <comment ref="S82" authorId="0" shapeId="0" xr:uid="{00000000-0006-0000-0800-000070000000}">
      <text>
        <r>
          <rPr>
            <sz val="11"/>
            <rFont val="Calibri"/>
          </rPr>
          <t>The Juniper SRX Services Gateway VPN must configure Internet Key Exchange (IKE) with SHA1 or greater to protect the authenticity of communications sessions.</t>
        </r>
      </text>
    </comment>
    <comment ref="T82" authorId="0" shapeId="0" xr:uid="{00000000-0006-0000-0800-000071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U82" authorId="0" shapeId="0" xr:uid="{00000000-0006-0000-0800-000072000000}">
      <text>
        <r>
          <rPr>
            <sz val="11"/>
            <rFont val="Calibri"/>
          </rPr>
          <t>The Juniper SRX Services Gateway must use SSHv2 with privacy options to protect the confidentiality of maintenance and diagnostic communications for nonlocal maintenance sessions using SSH.</t>
        </r>
      </text>
    </comment>
    <comment ref="G83" authorId="0" shapeId="0" xr:uid="{00000000-0006-0000-0800-000073000000}">
      <text>
        <r>
          <rPr>
            <sz val="11"/>
            <rFont val="Calibri"/>
          </rPr>
          <t>The Juniper SRX Services Gateway must use and securely configure SNMPv3 if SNMP is enabled.</t>
        </r>
      </text>
    </comment>
    <comment ref="H83" authorId="0" shapeId="0" xr:uid="{00000000-0006-0000-0800-000074000000}">
      <text>
        <r>
          <rPr>
            <sz val="11"/>
            <rFont val="Calibri"/>
          </rPr>
          <t>For nonlocal maintenance sessions using SNMP, the Juniper SRX Services Gateway must use and securely configure SNMPv3 with SHA256 or higher to protect the integrity of maintenance and diagnostic communications.</t>
        </r>
      </text>
    </comment>
    <comment ref="I83" authorId="0" shapeId="0" xr:uid="{00000000-0006-0000-0800-000075000000}">
      <text>
        <r>
          <rPr>
            <sz val="11"/>
            <rFont val="Calibri"/>
          </rPr>
          <t>The Juniper SRX Services Gateway must securely configure SNMPv3 with privacy options to protect the confidentiality of nonlocal maintenance and diagnostic communications using SNMP.</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Juniper SRX Services Gateway Firewall must only allow inbound communications from organization-defined authorized sources routed to organization-defined authorized destinations.</t>
        </r>
      </text>
    </comment>
    <comment ref="M16" authorId="0" shapeId="0" xr:uid="{00000000-0006-0000-0A00-000003000000}">
      <text>
        <r>
          <rPr>
            <sz val="11"/>
            <rFont val="Calibri"/>
          </rPr>
          <t>The Juniper SRX Services Gateway Firewall must deny network communications traffic by default and allow network communications traffic by exception (i.e., deny all, permit by exception).</t>
        </r>
      </text>
    </comment>
    <comment ref="N16" authorId="0" shapeId="0" xr:uid="{00000000-0006-0000-0A00-000002000000}">
      <text>
        <r>
          <rPr>
            <sz val="11"/>
            <rFont val="Calibri"/>
          </rPr>
          <t>The Juniper SRX Services Gateway VPN must only allow incoming VPN communications from organization-defined authorized sources routed to organization-defined authorized destinations.</t>
        </r>
      </text>
    </comment>
    <comment ref="L17" authorId="0" shapeId="0" xr:uid="{00000000-0006-0000-0A00-000004000000}">
      <text>
        <r>
          <rPr>
            <sz val="11"/>
            <rFont val="Calibri"/>
          </rPr>
          <t>The Juniper SRX Services Gateway Firewall must only allow inbound communications from organization-defined authorized sources routed to organization-defined authorized destinations.</t>
        </r>
      </text>
    </comment>
    <comment ref="M17" authorId="0" shapeId="0" xr:uid="{00000000-0006-0000-0A00-000005000000}">
      <text>
        <r>
          <rPr>
            <sz val="11"/>
            <rFont val="Calibri"/>
          </rPr>
          <t>The Juniper SRX Services Gateway Firewall must deny network communications traffic by default and allow network communications traffic by exception (i.e., deny all, permit by exception).</t>
        </r>
      </text>
    </comment>
    <comment ref="N17" authorId="0" shapeId="0" xr:uid="{00000000-0006-0000-0A00-000006000000}">
      <text>
        <r>
          <rPr>
            <sz val="11"/>
            <rFont val="Calibri"/>
          </rPr>
          <t>The Juniper SRX Services Gateway VPN must only allow incoming VPN communications from organization-defined authorized sources routed to organization-defined authorized destinations.</t>
        </r>
      </text>
    </comment>
    <comment ref="L35" authorId="0" shapeId="0" xr:uid="{00000000-0006-0000-0A00-000007000000}">
      <text>
        <r>
          <rPr>
            <sz val="11"/>
            <rFont val="Calibri"/>
          </rPr>
          <t>The Juniper SRX Services Gateway Firewall must disable or remove unnecessary network services and functions that are not used as part of its role in the architecture.</t>
        </r>
      </text>
    </comment>
    <comment ref="M35" authorId="0" shapeId="0" xr:uid="{00000000-0006-0000-0A00-00000F000000}">
      <text>
        <r>
          <rPr>
            <sz val="11"/>
            <rFont val="Calibri"/>
          </rPr>
          <t>The Juniper SRX Services Gateway Firewall must not be configured as an NTP server since providing this network service is unrelated to the role as a firewall.</t>
        </r>
      </text>
    </comment>
    <comment ref="N35" authorId="0" shapeId="0" xr:uid="{00000000-0006-0000-0A00-000010000000}">
      <text>
        <r>
          <rPr>
            <sz val="11"/>
            <rFont val="Calibri"/>
          </rPr>
          <t>The Juniper SRX Services Gateway Firewall must not be configured as a DNS proxy since providing this network service is unrelated to the role as a Firewall.</t>
        </r>
      </text>
    </comment>
    <comment ref="O35" authorId="0" shapeId="0" xr:uid="{00000000-0006-0000-0A00-000008000000}">
      <text>
        <r>
          <rPr>
            <sz val="11"/>
            <rFont val="Calibri"/>
          </rPr>
          <t>The Juniper SRX Services Gateway Firewall must not be configured as a DHCP server since providing this network service is unrelated to the role as a Firewall.</t>
        </r>
      </text>
    </comment>
    <comment ref="P35" authorId="0" shapeId="0" xr:uid="{00000000-0006-0000-0A00-000009000000}">
      <text>
        <r>
          <rPr>
            <sz val="11"/>
            <rFont val="Calibri"/>
          </rPr>
          <t>The Juniper SRX Services Gateway must disable or remove unnecessary network services and functions that are not used as part of its role in the architecture.</t>
        </r>
      </text>
    </comment>
    <comment ref="Q35" authorId="0" shapeId="0" xr:uid="{00000000-0006-0000-0A00-00000A000000}">
      <text>
        <r>
          <rPr>
            <sz val="11"/>
            <rFont val="Calibri"/>
          </rPr>
          <t>The Juniper SRX Services Gateway must be configured to prohibit the use of unnecessary and/or nonsecure functions, ports, protocols, and/or services, as defined in the PPSM CAL and vulnerability assessments.</t>
        </r>
      </text>
    </comment>
    <comment ref="R35" authorId="0" shapeId="0" xr:uid="{00000000-0006-0000-0A00-00000B000000}">
      <text>
        <r>
          <rPr>
            <sz val="11"/>
            <rFont val="Calibri"/>
          </rPr>
          <t>For nonlocal maintenance sessions, the Juniper SRX Services Gateway must remove or explicitly deny the use of nonsecure protocols.</t>
        </r>
      </text>
    </comment>
    <comment ref="S35" authorId="0" shapeId="0" xr:uid="{00000000-0006-0000-0A00-00000C000000}">
      <text>
        <r>
          <rPr>
            <sz val="11"/>
            <rFont val="Calibri"/>
          </rPr>
          <t>The Juniper SRX Services Gateway must ensure access to start a UNIX-level shell is restricted to only the root account.</t>
        </r>
      </text>
    </comment>
    <comment ref="T35" authorId="0" shapeId="0" xr:uid="{00000000-0006-0000-0A00-00000D000000}">
      <text>
        <r>
          <rPr>
            <sz val="11"/>
            <rFont val="Calibri"/>
          </rPr>
          <t>For nonlocal maintenance sessions, the Juniper SRX Services Gateway must ensure only zones where management functionality is desired have host-inbound-traffic system-services configured.</t>
        </r>
      </text>
    </comment>
    <comment ref="U35" authorId="0" shapeId="0" xr:uid="{00000000-0006-0000-0A00-00000E000000}">
      <text>
        <r>
          <rPr>
            <sz val="11"/>
            <rFont val="Calibri"/>
          </rPr>
          <t>For nonlocal maintenance sessions, the Juniper SRX Services Gateway must explicitly deny the use of J-Web.</t>
        </r>
      </text>
    </comment>
    <comment ref="L38" authorId="0" shapeId="0" xr:uid="{00000000-0006-0000-0A00-000011000000}">
      <text>
        <r>
          <rPr>
            <sz val="11"/>
            <rFont val="Calibri"/>
          </rPr>
          <t>The Juniper SRX Services Gateway VPN IKE must use NIST FIPS-validated cryptography to implement encryption services for unclassified VPN traffic.</t>
        </r>
      </text>
    </comment>
    <comment ref="M38" authorId="0" shapeId="0" xr:uid="{00000000-0006-0000-0A00-000012000000}">
      <text>
        <r>
          <rPr>
            <sz val="11"/>
            <rFont val="Calibri"/>
          </rPr>
          <t>The Juniper SRX Services Gateway must use and securely configure SNMPv3 if SNMP is enabled.</t>
        </r>
      </text>
    </comment>
    <comment ref="N38" authorId="0" shapeId="0" xr:uid="{00000000-0006-0000-0A00-000013000000}">
      <text>
        <r>
          <rPr>
            <sz val="11"/>
            <rFont val="Calibri"/>
          </rPr>
          <t>For nonlocal maintenance sessions using SNMP, the Juniper SRX Services Gateway must use and securely configure SNMPv3 with SHA256 or higher to protect the integrity of maintenance and diagnostic communications.</t>
        </r>
      </text>
    </comment>
    <comment ref="O38" authorId="0" shapeId="0" xr:uid="{00000000-0006-0000-0A00-000014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P38" authorId="0" shapeId="0" xr:uid="{00000000-0006-0000-0A00-000015000000}">
      <text>
        <r>
          <rPr>
            <sz val="11"/>
            <rFont val="Calibri"/>
          </rPr>
          <t>The Juniper SRX Services Gateway must securely configure SNMPv3 with privacy options to protect the confidentiality of nonlocal maintenance and diagnostic communications using SNMP.</t>
        </r>
      </text>
    </comment>
    <comment ref="L84" authorId="0" shapeId="0" xr:uid="{00000000-0006-0000-0A00-000016000000}">
      <text>
        <r>
          <rPr>
            <sz val="11"/>
            <rFont val="Calibri"/>
          </rPr>
          <t>The Juniper SRX Services Gateway VPN must renegotiate the IPsec security association after 8 hours or less.</t>
        </r>
      </text>
    </comment>
    <comment ref="M84" authorId="0" shapeId="0" xr:uid="{00000000-0006-0000-0A00-00001D000000}">
      <text>
        <r>
          <rPr>
            <sz val="11"/>
            <rFont val="Calibri"/>
          </rPr>
          <t>The Juniper SRX Services Gateway VPN must renegotiate the IKE security association after 24 hours or less.</t>
        </r>
      </text>
    </comment>
    <comment ref="N84" authorId="0" shapeId="0" xr:uid="{00000000-0006-0000-0A00-00001E000000}">
      <text>
        <r>
          <rPr>
            <sz val="11"/>
            <rFont val="Calibri"/>
          </rPr>
          <t>The Juniper SRX Services Gateway VPN must use AES256 for the IPsec proposal to protect the confidentiality of remote access sessions.</t>
        </r>
      </text>
    </comment>
    <comment ref="O84" authorId="0" shapeId="0" xr:uid="{00000000-0006-0000-0A00-00001F000000}">
      <text>
        <r>
          <rPr>
            <sz val="11"/>
            <rFont val="Calibri"/>
          </rPr>
          <t>The Juniper SRX Services Gateway VPN must use AES256 encryption for the Internet Key Exchange (IKE) proposal to protect the confidentiality of remote access sessions.</t>
        </r>
      </text>
    </comment>
    <comment ref="P84" authorId="0" shapeId="0" xr:uid="{00000000-0006-0000-0A00-000020000000}">
      <text>
        <r>
          <rPr>
            <sz val="11"/>
            <rFont val="Calibri"/>
          </rPr>
          <t>The Juniper SRX Services Gateway VPN must be configured to use Diffie-Hellman (DH) group 15 or higher.</t>
        </r>
      </text>
    </comment>
    <comment ref="Q84" authorId="0" shapeId="0" xr:uid="{00000000-0006-0000-0A00-000021000000}">
      <text>
        <r>
          <rPr>
            <sz val="11"/>
            <rFont val="Calibri"/>
          </rPr>
          <t>The Juniper SRX Services Gateway VPN must be configured to use IPsec with SHA256 or greater to negotiate hashing to protect the integrity of remote access sessions.</t>
        </r>
      </text>
    </comment>
    <comment ref="R84" authorId="0" shapeId="0" xr:uid="{00000000-0006-0000-0A00-000022000000}">
      <text>
        <r>
          <rPr>
            <sz val="11"/>
            <rFont val="Calibri"/>
          </rPr>
          <t>The Juniper SRX Services Gateway VPN must use Internet Key Exchange (IKE) for IPsec VPN Security Associations (SAs).</t>
        </r>
      </text>
    </comment>
    <comment ref="S84" authorId="0" shapeId="0" xr:uid="{00000000-0006-0000-0A00-000023000000}">
      <text>
        <r>
          <rPr>
            <sz val="11"/>
            <rFont val="Calibri"/>
          </rPr>
          <t>The Juniper SRX Services Gateway VPN must specify Perfect Forward Secrecy (PFS).</t>
        </r>
      </text>
    </comment>
    <comment ref="T84" authorId="0" shapeId="0" xr:uid="{00000000-0006-0000-0A00-000024000000}">
      <text>
        <r>
          <rPr>
            <sz val="11"/>
            <rFont val="Calibri"/>
          </rPr>
          <t>The Juniper SRX Services Gateway VPN must use Encapsulating Security Payload (ESP) in tunnel mode.</t>
        </r>
      </text>
    </comment>
    <comment ref="U84" authorId="0" shapeId="0" xr:uid="{00000000-0006-0000-0A00-000025000000}">
      <text>
        <r>
          <rPr>
            <sz val="11"/>
            <rFont val="Calibri"/>
          </rPr>
          <t>The Juniper SRX Services Gateway VPN must use IKEv2 for IPsec VPN security associations.</t>
        </r>
      </text>
    </comment>
    <comment ref="V84" authorId="0" shapeId="0" xr:uid="{00000000-0006-0000-0A00-000017000000}">
      <text>
        <r>
          <rPr>
            <sz val="11"/>
            <rFont val="Calibri"/>
          </rPr>
          <t>The Juniper SRX Services Gateway VPN Internet Key Exchange (IKE) must be configured to use an approved Commercial Solution for Classified (CSfC) when transporting classified traffic across an unclassified network.</t>
        </r>
      </text>
    </comment>
    <comment ref="W84" authorId="0" shapeId="0" xr:uid="{00000000-0006-0000-0A00-000018000000}">
      <text>
        <r>
          <rPr>
            <sz val="11"/>
            <rFont val="Calibri"/>
          </rPr>
          <t>The Juniper SRX Services Gateway VPN IKE must use NIST FIPS-validated cryptography to implement encryption services for unclassified VPN traffic.</t>
        </r>
      </text>
    </comment>
    <comment ref="X84" authorId="0" shapeId="0" xr:uid="{00000000-0006-0000-0A00-000019000000}">
      <text>
        <r>
          <rPr>
            <sz val="11"/>
            <rFont val="Calibri"/>
          </rPr>
          <t>The Juniper SRX Services Gateway VPN must configure Internet Key Exchange (IKE) with SHA1 or greater to protect the authenticity of communications sessions.</t>
        </r>
      </text>
    </comment>
    <comment ref="Y84" authorId="0" shapeId="0" xr:uid="{00000000-0006-0000-0A00-00001A000000}">
      <text>
        <r>
          <rPr>
            <sz val="11"/>
            <rFont val="Calibri"/>
          </rPr>
          <t>The Juniper SRX Services Gateway VPN must use anti-replay mechanisms for security associations.</t>
        </r>
      </text>
    </comment>
    <comment ref="Z84" authorId="0" shapeId="0" xr:uid="{00000000-0006-0000-0A00-00001B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AA84" authorId="0" shapeId="0" xr:uid="{00000000-0006-0000-0A00-00001C000000}">
      <text>
        <r>
          <rPr>
            <sz val="11"/>
            <rFont val="Calibri"/>
          </rPr>
          <t>The Juniper SRX Services Gateway must use SSHv2 with privacy options to protect the confidentiality of maintenance and diagnostic communications for nonlocal maintenance sessions using SSH.</t>
        </r>
      </text>
    </comment>
    <comment ref="L115" authorId="0" shapeId="0" xr:uid="{00000000-0006-0000-0A00-000026000000}">
      <text>
        <r>
          <rPr>
            <sz val="11"/>
            <rFont val="Calibri"/>
          </rPr>
          <t>The Juniper SRX Services Gateway Firewall must disable or remove unnecessary network services and functions that are not used as part of its role in the architecture.</t>
        </r>
      </text>
    </comment>
    <comment ref="M115" authorId="0" shapeId="0" xr:uid="{00000000-0006-0000-0A00-000027000000}">
      <text>
        <r>
          <rPr>
            <sz val="11"/>
            <rFont val="Calibri"/>
          </rPr>
          <t>The Juniper SRX Services Gateway must disable or remove unnecessary network services and functions that are not used as part of its role in the architecture.</t>
        </r>
      </text>
    </comment>
    <comment ref="N115" authorId="0" shapeId="0" xr:uid="{00000000-0006-0000-0A00-000028000000}">
      <text>
        <r>
          <rPr>
            <sz val="11"/>
            <rFont val="Calibri"/>
          </rPr>
          <t>The Juniper SRX Services Gateway must be configured to prohibit the use of unnecessary and/or nonsecure functions, ports, protocols, and/or services, as defined in the PPSM CAL and vulnerability assessments.</t>
        </r>
      </text>
    </comment>
    <comment ref="L119" authorId="0" shapeId="0" xr:uid="{00000000-0006-0000-0A00-000029000000}">
      <text>
        <r>
          <rPr>
            <sz val="11"/>
            <rFont val="Calibri"/>
          </rPr>
          <t>The Juniper SRX Services Gateway must be configured to use Junos 12.1 X46 or later to meet the minimum required version for DoD.</t>
        </r>
      </text>
    </comment>
    <comment ref="L136" authorId="0" shapeId="0" xr:uid="{00000000-0006-0000-0A00-00002A000000}">
      <text>
        <r>
          <rPr>
            <sz val="11"/>
            <rFont val="Calibri"/>
          </rPr>
          <t>For User Role Firewalls, the Juniper SRX Services Gateway Firewall must employ user attribute-based security policies to enforce approved authorizations for logical access to information and system resources.</t>
        </r>
      </text>
    </comment>
    <comment ref="M136" authorId="0" shapeId="0" xr:uid="{00000000-0006-0000-0A00-00002B000000}">
      <text>
        <r>
          <rPr>
            <sz val="11"/>
            <rFont val="Calibri"/>
          </rPr>
          <t>The Juniper SRX Services Gateway must enforce the assigned privilege level for each administrator and authorizations for access to all commands by assigning a login class to all AAA-authenticated users.</t>
        </r>
      </text>
    </comment>
    <comment ref="N136" authorId="0" shapeId="0" xr:uid="{00000000-0006-0000-0A00-00002C000000}">
      <text>
        <r>
          <rPr>
            <sz val="11"/>
            <rFont val="Calibri"/>
          </rPr>
          <t>The Juniper SRX Services Gateway must implement logon roles to ensure only authorized roles are allowed to install software and updates.</t>
        </r>
      </text>
    </comment>
    <comment ref="L137" authorId="0" shapeId="0" xr:uid="{00000000-0006-0000-0A00-00002D000000}">
      <text>
        <r>
          <rPr>
            <sz val="11"/>
            <rFont val="Calibri"/>
          </rPr>
          <t>For User Role Firewalls, the Juniper SRX Services Gateway Firewall must employ user attribute-based security policies to enforce approved authorizations for logical access to information and system resources.</t>
        </r>
      </text>
    </comment>
    <comment ref="M137" authorId="0" shapeId="0" xr:uid="{00000000-0006-0000-0A00-00002E000000}">
      <text>
        <r>
          <rPr>
            <sz val="11"/>
            <rFont val="Calibri"/>
          </rPr>
          <t>The Juniper SRX Services Gateway must enforce the assigned privilege level for each administrator and authorizations for access to all commands by assigning a login class to all AAA-authenticated users.</t>
        </r>
      </text>
    </comment>
    <comment ref="N137" authorId="0" shapeId="0" xr:uid="{00000000-0006-0000-0A00-00002F000000}">
      <text>
        <r>
          <rPr>
            <sz val="11"/>
            <rFont val="Calibri"/>
          </rPr>
          <t>The Juniper SRX Services Gateway must implement logon roles to ensure only authorized roles are allowed to install software and updates.</t>
        </r>
      </text>
    </comment>
    <comment ref="L152" authorId="0" shapeId="0" xr:uid="{00000000-0006-0000-0A00-000030000000}">
      <text>
        <r>
          <rPr>
            <sz val="11"/>
            <rFont val="Calibri"/>
          </rPr>
          <t>For local accounts created on the device, the Juniper SRX Services Gateway must automatically generate log records for account creation events.</t>
        </r>
      </text>
    </comment>
    <comment ref="M152" authorId="0" shapeId="0" xr:uid="{00000000-0006-0000-0A00-000031000000}">
      <text>
        <r>
          <rPr>
            <sz val="11"/>
            <rFont val="Calibri"/>
          </rPr>
          <t>For local accounts created on the device, the Juniper SRX Services Gateway must automatically generate log records for account modification events.</t>
        </r>
      </text>
    </comment>
    <comment ref="N152" authorId="0" shapeId="0" xr:uid="{00000000-0006-0000-0A00-000032000000}">
      <text>
        <r>
          <rPr>
            <sz val="11"/>
            <rFont val="Calibri"/>
          </rPr>
          <t>For local accounts created on the device, the Juniper SRX Services Gateway must automatically generate log records for account disabling events.</t>
        </r>
      </text>
    </comment>
    <comment ref="O152" authorId="0" shapeId="0" xr:uid="{00000000-0006-0000-0A00-000033000000}">
      <text>
        <r>
          <rPr>
            <sz val="11"/>
            <rFont val="Calibri"/>
          </rPr>
          <t>For local accounts created on the device, the Juniper SRX Services Gateway must automatically generate log records for account removal events.</t>
        </r>
      </text>
    </comment>
    <comment ref="P152" authorId="0" shapeId="0" xr:uid="{00000000-0006-0000-0A00-000034000000}">
      <text>
        <r>
          <rPr>
            <sz val="11"/>
            <rFont val="Calibri"/>
          </rPr>
          <t>The Juniper SRX Services Gateway must automatically generate a log event when accounts are enabled.</t>
        </r>
      </text>
    </comment>
    <comment ref="Q152" authorId="0" shapeId="0" xr:uid="{00000000-0006-0000-0A00-000035000000}">
      <text>
        <r>
          <rPr>
            <sz val="11"/>
            <rFont val="Calibri"/>
          </rPr>
          <t>The Juniper SRX Services Gateway must be configured to use an authentication server to centrally manage authentication and logon settings for remote and nonlocal access.</t>
        </r>
      </text>
    </comment>
    <comment ref="R152" authorId="0" shapeId="0" xr:uid="{00000000-0006-0000-0A00-000036000000}">
      <text>
        <r>
          <rPr>
            <sz val="11"/>
            <rFont val="Calibri"/>
          </rPr>
          <t>The Juniper SRX Services Gateway must be configured with only one local user account to be used as the account of last resort.</t>
        </r>
      </text>
    </comment>
    <comment ref="S152" authorId="0" shapeId="0" xr:uid="{00000000-0006-0000-0A00-000037000000}">
      <text>
        <r>
          <rPr>
            <sz val="11"/>
            <rFont val="Calibri"/>
          </rPr>
          <t>For local accounts using password authentication (i.e., the root account and the account of last resort), the Juniper SRX Services Gateway must enforce a minimum 15-character password length.</t>
        </r>
      </text>
    </comment>
    <comment ref="T152" authorId="0" shapeId="0" xr:uid="{00000000-0006-0000-0A00-000038000000}">
      <text>
        <r>
          <rPr>
            <sz val="11"/>
            <rFont val="Calibri"/>
          </rPr>
          <t>For local accounts using password authentication (i.e., the root account and the account of last resort), the Juniper SRX Services Gateway must enforce password complexity by setting the password change type to character sets.</t>
        </r>
      </text>
    </comment>
    <comment ref="U152" authorId="0" shapeId="0" xr:uid="{00000000-0006-0000-0A00-000039000000}">
      <text>
        <r>
          <rPr>
            <sz val="11"/>
            <rFont val="Calibri"/>
          </rPr>
          <t>For local accounts using password authentication (i.e., the root account and the account of last resort), the Juniper SRX Services Gateway must enforce password complexity by requiring at least one uppercase character be used.</t>
        </r>
      </text>
    </comment>
    <comment ref="V152" authorId="0" shapeId="0" xr:uid="{00000000-0006-0000-0A00-00003A000000}">
      <text>
        <r>
          <rPr>
            <sz val="11"/>
            <rFont val="Calibri"/>
          </rPr>
          <t>For local accounts using password authentication (i.e., the root account and the account of last resort), the Juniper SRX Services Gateway must enforce password complexity by requiring at least one lowercase character be used.</t>
        </r>
      </text>
    </comment>
    <comment ref="W152" authorId="0" shapeId="0" xr:uid="{00000000-0006-0000-0A00-00003B000000}">
      <text>
        <r>
          <rPr>
            <sz val="11"/>
            <rFont val="Calibri"/>
          </rPr>
          <t>For local accounts using password authentication (i.e., the root account and the account of last resort), the Juniper SRX Services Gateway must enforce password complexity by requiring at least one numeric character be used.</t>
        </r>
      </text>
    </comment>
    <comment ref="X152" authorId="0" shapeId="0" xr:uid="{00000000-0006-0000-0A00-00003C000000}">
      <text>
        <r>
          <rPr>
            <sz val="11"/>
            <rFont val="Calibri"/>
          </rPr>
          <t>For local accounts using password authentication (i.e., the root account and the account of last resort), the Juniper SRX Services Gateway must enforce password complexity by requiring at least one special character be used.</t>
        </r>
      </text>
    </comment>
    <comment ref="Y152" authorId="0" shapeId="0" xr:uid="{00000000-0006-0000-0A00-00003D000000}">
      <text>
        <r>
          <rPr>
            <sz val="11"/>
            <rFont val="Calibri"/>
          </rPr>
          <t>The Juniper SRX Services Gateway must use the SHA256 or later protocol for password authentication for local accounts using password authentication (i.e., the root account and the account of last resort).</t>
        </r>
      </text>
    </comment>
    <comment ref="Z152" authorId="0" shapeId="0" xr:uid="{00000000-0006-0000-0A00-00003E000000}">
      <text>
        <r>
          <rPr>
            <sz val="11"/>
            <rFont val="Calibri"/>
          </rPr>
          <t>The Juniper SRX Services Gateway must be configured to use an authentication server to centrally apply authentication and logon settings for remote and nonlocal access for device management.</t>
        </r>
      </text>
    </comment>
    <comment ref="AA152" authorId="0" shapeId="0" xr:uid="{00000000-0006-0000-0A00-00003F000000}">
      <text>
        <r>
          <rPr>
            <sz val="11"/>
            <rFont val="Calibri"/>
          </rPr>
          <t>The Juniper SRX Services Gateway must specify the order in which authentication servers are used.</t>
        </r>
      </text>
    </comment>
    <comment ref="L155" authorId="0" shapeId="0" xr:uid="{00000000-0006-0000-0A00-000040000000}">
      <text>
        <r>
          <rPr>
            <sz val="11"/>
            <rFont val="Calibri"/>
          </rPr>
          <t>The Juniper SRX Services Gateway VPN must limit the number of concurrent sessions for user accounts to one (1) and administrative accounts to three (3), or set to an organization-defined number.</t>
        </r>
      </text>
    </comment>
    <comment ref="M155" authorId="0" shapeId="0" xr:uid="{00000000-0006-0000-0A00-000041000000}">
      <text>
        <r>
          <rPr>
            <sz val="11"/>
            <rFont val="Calibri"/>
          </rPr>
          <t>The Juniper SRX Services Gateway must limit the number of concurrent sessions to a maximum of 10 or less for remote access using SSH.</t>
        </r>
      </text>
    </comment>
    <comment ref="N155" authorId="0" shapeId="0" xr:uid="{00000000-0006-0000-0A00-000042000000}">
      <text>
        <r>
          <rPr>
            <sz val="11"/>
            <rFont val="Calibri"/>
          </rPr>
          <t>The Juniper SRX Services Gateway must limit the number of sessions per minute to an organization-defined number for SSH to protect remote access management from unauthorized access.</t>
        </r>
      </text>
    </comment>
    <comment ref="L159" authorId="0" shapeId="0" xr:uid="{00000000-0006-0000-0A00-000043000000}">
      <text>
        <r>
          <rPr>
            <sz val="11"/>
            <rFont val="Calibri"/>
          </rPr>
          <t>The Juniper SRX Services Gateway Firewall must terminate all communications sessions associated with user traffic after 15 minutes or less of inactivity.</t>
        </r>
      </text>
    </comment>
    <comment ref="M159" authorId="0" shapeId="0" xr:uid="{00000000-0006-0000-0A00-000044000000}">
      <text>
        <r>
          <rPr>
            <sz val="11"/>
            <rFont val="Calibri"/>
          </rPr>
          <t>The Juniper SRX Services Gateway VPN must terminate all network connections associated with a communications session at the end of the session.</t>
        </r>
      </text>
    </comment>
    <comment ref="N159" authorId="0" shapeId="0" xr:uid="{00000000-0006-0000-0A00-000045000000}">
      <text>
        <r>
          <rPr>
            <sz val="11"/>
            <rFont val="Calibri"/>
          </rPr>
          <t>The Juniper SRX Services Gateway must display the Standard Mandatory DoD Notice and Consent Banner before granting access.</t>
        </r>
      </text>
    </comment>
    <comment ref="O159" authorId="0" shapeId="0" xr:uid="{00000000-0006-0000-0A00-000046000000}">
      <text>
        <r>
          <rPr>
            <sz val="11"/>
            <rFont val="Calibri"/>
          </rPr>
          <t>The Juniper SRX Services Gateway must terminate a device management session after 10 minutes of inactivity, except to fulfill documented and validated mission requirements.</t>
        </r>
      </text>
    </comment>
    <comment ref="P159" authorId="0" shapeId="0" xr:uid="{00000000-0006-0000-0A00-000047000000}">
      <text>
        <r>
          <rPr>
            <sz val="11"/>
            <rFont val="Calibri"/>
          </rPr>
          <t>The Juniper SRX Services Gateway must terminate a device management session if the keep-alive count is exceeded.</t>
        </r>
      </text>
    </comment>
    <comment ref="Q159" authorId="0" shapeId="0" xr:uid="{00000000-0006-0000-0A00-000048000000}">
      <text>
        <r>
          <rPr>
            <sz val="11"/>
            <rFont val="Calibri"/>
          </rPr>
          <t>The Juniper SRX Services Gateway must automatically terminate a network administrator session after organization-defined conditions or trigger events requiring session disconnect.</t>
        </r>
      </text>
    </comment>
    <comment ref="L164" authorId="0" shapeId="0" xr:uid="{00000000-0006-0000-0A00-000049000000}">
      <text>
        <r>
          <rPr>
            <sz val="11"/>
            <rFont val="Calibri"/>
          </rPr>
          <t>For local accounts created on the device, the Juniper SRX Services Gateway must enforce the limit of three consecutive invalid logon attempts by a user during a 15-minute time period.</t>
        </r>
      </text>
    </comment>
    <comment ref="L174" authorId="0" shapeId="0" xr:uid="{00000000-0006-0000-0A00-00004A000000}">
      <text>
        <r>
          <rPr>
            <sz val="11"/>
            <rFont val="Calibri"/>
          </rPr>
          <t>The Juniper SRX Services Gateway VPN must not accept certificates that have been revoked when using PKI for authentication.</t>
        </r>
      </text>
    </comment>
    <comment ref="M174" authorId="0" shapeId="0" xr:uid="{00000000-0006-0000-0A00-00004B000000}">
      <text>
        <r>
          <rPr>
            <sz val="11"/>
            <rFont val="Calibri"/>
          </rPr>
          <t>The Juniper SRX Services Gateway VPN must uniquely identify and authenticate organizational users (or processes acting on behalf of organizational users).</t>
        </r>
      </text>
    </comment>
    <comment ref="N174" authorId="0" shapeId="0" xr:uid="{00000000-0006-0000-0A00-00004C000000}">
      <text>
        <r>
          <rPr>
            <sz val="11"/>
            <rFont val="Calibri"/>
          </rPr>
          <t>The Juniper SRX Services Gateway VPN must use multifactor authentication (e.g., DoD PKI) for network access to non-privileged accounts.</t>
        </r>
      </text>
    </comment>
    <comment ref="O174" authorId="0" shapeId="0" xr:uid="{00000000-0006-0000-0A00-00004D000000}">
      <text>
        <r>
          <rPr>
            <sz val="11"/>
            <rFont val="Calibri"/>
          </rPr>
          <t>The Juniper SRX Services Gateway VPN must uniquely identify and authenticate non-organizational users (or processes acting on behalf of non-organizational users).</t>
        </r>
      </text>
    </comment>
    <comment ref="P174" authorId="0" shapeId="0" xr:uid="{00000000-0006-0000-0A00-00004E000000}">
      <text>
        <r>
          <rPr>
            <sz val="11"/>
            <rFont val="Calibri"/>
          </rPr>
          <t>The Juniper SRX Services Gateway VPN must only allow the use of DoD PKI established certificate authorities for verification of the establishment of protected sessions.</t>
        </r>
      </text>
    </comment>
    <comment ref="Q174" authorId="0" shapeId="0" xr:uid="{00000000-0006-0000-0A00-00004F000000}">
      <text>
        <r>
          <rPr>
            <sz val="11"/>
            <rFont val="Calibri"/>
          </rPr>
          <t>The Juniper SRX Services Gateway must use DOD-approved PKI rather than proprietary or self-signed device certificates.</t>
        </r>
      </text>
    </comment>
    <comment ref="R174" authorId="0" shapeId="0" xr:uid="{00000000-0006-0000-0A00-000050000000}">
      <text>
        <r>
          <rPr>
            <sz val="11"/>
            <rFont val="Calibri"/>
          </rPr>
          <t>The Juniper SRX Services Gateway must implement replay-resistant authentication mechanisms for network access to privileged accounts.</t>
        </r>
      </text>
    </comment>
    <comment ref="L175" authorId="0" shapeId="0" xr:uid="{00000000-0006-0000-0A00-000051000000}">
      <text>
        <r>
          <rPr>
            <sz val="11"/>
            <rFont val="Calibri"/>
          </rPr>
          <t>The Juniper SRX Services Gateway VPN must not accept certificates that have been revoked when using PKI for authentication.</t>
        </r>
      </text>
    </comment>
    <comment ref="M175" authorId="0" shapeId="0" xr:uid="{00000000-0006-0000-0A00-000052000000}">
      <text>
        <r>
          <rPr>
            <sz val="11"/>
            <rFont val="Calibri"/>
          </rPr>
          <t>The Juniper SRX Services Gateway VPN must use multifactor authentication (e.g., DoD PKI) for network access to non-privileged accounts.</t>
        </r>
      </text>
    </comment>
    <comment ref="N175" authorId="0" shapeId="0" xr:uid="{00000000-0006-0000-0A00-000053000000}">
      <text>
        <r>
          <rPr>
            <sz val="11"/>
            <rFont val="Calibri"/>
          </rPr>
          <t>The Juniper SRX Services Gateway VPN must only allow the use of DoD PKI established certificate authorities for verification of the establishment of protected sessions.</t>
        </r>
      </text>
    </comment>
    <comment ref="O175" authorId="0" shapeId="0" xr:uid="{00000000-0006-0000-0A00-000054000000}">
      <text>
        <r>
          <rPr>
            <sz val="11"/>
            <rFont val="Calibri"/>
          </rPr>
          <t>The Juniper SRX Services Gateway must be configured to use an authentication server to centrally manage authentication and logon settings for remote and nonlocal access.</t>
        </r>
      </text>
    </comment>
    <comment ref="P175" authorId="0" shapeId="0" xr:uid="{00000000-0006-0000-0A00-000055000000}">
      <text>
        <r>
          <rPr>
            <sz val="11"/>
            <rFont val="Calibri"/>
          </rPr>
          <t>The Juniper SRX Services Gateway must use DOD-approved PKI rather than proprietary or self-signed device certificates.</t>
        </r>
      </text>
    </comment>
    <comment ref="Q175" authorId="0" shapeId="0" xr:uid="{00000000-0006-0000-0A00-000056000000}">
      <text>
        <r>
          <rPr>
            <sz val="11"/>
            <rFont val="Calibri"/>
          </rPr>
          <t>The Juniper SRX Services Gateway must implement replay-resistant authentication mechanisms for network access to privileged accounts.</t>
        </r>
      </text>
    </comment>
    <comment ref="R175" authorId="0" shapeId="0" xr:uid="{00000000-0006-0000-0A00-000057000000}">
      <text>
        <r>
          <rPr>
            <sz val="11"/>
            <rFont val="Calibri"/>
          </rPr>
          <t>The Juniper SRX Services Gateway must be configured to use an authentication server to centrally apply authentication and logon settings for remote and nonlocal access for device management.</t>
        </r>
      </text>
    </comment>
    <comment ref="S175" authorId="0" shapeId="0" xr:uid="{00000000-0006-0000-0A00-000058000000}">
      <text>
        <r>
          <rPr>
            <sz val="11"/>
            <rFont val="Calibri"/>
          </rPr>
          <t>The Juniper SRX Services Gateway must specify the order in which authentication servers are used.</t>
        </r>
      </text>
    </comment>
    <comment ref="L221" authorId="0" shapeId="0" xr:uid="{00000000-0006-0000-0A00-000059000000}">
      <text>
        <r>
          <rPr>
            <sz val="11"/>
            <rFont val="Calibri"/>
          </rPr>
          <t>The Juniper SRX Services Gateway must generate log records when firewall filters, security screens and security policies are invoked and the traffic is denied or restricted.</t>
        </r>
      </text>
    </comment>
    <comment ref="M221" authorId="0" shapeId="0" xr:uid="{00000000-0006-0000-0A00-000060000000}">
      <text>
        <r>
          <rPr>
            <sz val="11"/>
            <rFont val="Calibri"/>
          </rPr>
          <t>The Juniper SRX Services Gateway Firewall must generate audit records when unsuccessful attempts to access security zones occur.</t>
        </r>
      </text>
    </comment>
    <comment ref="N221" authorId="0" shapeId="0" xr:uid="{00000000-0006-0000-0A00-000061000000}">
      <text>
        <r>
          <rPr>
            <sz val="11"/>
            <rFont val="Calibri"/>
          </rPr>
          <t>The Juniper SRX Services Gateway Firewall must be configured to support centralized management and configuration of the audit log.</t>
        </r>
      </text>
    </comment>
    <comment ref="O221" authorId="0" shapeId="0" xr:uid="{00000000-0006-0000-0A00-000062000000}">
      <text>
        <r>
          <rPr>
            <sz val="11"/>
            <rFont val="Calibri"/>
          </rPr>
          <t>In the event that communications with the Syslog server is lost, the Juniper SRX Services Gateway must continue to queue traffic log records locally.</t>
        </r>
      </text>
    </comment>
    <comment ref="P221" authorId="0" shapeId="0" xr:uid="{00000000-0006-0000-0A00-000063000000}">
      <text>
        <r>
          <rPr>
            <sz val="11"/>
            <rFont val="Calibri"/>
          </rPr>
          <t>The Juniper Networks SRX Series Gateway IDPS must provide audit record generation capability for detecting events based on implementation of policy filters, rules, and signatures.</t>
        </r>
      </text>
    </comment>
    <comment ref="Q221" authorId="0" shapeId="0" xr:uid="{00000000-0006-0000-0A00-000064000000}">
      <text>
        <r>
          <rPr>
            <sz val="11"/>
            <rFont val="Calibri"/>
          </rPr>
          <t>The Juniper Networks SRX Series Gateway IDPS must provide audit record generation with a configurable severity and escalation level capability.</t>
        </r>
      </text>
    </comment>
    <comment ref="R221" authorId="0" shapeId="0" xr:uid="{00000000-0006-0000-0A00-000065000000}">
      <text>
        <r>
          <rPr>
            <sz val="11"/>
            <rFont val="Calibri"/>
          </rPr>
          <t>For local accounts created on the device, the Juniper SRX Services Gateway must automatically generate log records for account creation events.</t>
        </r>
      </text>
    </comment>
    <comment ref="S221" authorId="0" shapeId="0" xr:uid="{00000000-0006-0000-0A00-000066000000}">
      <text>
        <r>
          <rPr>
            <sz val="11"/>
            <rFont val="Calibri"/>
          </rPr>
          <t>For local accounts created on the device, the Juniper SRX Services Gateway must automatically generate log records for account modification events.</t>
        </r>
      </text>
    </comment>
    <comment ref="T221" authorId="0" shapeId="0" xr:uid="{00000000-0006-0000-0A00-000067000000}">
      <text>
        <r>
          <rPr>
            <sz val="11"/>
            <rFont val="Calibri"/>
          </rPr>
          <t>For local accounts created on the device, the Juniper SRX Services Gateway must automatically generate log records for account disabling events.</t>
        </r>
      </text>
    </comment>
    <comment ref="U221" authorId="0" shapeId="0" xr:uid="{00000000-0006-0000-0A00-000068000000}">
      <text>
        <r>
          <rPr>
            <sz val="11"/>
            <rFont val="Calibri"/>
          </rPr>
          <t>For local accounts created on the device, the Juniper SRX Services Gateway must automatically generate log records for account removal events.</t>
        </r>
      </text>
    </comment>
    <comment ref="V221" authorId="0" shapeId="0" xr:uid="{00000000-0006-0000-0A00-000069000000}">
      <text>
        <r>
          <rPr>
            <sz val="11"/>
            <rFont val="Calibri"/>
          </rPr>
          <t>The Juniper SRX Services Gateway must automatically generate a log event when accounts are enabled.</t>
        </r>
      </text>
    </comment>
    <comment ref="W221" authorId="0" shapeId="0" xr:uid="{00000000-0006-0000-0A00-00006A000000}">
      <text>
        <r>
          <rPr>
            <sz val="11"/>
            <rFont val="Calibri"/>
          </rPr>
          <t>The Juniper SRX Services Gateway must generate log records when successful attempts to configure the device and use commands occur.</t>
        </r>
      </text>
    </comment>
    <comment ref="X221" authorId="0" shapeId="0" xr:uid="{00000000-0006-0000-0A00-00006B000000}">
      <text>
        <r>
          <rPr>
            <sz val="11"/>
            <rFont val="Calibri"/>
          </rPr>
          <t>The Juniper SRX Services Gateway must generate log records when changes are made to administrator privileges.</t>
        </r>
      </text>
    </comment>
    <comment ref="Y221" authorId="0" shapeId="0" xr:uid="{00000000-0006-0000-0A00-00006C000000}">
      <text>
        <r>
          <rPr>
            <sz val="11"/>
            <rFont val="Calibri"/>
          </rPr>
          <t>The Juniper SRX Services Gateway must generate log records when administrator privileges are deleted.</t>
        </r>
      </text>
    </comment>
    <comment ref="Z221" authorId="0" shapeId="0" xr:uid="{00000000-0006-0000-0A00-00006D000000}">
      <text>
        <r>
          <rPr>
            <sz val="11"/>
            <rFont val="Calibri"/>
          </rPr>
          <t>The Juniper SRX Services Gateway must generate log records when logon events occur.</t>
        </r>
      </text>
    </comment>
    <comment ref="AA221" authorId="0" shapeId="0" xr:uid="{00000000-0006-0000-0A00-00006E000000}">
      <text>
        <r>
          <rPr>
            <sz val="11"/>
            <rFont val="Calibri"/>
          </rPr>
          <t>The Juniper SRX Services Gateway must generate log records when privileged commands are executed.</t>
        </r>
      </text>
    </comment>
    <comment ref="AB221" authorId="0" shapeId="0" xr:uid="{00000000-0006-0000-0A00-00005A000000}">
      <text>
        <r>
          <rPr>
            <sz val="11"/>
            <rFont val="Calibri"/>
          </rPr>
          <t>The Juniper SRX Services Gateway must generate log records when concurrent logons from different workstations occur.</t>
        </r>
      </text>
    </comment>
    <comment ref="AC221" authorId="0" shapeId="0" xr:uid="{00000000-0006-0000-0A00-00005B000000}">
      <text>
        <r>
          <rPr>
            <sz val="11"/>
            <rFont val="Calibri"/>
          </rPr>
          <t>The Juniper SRX Services Gateway must generate log records containing the full-text recording of privileged commands.</t>
        </r>
      </text>
    </comment>
    <comment ref="AD221" authorId="0" shapeId="0" xr:uid="{00000000-0006-0000-0A00-00005C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AE221" authorId="0" shapeId="0" xr:uid="{00000000-0006-0000-0A00-00005D000000}">
      <text>
        <r>
          <rPr>
            <sz val="11"/>
            <rFont val="Calibri"/>
          </rPr>
          <t>The Juniper SRX Services Gateway must record time stamps for log records using Coordinated Universal Time (UTC).</t>
        </r>
      </text>
    </comment>
    <comment ref="AF221" authorId="0" shapeId="0" xr:uid="{00000000-0006-0000-0A00-00005E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AG221" authorId="0" shapeId="0" xr:uid="{00000000-0006-0000-0A00-00005F000000}">
      <text>
        <r>
          <rPr>
            <sz val="11"/>
            <rFont val="Calibri"/>
          </rPr>
          <t>In the event that communications with the events server is lost, the Juniper SRX Services Gateway must continue to queue log records locally.</t>
        </r>
      </text>
    </comment>
    <comment ref="L231" authorId="0" shapeId="0" xr:uid="{00000000-0006-0000-0A00-00006F000000}">
      <text>
        <r>
          <rPr>
            <sz val="11"/>
            <rFont val="Calibri"/>
          </rPr>
          <t>The Juniper SRX Services Gateway Firewall must be configured to support centralized management and configuration of the audit log.</t>
        </r>
      </text>
    </comment>
    <comment ref="M231" authorId="0" shapeId="0" xr:uid="{00000000-0006-0000-0A00-000070000000}">
      <text>
        <r>
          <rPr>
            <sz val="11"/>
            <rFont val="Calibri"/>
          </rPr>
          <t>In the event that communications with the Syslog server is lost, the Juniper SRX Services Gateway must continue to queue traffic log records locally.</t>
        </r>
      </text>
    </comment>
    <comment ref="N231" authorId="0" shapeId="0" xr:uid="{00000000-0006-0000-0A00-000071000000}">
      <text>
        <r>
          <rPr>
            <sz val="11"/>
            <rFont val="Calibri"/>
          </rPr>
          <t>The Juniper SRX Services Gateway must generate log records when successful attempts to configure the device and use commands occur.</t>
        </r>
      </text>
    </comment>
    <comment ref="O231" authorId="0" shapeId="0" xr:uid="{00000000-0006-0000-0A00-000072000000}">
      <text>
        <r>
          <rPr>
            <sz val="11"/>
            <rFont val="Calibri"/>
          </rPr>
          <t>The Juniper SRX Services Gateway must generate log records when changes are made to administrator privileges.</t>
        </r>
      </text>
    </comment>
    <comment ref="P231" authorId="0" shapeId="0" xr:uid="{00000000-0006-0000-0A00-000073000000}">
      <text>
        <r>
          <rPr>
            <sz val="11"/>
            <rFont val="Calibri"/>
          </rPr>
          <t>The Juniper SRX Services Gateway must generate log records when administrator privileges are deleted.</t>
        </r>
      </text>
    </comment>
    <comment ref="Q231" authorId="0" shapeId="0" xr:uid="{00000000-0006-0000-0A00-000074000000}">
      <text>
        <r>
          <rPr>
            <sz val="11"/>
            <rFont val="Calibri"/>
          </rPr>
          <t>The Juniper SRX Services Gateway must generate log records when logon events occur.</t>
        </r>
      </text>
    </comment>
    <comment ref="R231" authorId="0" shapeId="0" xr:uid="{00000000-0006-0000-0A00-000075000000}">
      <text>
        <r>
          <rPr>
            <sz val="11"/>
            <rFont val="Calibri"/>
          </rPr>
          <t>The Juniper SRX Services Gateway must generate log records when privileged commands are executed.</t>
        </r>
      </text>
    </comment>
    <comment ref="S231" authorId="0" shapeId="0" xr:uid="{00000000-0006-0000-0A00-000076000000}">
      <text>
        <r>
          <rPr>
            <sz val="11"/>
            <rFont val="Calibri"/>
          </rPr>
          <t>The Juniper SRX Services Gateway must generate log records when concurrent logons from different workstations occur.</t>
        </r>
      </text>
    </comment>
    <comment ref="T231" authorId="0" shapeId="0" xr:uid="{00000000-0006-0000-0A00-000077000000}">
      <text>
        <r>
          <rPr>
            <sz val="11"/>
            <rFont val="Calibri"/>
          </rPr>
          <t>The Juniper SRX Services Gateway must generate log records containing the full-text recording of privileged commands.</t>
        </r>
      </text>
    </comment>
    <comment ref="U231" authorId="0" shapeId="0" xr:uid="{00000000-0006-0000-0A00-000078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V231" authorId="0" shapeId="0" xr:uid="{00000000-0006-0000-0A00-000079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W231" authorId="0" shapeId="0" xr:uid="{00000000-0006-0000-0A00-00007A000000}">
      <text>
        <r>
          <rPr>
            <sz val="11"/>
            <rFont val="Calibri"/>
          </rPr>
          <t>In the event that communications with the events server is lost, the Juniper SRX Services Gateway must continue to queue log records locally.</t>
        </r>
      </text>
    </comment>
    <comment ref="L232" authorId="0" shapeId="0" xr:uid="{00000000-0006-0000-0A00-00007B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M232" authorId="0" shapeId="0" xr:uid="{00000000-0006-0000-0A00-00007C000000}">
      <text>
        <r>
          <rPr>
            <sz val="11"/>
            <rFont val="Calibri"/>
          </rPr>
          <t>The Juniper SRX Services Gateway must be configured to use a centralized authentication server to authenticate privileged users for remote and nonlocal access for device management.</t>
        </r>
      </text>
    </comment>
    <comment ref="N232" authorId="0" shapeId="0" xr:uid="{00000000-0006-0000-0A00-00007D000000}">
      <text>
        <r>
          <rPr>
            <sz val="11"/>
            <rFont val="Calibri"/>
          </rPr>
          <t>The Juniper SRX Services Gateway must reveal log messages or management console alerts only to the ISSO, ISSM, and SA roles).</t>
        </r>
      </text>
    </comment>
    <comment ref="L233" authorId="0" shapeId="0" xr:uid="{00000000-0006-0000-0A00-00007E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M233" authorId="0" shapeId="0" xr:uid="{00000000-0006-0000-0A00-00007F000000}">
      <text>
        <r>
          <rPr>
            <sz val="11"/>
            <rFont val="Calibri"/>
          </rPr>
          <t>The Juniper SRX Services Gateway must be configured to use a centralized authentication server to authenticate privileged users for remote and nonlocal access for device management.</t>
        </r>
      </text>
    </comment>
    <comment ref="L244" authorId="0" shapeId="0" xr:uid="{00000000-0006-0000-0A00-000080000000}">
      <text>
        <r>
          <rPr>
            <sz val="11"/>
            <rFont val="Calibri"/>
          </rPr>
          <t>The Juniper SRX Services Gateway must record time stamps for log records using Coordinated Universal Time (UTC).</t>
        </r>
      </text>
    </comment>
    <comment ref="M244" authorId="0" shapeId="0" xr:uid="{00000000-0006-0000-0A00-000081000000}">
      <text>
        <r>
          <rPr>
            <sz val="11"/>
            <rFont val="Calibri"/>
          </rPr>
          <t>The Juniper SRX Services Gateway must be configured to synchronize internal information system clocks with the primary and secondary NTP servers for the network.</t>
        </r>
      </text>
    </comment>
    <comment ref="L274" authorId="0" shapeId="0" xr:uid="{00000000-0006-0000-0A00-000082000000}">
      <text>
        <r>
          <rPr>
            <sz val="11"/>
            <rFont val="Calibri"/>
          </rPr>
          <t>The Juniper SRX Services Gateway Firewall providing content filtering must protect against known and unknown types of denial-of-service (DoS) attacks by implementing statistics-based screens.</t>
        </r>
      </text>
    </comment>
    <comment ref="M274" authorId="0" shapeId="0" xr:uid="{00000000-0006-0000-0A00-00008C000000}">
      <text>
        <r>
          <rPr>
            <sz val="11"/>
            <rFont val="Calibri"/>
          </rPr>
          <t>The Juniper SRX Services Gateway Firewall must implement load balancing on the perimeter firewall, at a minimum, to limit the effects of known and unknown types of denial-of-service (DoS) attacks on the network.</t>
        </r>
      </text>
    </comment>
    <comment ref="N274" authorId="0" shapeId="0" xr:uid="{00000000-0006-0000-0A00-00008D000000}">
      <text>
        <r>
          <rPr>
            <sz val="11"/>
            <rFont val="Calibri"/>
          </rPr>
          <t>The Juniper SRX Services Gateway Firewall must protect against known types of denial-of-service (DoS) attacks by implementing signature-based screens.</t>
        </r>
      </text>
    </comment>
    <comment ref="O274" authorId="0" shapeId="0" xr:uid="{00000000-0006-0000-0A00-00008E000000}">
      <text>
        <r>
          <rPr>
            <sz val="11"/>
            <rFont val="Calibri"/>
          </rPr>
          <t>The Juniper SRX Services Gateway Firewall must block outbound traffic containing known and unknown denial-of-service (DoS) attacks to protect against the use of internal information systems to launch any DoS attacks against other networks or endpoints.</t>
        </r>
      </text>
    </comment>
    <comment ref="P274" authorId="0" shapeId="0" xr:uid="{00000000-0006-0000-0A00-00008F000000}">
      <text>
        <r>
          <rPr>
            <sz val="11"/>
            <rFont val="Calibri"/>
          </rPr>
          <t>The Juniper SRX Services Gateway Firewall must continuously monitor all inbound communications traffic for unusual/unauthorized activities or conditions.</t>
        </r>
      </text>
    </comment>
    <comment ref="Q274" authorId="0" shapeId="0" xr:uid="{00000000-0006-0000-0A00-000090000000}">
      <text>
        <r>
          <rPr>
            <sz val="11"/>
            <rFont val="Calibri"/>
          </rPr>
          <t>The Juniper SRX Services Gateway Firewall must continuously monitor outbound communications traffic for unusual/unauthorized activities or conditions.</t>
        </r>
      </text>
    </comment>
    <comment ref="R274" authorId="0" shapeId="0" xr:uid="{00000000-0006-0000-0A00-000091000000}">
      <text>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text>
    </comment>
    <comment ref="S274" authorId="0" shapeId="0" xr:uid="{00000000-0006-0000-0A00-000092000000}">
      <text>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text>
    </comment>
    <comment ref="T274" authorId="0" shapeId="0" xr:uid="{00000000-0006-0000-0A00-000093000000}">
      <text>
        <r>
          <rPr>
            <sz val="11"/>
            <rFont val="Calibri"/>
          </rPr>
          <t>The Juniper Networks SRX Series Gateway IDPS must block outbound traffic containing known and unknown DoS attacks by ensuring that rules are applied to outbound communications traffic.</t>
        </r>
      </text>
    </comment>
    <comment ref="U274" authorId="0" shapeId="0" xr:uid="{00000000-0006-0000-0A00-000094000000}">
      <text>
        <r>
          <rPr>
            <sz val="11"/>
            <rFont val="Calibri"/>
          </rPr>
          <t>The Juniper Networks SRX Series Gateway IDPS must block outbound traffic containing known and unknown DoS attacks by ensuring that signature-based objects are applied to outbound communications traffic.</t>
        </r>
      </text>
    </comment>
    <comment ref="V274" authorId="0" shapeId="0" xr:uid="{00000000-0006-0000-0A00-000095000000}">
      <text>
        <r>
          <rPr>
            <sz val="11"/>
            <rFont val="Calibri"/>
          </rPr>
          <t>The Juniper Networks SRX Series Gateway IDPS must block outbound traffic containing known and unknown DoS attacks by ensuring that anomaly-based attack objects are applied to outbound communications traffic.</t>
        </r>
      </text>
    </comment>
    <comment ref="W274" authorId="0" shapeId="0" xr:uid="{00000000-0006-0000-0A00-000096000000}">
      <text>
        <r>
          <rPr>
            <sz val="11"/>
            <rFont val="Calibri"/>
          </rPr>
          <t>The Juniper Networks SRX Series Gateway IDPS must detect, at a minimum, mobile code that is unsigned or exhibiting unusual behavior, has not undergone a risk assessment, or is prohibited for use based on a risk assessment.</t>
        </r>
      </text>
    </comment>
    <comment ref="X274" authorId="0" shapeId="0" xr:uid="{00000000-0006-0000-0A00-000097000000}">
      <text>
        <r>
          <rPr>
            <sz val="11"/>
            <rFont val="Calibri"/>
          </rPr>
          <t>The Juniper Networks SRX Series Gateway IDPS must block any prohibited mobile code at the enclave boundary when it is detected.</t>
        </r>
      </text>
    </comment>
    <comment ref="Y274" authorId="0" shapeId="0" xr:uid="{00000000-0006-0000-0A00-000098000000}">
      <text>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text>
    </comment>
    <comment ref="Z274" authorId="0" shapeId="0" xr:uid="{00000000-0006-0000-0A00-000099000000}">
      <text>
        <r>
          <rPr>
            <sz val="11"/>
            <rFont val="Calibri"/>
          </rPr>
          <t>To protect against unauthorized data mining, the Juniper Networks SRX Series Gateway IDPS must prevent code injection attacks launched against data storage objects, including, at a minimum, databases, database records, queries, and fields.</t>
        </r>
      </text>
    </comment>
    <comment ref="AA274" authorId="0" shapeId="0" xr:uid="{00000000-0006-0000-0A00-00009A000000}">
      <text>
        <r>
          <rPr>
            <sz val="11"/>
            <rFont val="Calibri"/>
          </rPr>
          <t>To protect against unauthorized data mining, the Juniper Networks SRX Series Gateway IDPS must prevent code injection attacks launched against application objects, including, at a minimum, application URLs and application code.</t>
        </r>
      </text>
    </comment>
    <comment ref="AB274" authorId="0" shapeId="0" xr:uid="{00000000-0006-0000-0A00-00009B000000}">
      <text>
        <r>
          <rPr>
            <sz val="11"/>
            <rFont val="Calibri"/>
          </rPr>
          <t>To protect against unauthorized data mining, the Juniper Networks SRX Series Gateway IDPS must prevent SQL injection attacks launched against data storage objects, including, at a minimum, databases, database records, and database fields.</t>
        </r>
      </text>
    </comment>
    <comment ref="AC274" authorId="0" shapeId="0" xr:uid="{00000000-0006-0000-0A00-00009C000000}">
      <text>
        <r>
          <rPr>
            <sz val="11"/>
            <rFont val="Calibri"/>
          </rPr>
          <t>To protect against unauthorized data mining, the Juniper Networks SRX Series Gateway IDPS must detect code injection attacks launched against data storage objects, including, at a minimum, databases, database records, queries, and fields.</t>
        </r>
      </text>
    </comment>
    <comment ref="AD274" authorId="0" shapeId="0" xr:uid="{00000000-0006-0000-0A00-00009D000000}">
      <text>
        <r>
          <rPr>
            <sz val="11"/>
            <rFont val="Calibri"/>
          </rPr>
          <t>To protect against unauthorized data mining, the Juniper Networks SRX Series Gateway IDPS must detect code injection attacks launched against application objects, including, at a minimum, application URLs and application code.</t>
        </r>
      </text>
    </comment>
    <comment ref="AE274" authorId="0" shapeId="0" xr:uid="{00000000-0006-0000-0A00-00009E000000}">
      <text>
        <r>
          <rPr>
            <sz val="11"/>
            <rFont val="Calibri"/>
          </rPr>
          <t>To protect against unauthorized data mining, the Juniper Networks SRX Series Gateway IDPS must detect SQL injection attacks launched against data storage objects, including, at a minimum, databases, database records, and database fields.</t>
        </r>
      </text>
    </comment>
    <comment ref="AF274" authorId="0" shapeId="0" xr:uid="{00000000-0006-0000-0A00-00009F000000}">
      <text>
        <r>
          <rPr>
            <sz val="11"/>
            <rFont val="Calibri"/>
          </rPr>
          <t>The Juniper Networks SRX Series Gateway IDPS must protect against or limit the effects of known and unknown types of Denial of Service (DoS) attacks by employing rate-based attack prevention behavior analysis.</t>
        </r>
      </text>
    </comment>
    <comment ref="AG274" authorId="0" shapeId="0" xr:uid="{00000000-0006-0000-0A00-0000A0000000}">
      <text>
        <r>
          <rPr>
            <sz val="11"/>
            <rFont val="Calibri"/>
          </rPr>
          <t>The Juniper Networks SRX Series Gateway IDPS must protect against or limit the effects of known and unknown types of Denial of Service (DoS) attacks by employing anomaly-based detection.</t>
        </r>
      </text>
    </comment>
    <comment ref="AH274" authorId="0" shapeId="0" xr:uid="{00000000-0006-0000-0A00-000083000000}">
      <text>
        <r>
          <rPr>
            <sz val="11"/>
            <rFont val="Calibri"/>
          </rPr>
          <t>The Juniper Networks SRX Series Gateway IDPS must protect against or limit the effects of known types of Denial of Service (DoS) attacks by employing signatures.</t>
        </r>
      </text>
    </comment>
    <comment ref="AI274" authorId="0" shapeId="0" xr:uid="{00000000-0006-0000-0A00-000084000000}">
      <text>
        <r>
          <rPr>
            <sz val="11"/>
            <rFont val="Calibri"/>
          </rPr>
          <t>The Juniper Networks SRX Series Gateway IDPS must automatically install updates to signature definitions.</t>
        </r>
      </text>
    </comment>
    <comment ref="AJ274" authorId="0" shapeId="0" xr:uid="{00000000-0006-0000-0A00-000085000000}">
      <text>
        <r>
          <rPr>
            <sz val="11"/>
            <rFont val="Calibri"/>
          </rPr>
          <t>The Juniper Networks SRX Series Gateway IDPS must perform real-time monitoring of files from external sources at network entry/exit points.</t>
        </r>
      </text>
    </comment>
    <comment ref="AK274" authorId="0" shapeId="0" xr:uid="{00000000-0006-0000-0A00-000086000000}">
      <text>
        <r>
          <rPr>
            <sz val="11"/>
            <rFont val="Calibri"/>
          </rPr>
          <t>The Juniper Networks SRX Series Gateway IDPS must drop packets or disconnect the connection when malicious code is detected.</t>
        </r>
      </text>
    </comment>
    <comment ref="AL274" authorId="0" shapeId="0" xr:uid="{00000000-0006-0000-0A00-000087000000}">
      <text>
        <r>
          <rPr>
            <sz val="11"/>
            <rFont val="Calibri"/>
          </rPr>
          <t>The Juniper Networks SRX Series Gateway IDPS must have only active Juniper Networks licenses.</t>
        </r>
      </text>
    </comment>
    <comment ref="AM274" authorId="0" shapeId="0" xr:uid="{00000000-0006-0000-0A00-000088000000}">
      <text>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text>
    </comment>
    <comment ref="AN274" authorId="0" shapeId="0" xr:uid="{00000000-0006-0000-0A00-000089000000}">
      <text>
        <r>
          <rPr>
            <sz val="11"/>
            <rFont val="Calibri"/>
          </rPr>
          <t>The Juniper SRX Services Gateway VPN device also fulfills the role of IDPS in the architecture, the device must inspect the VPN traffic in compliance with DoD IDPS requirements.</t>
        </r>
      </text>
    </comment>
    <comment ref="AO274" authorId="0" shapeId="0" xr:uid="{00000000-0006-0000-0A00-00008A000000}">
      <text>
        <r>
          <rPr>
            <sz val="11"/>
            <rFont val="Calibri"/>
          </rPr>
          <t>If IDPS inspection is performed separately from the Juniper SRX Services Gateway VPN device, the VPN must route sessions to an IDPS for inspection.</t>
        </r>
      </text>
    </comment>
    <comment ref="AP274" authorId="0" shapeId="0" xr:uid="{00000000-0006-0000-0A00-00008B000000}">
      <text>
        <r>
          <rPr>
            <sz val="11"/>
            <rFont val="Calibri"/>
          </rPr>
          <t>The Juniper SRX Services Gateway must configure the control plane to protect against or limit the effects of common types of Denial of Service (DoS) attacks on the device itself by configuring applicable system options and internet-options.</t>
        </r>
      </text>
    </comment>
    <comment ref="L324" authorId="0" shapeId="0" xr:uid="{00000000-0006-0000-0A00-0000A1000000}">
      <text>
        <r>
          <rPr>
            <sz val="11"/>
            <rFont val="Calibri"/>
          </rPr>
          <t>The Juniper SRX Services Gateway Firewall must generate an alert to, at a minimum, the ISSO and ISSM when unusual/unauthorized activities or conditions are detected during continuous monitoring of communications traffic as it traverses inbound or outbound  across internal security boundaries.</t>
        </r>
      </text>
    </comment>
    <comment ref="M324" authorId="0" shapeId="0" xr:uid="{00000000-0006-0000-0A00-0000A2000000}">
      <text>
        <r>
          <rPr>
            <sz val="11"/>
            <rFont val="Calibri"/>
          </rPr>
          <t>The Juniper SRX Services Gateway Firewall must generate an alert that can be forwarded to, at a minimum, the ISSO and ISSM when threats identified by authoritative sources are detected.</t>
        </r>
      </text>
    </comment>
    <comment ref="N324" authorId="0" shapeId="0" xr:uid="{00000000-0006-0000-0A00-0000A3000000}">
      <text>
        <r>
          <rPr>
            <sz val="11"/>
            <rFont val="Calibri"/>
          </rPr>
          <t>The Juniper SRX Services Gateway Firewall must generate an alert that can be forwarded to, at a minimum, the ISSO and ISSM when DoS incidents are detected.</t>
        </r>
      </text>
    </comment>
    <comment ref="O324" authorId="0" shapeId="0" xr:uid="{00000000-0006-0000-0A00-0000A4000000}">
      <text>
        <r>
          <rPr>
            <sz val="11"/>
            <rFont val="Calibri"/>
          </rPr>
          <t>The IDPS must send an alert to, at a minimum, the ISSO and ISSM when intrusion detection events are detected that indicate a compromise or potential for compromise.</t>
        </r>
      </text>
    </comment>
    <comment ref="P324" authorId="0" shapeId="0" xr:uid="{00000000-0006-0000-0A00-0000A5000000}">
      <text>
        <r>
          <rPr>
            <sz val="11"/>
            <rFont val="Calibri"/>
          </rPr>
          <t>The Juniper Networks SRX Series Gateway IDPS must generate an alert to, at a minimum, the ISSO and ISSM when root-level intrusion events that provide unauthorized privileged access are detected.</t>
        </r>
      </text>
    </comment>
    <comment ref="Q324" authorId="0" shapeId="0" xr:uid="{00000000-0006-0000-0A00-0000A6000000}">
      <text>
        <r>
          <rPr>
            <sz val="11"/>
            <rFont val="Calibri"/>
          </rPr>
          <t>The IDPS must send an alert to, at a minimum, the ISSO and ISSM when DoS incidents are detected.</t>
        </r>
      </text>
    </comment>
    <comment ref="R324" authorId="0" shapeId="0" xr:uid="{00000000-0006-0000-0A00-0000A7000000}">
      <text>
        <r>
          <rPr>
            <sz val="11"/>
            <rFont val="Calibri"/>
          </rPr>
          <t>The Juniper Networks SRX Series Gateway IDPS must send an immediate alert to, at a minimum, the Security Control Auditor (SCA) when malicious code is detected.</t>
        </r>
      </text>
    </comment>
    <comment ref="S324" authorId="0" shapeId="0" xr:uid="{00000000-0006-0000-0A00-0000A8000000}">
      <text>
        <r>
          <rPr>
            <sz val="11"/>
            <rFont val="Calibri"/>
          </rPr>
          <t>The Juniper SRX Services Gateway must generate an immediate system alert message to the management console when a log processing failure is detected.</t>
        </r>
      </text>
    </comment>
    <comment ref="T324" authorId="0" shapeId="0" xr:uid="{00000000-0006-0000-0A00-0000A9000000}">
      <text>
        <r>
          <rPr>
            <sz val="11"/>
            <rFont val="Calibri"/>
          </rPr>
          <t>For local accounts, the Juniper SRX Services Gateway must generate an alert message to the management console and generate a log event record that can be forwarded to the ISSO and designated system administrators when local accounts are created.</t>
        </r>
      </text>
    </comment>
    <comment ref="U324" authorId="0" shapeId="0" xr:uid="{00000000-0006-0000-0A00-0000AA000000}">
      <text>
        <r>
          <rPr>
            <sz val="11"/>
            <rFont val="Calibri"/>
          </rPr>
          <t>The Juniper SRX Services Gateway must generate an alert message to the management console and generate a log event record that can be forwarded to the ISSO and designated system administrators when the local accounts (i.e., the account of last resort or root account) are modified.</t>
        </r>
      </text>
    </comment>
    <comment ref="V324" authorId="0" shapeId="0" xr:uid="{00000000-0006-0000-0A00-0000AB000000}">
      <text>
        <r>
          <rPr>
            <sz val="11"/>
            <rFont val="Calibri"/>
          </rPr>
          <t>The Juniper SRX Services Gateway must generate an alert message to the management console and generate a log event record that can be forwarded to the ISSO and designated system administrators when accounts are disabled.</t>
        </r>
      </text>
    </comment>
    <comment ref="W324" authorId="0" shapeId="0" xr:uid="{00000000-0006-0000-0A00-0000AC000000}">
      <text>
        <r>
          <rPr>
            <sz val="11"/>
            <rFont val="Calibri"/>
          </rPr>
          <t>The Juniper SRX Services Gateway must generate an immediate alert message to the management console for account enabling actions.</t>
        </r>
      </text>
    </comment>
    <comment ref="X324" authorId="0" shapeId="0" xr:uid="{00000000-0006-0000-0A00-0000AD000000}">
      <text>
        <r>
          <rPr>
            <sz val="11"/>
            <rFont val="Calibri"/>
          </rPr>
          <t>The Juniper SRX Services Gateway must detect the addition of components and issue a priority 1 alert to the ISSM and SA, at a minimum.</t>
        </r>
      </text>
    </comment>
    <comment ref="Y324" authorId="0" shapeId="0" xr:uid="{00000000-0006-0000-0A00-0000AE000000}">
      <text>
        <r>
          <rPr>
            <sz val="11"/>
            <rFont val="Calibri"/>
          </rPr>
          <t>The Juniper SRX Services Gateway must generate an alarm or send an alert message to the management console when a component failure is detected.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 authorId="0" shapeId="0" xr:uid="{00000000-0006-0000-0B00-000001000000}">
      <text>
        <r>
          <rPr>
            <sz val="11"/>
            <rFont val="Calibri"/>
          </rPr>
          <t>The Juniper SRX Services Gateway Firewall must be configured to fail securely in the event of an operational failure of the firewall filtering or boundary protection function.</t>
        </r>
      </text>
    </comment>
    <comment ref="I21" authorId="0" shapeId="0" xr:uid="{00000000-0006-0000-0B00-000002000000}">
      <text>
        <r>
          <rPr>
            <sz val="11"/>
            <rFont val="Calibri"/>
          </rPr>
          <t>The Juniper SRX Services Gateway must implement service redundancy to protect against or limit the effects of common types of Denial of Service (DoS) attacks on the device itself.</t>
        </r>
      </text>
    </comment>
    <comment ref="H25" authorId="0" shapeId="0" xr:uid="{00000000-0006-0000-0B00-000003000000}">
      <text>
        <r>
          <rPr>
            <sz val="11"/>
            <rFont val="Calibri"/>
          </rPr>
          <t>The Juniper SRX Services Gateway must have the number of rollbacks set to 5 or more.</t>
        </r>
      </text>
    </comment>
    <comment ref="H111" authorId="0" shapeId="0" xr:uid="{00000000-0006-0000-0B00-000004000000}">
      <text>
        <r>
          <rPr>
            <sz val="11"/>
            <rFont val="Calibri"/>
          </rPr>
          <t>The Juniper SRX Services Gateway VPN IKE must use NIST FIPS-validated cryptography to implement encryption services for unclassified VPN traffic.</t>
        </r>
      </text>
    </comment>
    <comment ref="I111" authorId="0" shapeId="0" xr:uid="{00000000-0006-0000-0B00-000009000000}">
      <text>
        <r>
          <rPr>
            <sz val="11"/>
            <rFont val="Calibri"/>
          </rPr>
          <t>The Juniper SRX Services Gateway must use and securely configure SNMPv3 if SNMP is enabled.</t>
        </r>
      </text>
    </comment>
    <comment ref="J111" authorId="0" shapeId="0" xr:uid="{00000000-0006-0000-0B00-000005000000}">
      <text>
        <r>
          <rPr>
            <sz val="11"/>
            <rFont val="Calibri"/>
          </rPr>
          <t>For nonlocal maintenance sessions using SNMP, the Juniper SRX Services Gateway must use and securely configure SNMPv3 with SHA256 or higher to protect the integrity of maintenance and diagnostic communications.</t>
        </r>
      </text>
    </comment>
    <comment ref="K111" authorId="0" shapeId="0" xr:uid="{00000000-0006-0000-0B00-000006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L111" authorId="0" shapeId="0" xr:uid="{00000000-0006-0000-0B00-000007000000}">
      <text>
        <r>
          <rPr>
            <sz val="11"/>
            <rFont val="Calibri"/>
          </rPr>
          <t>The Juniper SRX Services Gateway must securely configure SNMPv3 with privacy options to protect the confidentiality of nonlocal maintenance and diagnostic communications using SNMP.</t>
        </r>
      </text>
    </comment>
    <comment ref="M111" authorId="0" shapeId="0" xr:uid="{00000000-0006-0000-0B00-000008000000}">
      <text>
        <r>
          <rPr>
            <sz val="11"/>
            <rFont val="Calibri"/>
          </rPr>
          <t>The Juniper SRX Services Gateway must use SSHv2 with privacy options to protect the confidentiality of maintenance and diagnostic communications for nonlocal maintenance sessions using SSH.</t>
        </r>
      </text>
    </comment>
    <comment ref="H112" authorId="0" shapeId="0" xr:uid="{00000000-0006-0000-0B00-00000A000000}">
      <text>
        <r>
          <rPr>
            <sz val="11"/>
            <rFont val="Calibri"/>
          </rPr>
          <t>The Juniper SRX Services Gateway VPN IKE must use NIST FIPS-validated cryptography to implement encryption services for unclassified VPN traffic.</t>
        </r>
      </text>
    </comment>
    <comment ref="I112" authorId="0" shapeId="0" xr:uid="{00000000-0006-0000-0B00-00000B000000}">
      <text>
        <r>
          <rPr>
            <sz val="11"/>
            <rFont val="Calibri"/>
          </rPr>
          <t>The Juniper SRX Services Gateway must securely configure SSHv2 FIPS 140-2/140-3 validated Keyed-Hash Message Authentication Code (HMAC) to protect the integrity of maintenance and diagnostic communications for nonlocal maintenance sessions.</t>
        </r>
      </text>
    </comment>
    <comment ref="J112" authorId="0" shapeId="0" xr:uid="{00000000-0006-0000-0B00-00000C000000}">
      <text>
        <r>
          <rPr>
            <sz val="11"/>
            <rFont val="Calibri"/>
          </rPr>
          <t>The Juniper SRX Services Gateway must use SSHv2 with privacy options to protect the confidentiality of maintenance and diagnostic communications for nonlocal maintenance sessions using SSH.</t>
        </r>
      </text>
    </comment>
    <comment ref="H113" authorId="0" shapeId="0" xr:uid="{00000000-0006-0000-0B00-00000D000000}">
      <text>
        <r>
          <rPr>
            <sz val="11"/>
            <rFont val="Calibri"/>
          </rPr>
          <t>The Juniper SRX Services Gateway VPN must renegotiate the IPsec security association after 8 hours or less.</t>
        </r>
      </text>
    </comment>
    <comment ref="I113" authorId="0" shapeId="0" xr:uid="{00000000-0006-0000-0B00-000018000000}">
      <text>
        <r>
          <rPr>
            <sz val="11"/>
            <rFont val="Calibri"/>
          </rPr>
          <t>The Juniper SRX Services Gateway VPN must renegotiate the IKE security association after 24 hours or less.</t>
        </r>
      </text>
    </comment>
    <comment ref="J113" authorId="0" shapeId="0" xr:uid="{00000000-0006-0000-0B00-000019000000}">
      <text>
        <r>
          <rPr>
            <sz val="11"/>
            <rFont val="Calibri"/>
          </rPr>
          <t>The Juniper SRX Services Gateway VPN must use AES256 for the IPsec proposal to protect the confidentiality of remote access sessions.</t>
        </r>
      </text>
    </comment>
    <comment ref="K113" authorId="0" shapeId="0" xr:uid="{00000000-0006-0000-0B00-00001A000000}">
      <text>
        <r>
          <rPr>
            <sz val="11"/>
            <rFont val="Calibri"/>
          </rPr>
          <t>The Juniper SRX Services Gateway VPN must use AES256 encryption for the Internet Key Exchange (IKE) proposal to protect the confidentiality of remote access sessions.</t>
        </r>
      </text>
    </comment>
    <comment ref="L113" authorId="0" shapeId="0" xr:uid="{00000000-0006-0000-0B00-00001B000000}">
      <text>
        <r>
          <rPr>
            <sz val="11"/>
            <rFont val="Calibri"/>
          </rPr>
          <t>The Juniper SRX Services Gateway VPN must be configured to use Diffie-Hellman (DH) group 15 or higher.</t>
        </r>
      </text>
    </comment>
    <comment ref="M113" authorId="0" shapeId="0" xr:uid="{00000000-0006-0000-0B00-00001C000000}">
      <text>
        <r>
          <rPr>
            <sz val="11"/>
            <rFont val="Calibri"/>
          </rPr>
          <t>The Juniper SRX Services Gateway VPN must be configured to use IPsec with SHA256 or greater to negotiate hashing to protect the integrity of remote access sessions.</t>
        </r>
      </text>
    </comment>
    <comment ref="N113" authorId="0" shapeId="0" xr:uid="{00000000-0006-0000-0B00-00000E000000}">
      <text>
        <r>
          <rPr>
            <sz val="11"/>
            <rFont val="Calibri"/>
          </rPr>
          <t>The Juniper SRX Services Gateway VPN must use Internet Key Exchange (IKE) for IPsec VPN Security Associations (SAs).</t>
        </r>
      </text>
    </comment>
    <comment ref="O113" authorId="0" shapeId="0" xr:uid="{00000000-0006-0000-0B00-00000F000000}">
      <text>
        <r>
          <rPr>
            <sz val="11"/>
            <rFont val="Calibri"/>
          </rPr>
          <t>The Juniper SRX Services Gateway VPN must not accept certificates that have been revoked when using PKI for authentication.</t>
        </r>
      </text>
    </comment>
    <comment ref="P113" authorId="0" shapeId="0" xr:uid="{00000000-0006-0000-0B00-000010000000}">
      <text>
        <r>
          <rPr>
            <sz val="11"/>
            <rFont val="Calibri"/>
          </rPr>
          <t>The Juniper SRX Services Gateway VPN must specify Perfect Forward Secrecy (PFS).</t>
        </r>
      </text>
    </comment>
    <comment ref="Q113" authorId="0" shapeId="0" xr:uid="{00000000-0006-0000-0B00-000011000000}">
      <text>
        <r>
          <rPr>
            <sz val="11"/>
            <rFont val="Calibri"/>
          </rPr>
          <t>The Juniper SRX Services Gateway VPN must use Encapsulating Security Payload (ESP) in tunnel mode.</t>
        </r>
      </text>
    </comment>
    <comment ref="R113" authorId="0" shapeId="0" xr:uid="{00000000-0006-0000-0B00-000012000000}">
      <text>
        <r>
          <rPr>
            <sz val="11"/>
            <rFont val="Calibri"/>
          </rPr>
          <t>The Juniper SRX Services Gateway VPN must use IKEv2 for IPsec VPN security associations.</t>
        </r>
      </text>
    </comment>
    <comment ref="S113" authorId="0" shapeId="0" xr:uid="{00000000-0006-0000-0B00-000013000000}">
      <text>
        <r>
          <rPr>
            <sz val="11"/>
            <rFont val="Calibri"/>
          </rPr>
          <t>The Juniper SRX Services Gateway VPN must use multifactor authentication (e.g., DoD PKI) for network access to non-privileged accounts.</t>
        </r>
      </text>
    </comment>
    <comment ref="T113" authorId="0" shapeId="0" xr:uid="{00000000-0006-0000-0B00-000014000000}">
      <text>
        <r>
          <rPr>
            <sz val="11"/>
            <rFont val="Calibri"/>
          </rPr>
          <t>The Juniper SRX Services Gateway VPN Internet Key Exchange (IKE) must be configured to use an approved Commercial Solution for Classified (CSfC) when transporting classified traffic across an unclassified network.</t>
        </r>
      </text>
    </comment>
    <comment ref="U113" authorId="0" shapeId="0" xr:uid="{00000000-0006-0000-0B00-000015000000}">
      <text>
        <r>
          <rPr>
            <sz val="11"/>
            <rFont val="Calibri"/>
          </rPr>
          <t>The Juniper SRX Services Gateway VPN must configure Internet Key Exchange (IKE) with SHA1 or greater to protect the authenticity of communications sessions.</t>
        </r>
      </text>
    </comment>
    <comment ref="V113" authorId="0" shapeId="0" xr:uid="{00000000-0006-0000-0B00-000016000000}">
      <text>
        <r>
          <rPr>
            <sz val="11"/>
            <rFont val="Calibri"/>
          </rPr>
          <t>The Juniper SRX Services Gateway VPN must only allow the use of DoD PKI established certificate authorities for verification of the establishment of protected sessions.</t>
        </r>
      </text>
    </comment>
    <comment ref="W113" authorId="0" shapeId="0" xr:uid="{00000000-0006-0000-0B00-000017000000}">
      <text>
        <r>
          <rPr>
            <sz val="11"/>
            <rFont val="Calibri"/>
          </rPr>
          <t>The Juniper SRX Services Gateway VPN must use anti-replay mechanisms for security associations.</t>
        </r>
      </text>
    </comment>
    <comment ref="H114" authorId="0" shapeId="0" xr:uid="{00000000-0006-0000-0B00-00001D000000}">
      <text>
        <r>
          <rPr>
            <sz val="11"/>
            <rFont val="Calibri"/>
          </rPr>
          <t>The Juniper SRX Services Gateway VPN must renegotiate the IPsec security association after 8 hours or less.</t>
        </r>
      </text>
    </comment>
    <comment ref="I114" authorId="0" shapeId="0" xr:uid="{00000000-0006-0000-0B00-00001E000000}">
      <text>
        <r>
          <rPr>
            <sz val="11"/>
            <rFont val="Calibri"/>
          </rPr>
          <t>The Juniper SRX Services Gateway VPN must renegotiate the IKE security association after 24 hours or less.</t>
        </r>
      </text>
    </comment>
    <comment ref="J114" authorId="0" shapeId="0" xr:uid="{00000000-0006-0000-0B00-00001F000000}">
      <text>
        <r>
          <rPr>
            <sz val="11"/>
            <rFont val="Calibri"/>
          </rPr>
          <t>The Juniper SRX Services Gateway VPN must use AES256 for the IPsec proposal to protect the confidentiality of remote access sessions.</t>
        </r>
      </text>
    </comment>
    <comment ref="K114" authorId="0" shapeId="0" xr:uid="{00000000-0006-0000-0B00-000020000000}">
      <text>
        <r>
          <rPr>
            <sz val="11"/>
            <rFont val="Calibri"/>
          </rPr>
          <t>The Juniper SRX Services Gateway VPN must use AES256 encryption for the Internet Key Exchange (IKE) proposal to protect the confidentiality of remote access sessions.</t>
        </r>
      </text>
    </comment>
    <comment ref="L114" authorId="0" shapeId="0" xr:uid="{00000000-0006-0000-0B00-000021000000}">
      <text>
        <r>
          <rPr>
            <sz val="11"/>
            <rFont val="Calibri"/>
          </rPr>
          <t>The Juniper SRX Services Gateway VPN must be configured to use Diffie-Hellman (DH) group 15 or higher.</t>
        </r>
      </text>
    </comment>
    <comment ref="M114" authorId="0" shapeId="0" xr:uid="{00000000-0006-0000-0B00-000022000000}">
      <text>
        <r>
          <rPr>
            <sz val="11"/>
            <rFont val="Calibri"/>
          </rPr>
          <t>The Juniper SRX Services Gateway VPN must be configured to use IPsec with SHA256 or greater to negotiate hashing to protect the integrity of remote access sessions.</t>
        </r>
      </text>
    </comment>
    <comment ref="N114" authorId="0" shapeId="0" xr:uid="{00000000-0006-0000-0B00-000023000000}">
      <text>
        <r>
          <rPr>
            <sz val="11"/>
            <rFont val="Calibri"/>
          </rPr>
          <t>The Juniper SRX Services Gateway VPN must use Internet Key Exchange (IKE) for IPsec VPN Security Associations (SAs).</t>
        </r>
      </text>
    </comment>
    <comment ref="O114" authorId="0" shapeId="0" xr:uid="{00000000-0006-0000-0B00-000024000000}">
      <text>
        <r>
          <rPr>
            <sz val="11"/>
            <rFont val="Calibri"/>
          </rPr>
          <t>The Juniper SRX Services Gateway VPN must specify Perfect Forward Secrecy (PFS).</t>
        </r>
      </text>
    </comment>
    <comment ref="P114" authorId="0" shapeId="0" xr:uid="{00000000-0006-0000-0B00-000025000000}">
      <text>
        <r>
          <rPr>
            <sz val="11"/>
            <rFont val="Calibri"/>
          </rPr>
          <t>The Juniper SRX Services Gateway VPN must use Encapsulating Security Payload (ESP) in tunnel mode.</t>
        </r>
      </text>
    </comment>
    <comment ref="Q114" authorId="0" shapeId="0" xr:uid="{00000000-0006-0000-0B00-000026000000}">
      <text>
        <r>
          <rPr>
            <sz val="11"/>
            <rFont val="Calibri"/>
          </rPr>
          <t>The Juniper SRX Services Gateway VPN must use IKEv2 for IPsec VPN security associations.</t>
        </r>
      </text>
    </comment>
    <comment ref="R114" authorId="0" shapeId="0" xr:uid="{00000000-0006-0000-0B00-000027000000}">
      <text>
        <r>
          <rPr>
            <sz val="11"/>
            <rFont val="Calibri"/>
          </rPr>
          <t>The Juniper SRX Services Gateway VPN Internet Key Exchange (IKE) must be configured to use an approved Commercial Solution for Classified (CSfC) when transporting classified traffic across an unclassified network.</t>
        </r>
      </text>
    </comment>
    <comment ref="S114" authorId="0" shapeId="0" xr:uid="{00000000-0006-0000-0B00-000028000000}">
      <text>
        <r>
          <rPr>
            <sz val="11"/>
            <rFont val="Calibri"/>
          </rPr>
          <t>The Juniper SRX Services Gateway VPN must configure Internet Key Exchange (IKE) with SHA1 or greater to protect the authenticity of communications sessions.</t>
        </r>
      </text>
    </comment>
    <comment ref="H123" authorId="0" shapeId="0" xr:uid="{00000000-0006-0000-0B00-000029000000}">
      <text>
        <r>
          <rPr>
            <sz val="11"/>
            <rFont val="Calibri"/>
          </rPr>
          <t>The Juniper SRX Services Gateway Firewall must generate an alert to, at a minimum, the ISSO and ISSM when unusual/unauthorized activities or conditions are detected during continuous monitoring of communications traffic as it traverses inbound or outbound  across internal security boundaries.</t>
        </r>
      </text>
    </comment>
    <comment ref="I123" authorId="0" shapeId="0" xr:uid="{00000000-0006-0000-0B00-00002A000000}">
      <text>
        <r>
          <rPr>
            <sz val="11"/>
            <rFont val="Calibri"/>
          </rPr>
          <t>The Juniper SRX Services Gateway Firewall must generate an alert that can be forwarded to, at a minimum, the ISSO and ISSM when threats identified by authoritative sources are detected.</t>
        </r>
      </text>
    </comment>
    <comment ref="J123" authorId="0" shapeId="0" xr:uid="{00000000-0006-0000-0B00-00002B000000}">
      <text>
        <r>
          <rPr>
            <sz val="11"/>
            <rFont val="Calibri"/>
          </rPr>
          <t>The Juniper SRX Services Gateway Firewall must generate an alert that can be forwarded to, at a minimum, the ISSO and ISSM when DoS incidents are detected.</t>
        </r>
      </text>
    </comment>
    <comment ref="K123" authorId="0" shapeId="0" xr:uid="{00000000-0006-0000-0B00-00002C000000}">
      <text>
        <r>
          <rPr>
            <sz val="11"/>
            <rFont val="Calibri"/>
          </rPr>
          <t>The IDPS must send an alert to, at a minimum, the ISSO and ISSM when intrusion detection events are detected that indicate a compromise or potential for compromise.</t>
        </r>
      </text>
    </comment>
    <comment ref="L123" authorId="0" shapeId="0" xr:uid="{00000000-0006-0000-0B00-00002D000000}">
      <text>
        <r>
          <rPr>
            <sz val="11"/>
            <rFont val="Calibri"/>
          </rPr>
          <t>The Juniper Networks SRX Series Gateway IDPS must generate an alert to, at a minimum, the ISSO and ISSM when root-level intrusion events that provide unauthorized privileged access are detected.</t>
        </r>
      </text>
    </comment>
    <comment ref="M123" authorId="0" shapeId="0" xr:uid="{00000000-0006-0000-0B00-00002E000000}">
      <text>
        <r>
          <rPr>
            <sz val="11"/>
            <rFont val="Calibri"/>
          </rPr>
          <t>The IDPS must send an alert to, at a minimum, the ISSO and ISSM when DoS incidents are detected.</t>
        </r>
      </text>
    </comment>
    <comment ref="N123" authorId="0" shapeId="0" xr:uid="{00000000-0006-0000-0B00-00002F000000}">
      <text>
        <r>
          <rPr>
            <sz val="11"/>
            <rFont val="Calibri"/>
          </rPr>
          <t>The Juniper Networks SRX Series Gateway IDPS must send an immediate alert to, at a minimum, the Security Control Auditor (SCA) when malicious code is detected.</t>
        </r>
      </text>
    </comment>
    <comment ref="O123" authorId="0" shapeId="0" xr:uid="{00000000-0006-0000-0B00-000030000000}">
      <text>
        <r>
          <rPr>
            <sz val="11"/>
            <rFont val="Calibri"/>
          </rPr>
          <t>The Juniper SRX Services Gateway must generate an immediate system alert message to the management console when a log processing failure is detected.</t>
        </r>
      </text>
    </comment>
    <comment ref="P123" authorId="0" shapeId="0" xr:uid="{00000000-0006-0000-0B00-000031000000}">
      <text>
        <r>
          <rPr>
            <sz val="11"/>
            <rFont val="Calibri"/>
          </rPr>
          <t>For local accounts, the Juniper SRX Services Gateway must generate an alert message to the management console and generate a log event record that can be forwarded to the ISSO and designated system administrators when local accounts are created.</t>
        </r>
      </text>
    </comment>
    <comment ref="Q123" authorId="0" shapeId="0" xr:uid="{00000000-0006-0000-0B00-000032000000}">
      <text>
        <r>
          <rPr>
            <sz val="11"/>
            <rFont val="Calibri"/>
          </rPr>
          <t>The Juniper SRX Services Gateway must generate an alert message to the management console and generate a log event record that can be forwarded to the ISSO and designated system administrators when the local accounts (i.e., the account of last resort or root account) are modified.</t>
        </r>
      </text>
    </comment>
    <comment ref="R123" authorId="0" shapeId="0" xr:uid="{00000000-0006-0000-0B00-000033000000}">
      <text>
        <r>
          <rPr>
            <sz val="11"/>
            <rFont val="Calibri"/>
          </rPr>
          <t>The Juniper SRX Services Gateway must generate an alert message to the management console and generate a log event record that can be forwarded to the ISSO and designated system administrators when accounts are disabled.</t>
        </r>
      </text>
    </comment>
    <comment ref="S123" authorId="0" shapeId="0" xr:uid="{00000000-0006-0000-0B00-000034000000}">
      <text>
        <r>
          <rPr>
            <sz val="11"/>
            <rFont val="Calibri"/>
          </rPr>
          <t>The Juniper SRX Services Gateway must generate an immediate alert message to the management console for account enabling actions.</t>
        </r>
      </text>
    </comment>
    <comment ref="T123" authorId="0" shapeId="0" xr:uid="{00000000-0006-0000-0B00-000035000000}">
      <text>
        <r>
          <rPr>
            <sz val="11"/>
            <rFont val="Calibri"/>
          </rPr>
          <t>The Juniper SRX Services Gateway must detect the addition of components and issue a priority 1 alert to the ISSM and SA, at a minimum.</t>
        </r>
      </text>
    </comment>
    <comment ref="U123" authorId="0" shapeId="0" xr:uid="{00000000-0006-0000-0B00-000036000000}">
      <text>
        <r>
          <rPr>
            <sz val="11"/>
            <rFont val="Calibri"/>
          </rPr>
          <t>The Juniper SRX Services Gateway must generate an alarm or send an alert message to the management console when a component failure is detected.</t>
        </r>
      </text>
    </comment>
    <comment ref="H238" authorId="0" shapeId="0" xr:uid="{00000000-0006-0000-0B00-000037000000}">
      <text>
        <r>
          <rPr>
            <sz val="11"/>
            <rFont val="Calibri"/>
          </rPr>
          <t>The Juniper SRX Services Gateway must be configured to use Junos 12.1 X46 or later to meet the minimum required version for DoD.</t>
        </r>
      </text>
    </comment>
    <comment ref="H240" authorId="0" shapeId="0" xr:uid="{00000000-0006-0000-0B00-000038000000}">
      <text>
        <r>
          <rPr>
            <sz val="11"/>
            <rFont val="Calibri"/>
          </rPr>
          <t>The Juniper SRX Services Gateway Firewall must disable or remove unnecessary network services and functions that are not used as part of its role in the architecture.</t>
        </r>
      </text>
    </comment>
    <comment ref="I240" authorId="0" shapeId="0" xr:uid="{00000000-0006-0000-0B00-000039000000}">
      <text>
        <r>
          <rPr>
            <sz val="11"/>
            <rFont val="Calibri"/>
          </rPr>
          <t>The Juniper SRX Services Gateway Firewall must not be configured as an NTP server since providing this network service is unrelated to the role as a firewall.</t>
        </r>
      </text>
    </comment>
    <comment ref="J240" authorId="0" shapeId="0" xr:uid="{00000000-0006-0000-0B00-00003A000000}">
      <text>
        <r>
          <rPr>
            <sz val="11"/>
            <rFont val="Calibri"/>
          </rPr>
          <t>The Juniper SRX Services Gateway Firewall must not be configured as a DNS proxy since providing this network service is unrelated to the role as a Firewall.</t>
        </r>
      </text>
    </comment>
    <comment ref="K240" authorId="0" shapeId="0" xr:uid="{00000000-0006-0000-0B00-00003B000000}">
      <text>
        <r>
          <rPr>
            <sz val="11"/>
            <rFont val="Calibri"/>
          </rPr>
          <t>The Juniper SRX Services Gateway Firewall must not be configured as a DHCP server since providing this network service is unrelated to the role as a Firewall.</t>
        </r>
      </text>
    </comment>
    <comment ref="L240" authorId="0" shapeId="0" xr:uid="{00000000-0006-0000-0B00-00003C000000}">
      <text>
        <r>
          <rPr>
            <sz val="11"/>
            <rFont val="Calibri"/>
          </rPr>
          <t>The Juniper SRX Services Gateway must disable or remove unnecessary network services and functions that are not used as part of its role in the architecture.</t>
        </r>
      </text>
    </comment>
    <comment ref="M240" authorId="0" shapeId="0" xr:uid="{00000000-0006-0000-0B00-00003D000000}">
      <text>
        <r>
          <rPr>
            <sz val="11"/>
            <rFont val="Calibri"/>
          </rPr>
          <t>The Juniper SRX Services Gateway must be configured to prohibit the use of unnecessary and/or nonsecure functions, ports, protocols, and/or services, as defined in the PPSM CAL and vulnerability assessments.</t>
        </r>
      </text>
    </comment>
    <comment ref="H241" authorId="0" shapeId="0" xr:uid="{00000000-0006-0000-0B00-00003E000000}">
      <text>
        <r>
          <rPr>
            <sz val="11"/>
            <rFont val="Calibri"/>
          </rPr>
          <t>The Juniper SRX Services Gateway Firewall must disable or remove unnecessary network services and functions that are not used as part of its role in the architecture.</t>
        </r>
      </text>
    </comment>
    <comment ref="I241" authorId="0" shapeId="0" xr:uid="{00000000-0006-0000-0B00-00003F000000}">
      <text>
        <r>
          <rPr>
            <sz val="11"/>
            <rFont val="Calibri"/>
          </rPr>
          <t>The Juniper SRX Services Gateway must disable or remove unnecessary network services and functions that are not used as part of its role in the architecture.</t>
        </r>
      </text>
    </comment>
    <comment ref="J241" authorId="0" shapeId="0" xr:uid="{00000000-0006-0000-0B00-000040000000}">
      <text>
        <r>
          <rPr>
            <sz val="11"/>
            <rFont val="Calibri"/>
          </rPr>
          <t>The Juniper SRX Services Gateway must be configured to prohibit the use of unnecessary and/or nonsecure functions, ports, protocols, and/or services, as defined in the PPSM CAL and vulnerability assessments.</t>
        </r>
      </text>
    </comment>
    <comment ref="H276" authorId="0" shapeId="0" xr:uid="{00000000-0006-0000-0B00-000041000000}">
      <text>
        <r>
          <rPr>
            <sz val="11"/>
            <rFont val="Calibri"/>
          </rPr>
          <t>The Juniper SRX Services Gateway Firewall must continuously monitor all inbound communications traffic for unusual/unauthorized activities or conditions.</t>
        </r>
      </text>
    </comment>
    <comment ref="I276" authorId="0" shapeId="0" xr:uid="{00000000-0006-0000-0B00-00004D000000}">
      <text>
        <r>
          <rPr>
            <sz val="11"/>
            <rFont val="Calibri"/>
          </rPr>
          <t>The Juniper SRX Services Gateway Firewall must continuously monitor outbound communications traffic for unusual/unauthorized activities or conditions.</t>
        </r>
      </text>
    </comment>
    <comment ref="J276" authorId="0" shapeId="0" xr:uid="{00000000-0006-0000-0B00-00004E000000}">
      <text>
        <r>
          <rPr>
            <sz val="11"/>
            <rFont val="Calibri"/>
          </rPr>
          <t>The Juniper SRX Services Gateway Firewall must generate an alert that can be forwarded to, at a minimum, the ISSO and ISSM when DoS incidents are detected.</t>
        </r>
      </text>
    </comment>
    <comment ref="K276" authorId="0" shapeId="0" xr:uid="{00000000-0006-0000-0B00-00004F000000}">
      <text>
        <r>
          <rPr>
            <sz val="11"/>
            <rFont val="Calibri"/>
          </rPr>
          <t>The Juniper Networks SRX Series Gateway IDPS must provide audit record generation capability for detecting events based on implementation of policy filters, rules, and signatures.</t>
        </r>
      </text>
    </comment>
    <comment ref="L276" authorId="0" shapeId="0" xr:uid="{00000000-0006-0000-0B00-000050000000}">
      <text>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text>
    </comment>
    <comment ref="M276" authorId="0" shapeId="0" xr:uid="{00000000-0006-0000-0B00-000051000000}">
      <text>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text>
    </comment>
    <comment ref="N276" authorId="0" shapeId="0" xr:uid="{00000000-0006-0000-0B00-000052000000}">
      <text>
        <r>
          <rPr>
            <sz val="11"/>
            <rFont val="Calibri"/>
          </rPr>
          <t>The Juniper Networks SRX Series Gateway IDPS must provide audit record generation with a configurable severity and escalation level capability.</t>
        </r>
      </text>
    </comment>
    <comment ref="O276" authorId="0" shapeId="0" xr:uid="{00000000-0006-0000-0B00-000053000000}">
      <text>
        <r>
          <rPr>
            <sz val="11"/>
            <rFont val="Calibri"/>
          </rPr>
          <t>The Juniper Networks SRX Series Gateway IDPS must detect, at a minimum, mobile code that is unsigned or exhibiting unusual behavior, has not undergone a risk assessment, or is prohibited for use based on a risk assessment.</t>
        </r>
      </text>
    </comment>
    <comment ref="P276" authorId="0" shapeId="0" xr:uid="{00000000-0006-0000-0B00-000054000000}">
      <text>
        <r>
          <rPr>
            <sz val="11"/>
            <rFont val="Calibri"/>
          </rPr>
          <t>The Juniper Networks SRX Series Gateway IDPS must block any prohibited mobile code at the enclave boundary when it is detected.</t>
        </r>
      </text>
    </comment>
    <comment ref="Q276" authorId="0" shapeId="0" xr:uid="{00000000-0006-0000-0B00-000055000000}">
      <text>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text>
    </comment>
    <comment ref="R276" authorId="0" shapeId="0" xr:uid="{00000000-0006-0000-0B00-000056000000}">
      <text>
        <r>
          <rPr>
            <sz val="11"/>
            <rFont val="Calibri"/>
          </rPr>
          <t>To protect against unauthorized data mining, the Juniper Networks SRX Series Gateway IDPS must prevent code injection attacks launched against data storage objects, including, at a minimum, databases, database records, queries, and fields.</t>
        </r>
      </text>
    </comment>
    <comment ref="S276" authorId="0" shapeId="0" xr:uid="{00000000-0006-0000-0B00-000057000000}">
      <text>
        <r>
          <rPr>
            <sz val="11"/>
            <rFont val="Calibri"/>
          </rPr>
          <t>To protect against unauthorized data mining, the Juniper Networks SRX Series Gateway IDPS must prevent code injection attacks launched against application objects, including, at a minimum, application URLs and application code.</t>
        </r>
      </text>
    </comment>
    <comment ref="T276" authorId="0" shapeId="0" xr:uid="{00000000-0006-0000-0B00-000058000000}">
      <text>
        <r>
          <rPr>
            <sz val="11"/>
            <rFont val="Calibri"/>
          </rPr>
          <t>To protect against unauthorized data mining, the Juniper Networks SRX Series Gateway IDPS must prevent SQL injection attacks launched against data storage objects, including, at a minimum, databases, database records, and database fields.</t>
        </r>
      </text>
    </comment>
    <comment ref="U276" authorId="0" shapeId="0" xr:uid="{00000000-0006-0000-0B00-000059000000}">
      <text>
        <r>
          <rPr>
            <sz val="11"/>
            <rFont val="Calibri"/>
          </rPr>
          <t>To protect against unauthorized data mining, the Juniper Networks SRX Series Gateway IDPS must detect code injection attacks launched against data storage objects, including, at a minimum, databases, database records, queries, and fields.</t>
        </r>
      </text>
    </comment>
    <comment ref="V276" authorId="0" shapeId="0" xr:uid="{00000000-0006-0000-0B00-00005A000000}">
      <text>
        <r>
          <rPr>
            <sz val="11"/>
            <rFont val="Calibri"/>
          </rPr>
          <t>To protect against unauthorized data mining, the Juniper Networks SRX Series Gateway IDPS must detect code injection attacks launched against application objects, including, at a minimum, application URLs and application code.</t>
        </r>
      </text>
    </comment>
    <comment ref="W276" authorId="0" shapeId="0" xr:uid="{00000000-0006-0000-0B00-00005B000000}">
      <text>
        <r>
          <rPr>
            <sz val="11"/>
            <rFont val="Calibri"/>
          </rPr>
          <t>To protect against unauthorized data mining, the Juniper Networks SRX Series Gateway IDPS must detect SQL injection attacks launched against data storage objects, including, at a minimum, databases, database records, and database fields.</t>
        </r>
      </text>
    </comment>
    <comment ref="X276" authorId="0" shapeId="0" xr:uid="{00000000-0006-0000-0B00-000042000000}">
      <text>
        <r>
          <rPr>
            <sz val="11"/>
            <rFont val="Calibri"/>
          </rPr>
          <t>The IDPS must send an alert to, at a minimum, the ISSO and ISSM when intrusion detection events are detected that indicate a compromise or potential for compromise.</t>
        </r>
      </text>
    </comment>
    <comment ref="Y276" authorId="0" shapeId="0" xr:uid="{00000000-0006-0000-0B00-000043000000}">
      <text>
        <r>
          <rPr>
            <sz val="11"/>
            <rFont val="Calibri"/>
          </rPr>
          <t>The Juniper Networks SRX Series Gateway IDPS must generate an alert to, at a minimum, the ISSO and ISSM when root-level intrusion events that provide unauthorized privileged access are detected.</t>
        </r>
      </text>
    </comment>
    <comment ref="Z276" authorId="0" shapeId="0" xr:uid="{00000000-0006-0000-0B00-000044000000}">
      <text>
        <r>
          <rPr>
            <sz val="11"/>
            <rFont val="Calibri"/>
          </rPr>
          <t>The IDPS must send an alert to, at a minimum, the ISSO and ISSM when DoS incidents are detected.</t>
        </r>
      </text>
    </comment>
    <comment ref="AA276" authorId="0" shapeId="0" xr:uid="{00000000-0006-0000-0B00-000045000000}">
      <text>
        <r>
          <rPr>
            <sz val="11"/>
            <rFont val="Calibri"/>
          </rPr>
          <t>The Juniper Networks SRX Series Gateway IDPS must automatically install updates to signature definitions.</t>
        </r>
      </text>
    </comment>
    <comment ref="AB276" authorId="0" shapeId="0" xr:uid="{00000000-0006-0000-0B00-000046000000}">
      <text>
        <r>
          <rPr>
            <sz val="11"/>
            <rFont val="Calibri"/>
          </rPr>
          <t>The Juniper Networks SRX Series Gateway IDPS must perform real-time monitoring of files from external sources at network entry/exit points.</t>
        </r>
      </text>
    </comment>
    <comment ref="AC276" authorId="0" shapeId="0" xr:uid="{00000000-0006-0000-0B00-000047000000}">
      <text>
        <r>
          <rPr>
            <sz val="11"/>
            <rFont val="Calibri"/>
          </rPr>
          <t>The Juniper Networks SRX Series Gateway IDPS must drop packets or disconnect the connection when malicious code is detected.</t>
        </r>
      </text>
    </comment>
    <comment ref="AD276" authorId="0" shapeId="0" xr:uid="{00000000-0006-0000-0B00-000048000000}">
      <text>
        <r>
          <rPr>
            <sz val="11"/>
            <rFont val="Calibri"/>
          </rPr>
          <t>The Juniper Networks SRX Series Gateway IDPS must send an immediate alert to, at a minimum, the Security Control Auditor (SCA) when malicious code is detected.</t>
        </r>
      </text>
    </comment>
    <comment ref="AE276" authorId="0" shapeId="0" xr:uid="{00000000-0006-0000-0B00-000049000000}">
      <text>
        <r>
          <rPr>
            <sz val="11"/>
            <rFont val="Calibri"/>
          </rPr>
          <t>The Juniper Networks SRX Series Gateway IDPS must have only active Juniper Networks licenses.</t>
        </r>
      </text>
    </comment>
    <comment ref="AF276" authorId="0" shapeId="0" xr:uid="{00000000-0006-0000-0B00-00004A000000}">
      <text>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text>
    </comment>
    <comment ref="AG276" authorId="0" shapeId="0" xr:uid="{00000000-0006-0000-0B00-00004B000000}">
      <text>
        <r>
          <rPr>
            <sz val="11"/>
            <rFont val="Calibri"/>
          </rPr>
          <t>The Juniper SRX Services Gateway VPN device also fulfills the role of IDPS in the architecture, the device must inspect the VPN traffic in compliance with DoD IDPS requirements.</t>
        </r>
      </text>
    </comment>
    <comment ref="AH276" authorId="0" shapeId="0" xr:uid="{00000000-0006-0000-0B00-00004C000000}">
      <text>
        <r>
          <rPr>
            <sz val="11"/>
            <rFont val="Calibri"/>
          </rPr>
          <t>If IDPS inspection is performed separately from the Juniper SRX Services Gateway VPN device, the VPN must route sessions to an IDPS for inspection.</t>
        </r>
      </text>
    </comment>
    <comment ref="H279" authorId="0" shapeId="0" xr:uid="{00000000-0006-0000-0B00-00005C000000}">
      <text>
        <r>
          <rPr>
            <sz val="11"/>
            <rFont val="Calibri"/>
          </rPr>
          <t>The Juniper SRX Services Gateway Firewall must continuously monitor all inbound communications traffic for unusual/unauthorized activities or conditions.</t>
        </r>
      </text>
    </comment>
    <comment ref="I279" authorId="0" shapeId="0" xr:uid="{00000000-0006-0000-0B00-00005D000000}">
      <text>
        <r>
          <rPr>
            <sz val="11"/>
            <rFont val="Calibri"/>
          </rPr>
          <t>The Juniper SRX Services Gateway Firewall must continuously monitor outbound communications traffic for unusual/unauthorized activities or conditions.</t>
        </r>
      </text>
    </comment>
    <comment ref="J279" authorId="0" shapeId="0" xr:uid="{00000000-0006-0000-0B00-00005E000000}">
      <text>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text>
    </comment>
    <comment ref="K279" authorId="0" shapeId="0" xr:uid="{00000000-0006-0000-0B00-00005F000000}">
      <text>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text>
    </comment>
    <comment ref="L279" authorId="0" shapeId="0" xr:uid="{00000000-0006-0000-0B00-000060000000}">
      <text>
        <r>
          <rPr>
            <sz val="11"/>
            <rFont val="Calibri"/>
          </rPr>
          <t>The Juniper Networks SRX Series Gateway IDPS must detect, at a minimum, mobile code that is unsigned or exhibiting unusual behavior, has not undergone a risk assessment, or is prohibited for use based on a risk assessment.</t>
        </r>
      </text>
    </comment>
    <comment ref="M279" authorId="0" shapeId="0" xr:uid="{00000000-0006-0000-0B00-000061000000}">
      <text>
        <r>
          <rPr>
            <sz val="11"/>
            <rFont val="Calibri"/>
          </rPr>
          <t>The Juniper Networks SRX Series Gateway IDPS must block any prohibited mobile code at the enclave boundary when it is detected.</t>
        </r>
      </text>
    </comment>
    <comment ref="N279" authorId="0" shapeId="0" xr:uid="{00000000-0006-0000-0B00-000062000000}">
      <text>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text>
    </comment>
    <comment ref="O279" authorId="0" shapeId="0" xr:uid="{00000000-0006-0000-0B00-000063000000}">
      <text>
        <r>
          <rPr>
            <sz val="11"/>
            <rFont val="Calibri"/>
          </rPr>
          <t>To protect against unauthorized data mining, the Juniper Networks SRX Series Gateway IDPS must prevent code injection attacks launched against data storage objects, including, at a minimum, databases, database records, queries, and fields.</t>
        </r>
      </text>
    </comment>
    <comment ref="P279" authorId="0" shapeId="0" xr:uid="{00000000-0006-0000-0B00-000064000000}">
      <text>
        <r>
          <rPr>
            <sz val="11"/>
            <rFont val="Calibri"/>
          </rPr>
          <t>To protect against unauthorized data mining, the Juniper Networks SRX Series Gateway IDPS must prevent code injection attacks launched against application objects, including, at a minimum, application URLs and application code.</t>
        </r>
      </text>
    </comment>
    <comment ref="Q279" authorId="0" shapeId="0" xr:uid="{00000000-0006-0000-0B00-000065000000}">
      <text>
        <r>
          <rPr>
            <sz val="11"/>
            <rFont val="Calibri"/>
          </rPr>
          <t>To protect against unauthorized data mining, the Juniper Networks SRX Series Gateway IDPS must prevent SQL injection attacks launched against data storage objects, including, at a minimum, databases, database records, and database fields.</t>
        </r>
      </text>
    </comment>
    <comment ref="R279" authorId="0" shapeId="0" xr:uid="{00000000-0006-0000-0B00-000066000000}">
      <text>
        <r>
          <rPr>
            <sz val="11"/>
            <rFont val="Calibri"/>
          </rPr>
          <t>To protect against unauthorized data mining, the Juniper Networks SRX Series Gateway IDPS must detect code injection attacks launched against data storage objects, including, at a minimum, databases, database records, queries, and fields.</t>
        </r>
      </text>
    </comment>
    <comment ref="S279" authorId="0" shapeId="0" xr:uid="{00000000-0006-0000-0B00-000067000000}">
      <text>
        <r>
          <rPr>
            <sz val="11"/>
            <rFont val="Calibri"/>
          </rPr>
          <t>To protect against unauthorized data mining, the Juniper Networks SRX Series Gateway IDPS must detect code injection attacks launched against application objects, including, at a minimum, application URLs and application code.</t>
        </r>
      </text>
    </comment>
    <comment ref="T279" authorId="0" shapeId="0" xr:uid="{00000000-0006-0000-0B00-000068000000}">
      <text>
        <r>
          <rPr>
            <sz val="11"/>
            <rFont val="Calibri"/>
          </rPr>
          <t>To protect against unauthorized data mining, the Juniper Networks SRX Series Gateway IDPS must detect SQL injection attacks launched against data storage objects, including, at a minimum, databases, database records, and database fields.</t>
        </r>
      </text>
    </comment>
    <comment ref="U279" authorId="0" shapeId="0" xr:uid="{00000000-0006-0000-0B00-000069000000}">
      <text>
        <r>
          <rPr>
            <sz val="11"/>
            <rFont val="Calibri"/>
          </rPr>
          <t>The Juniper Networks SRX Series Gateway IDPS must automatically install updates to signature definitions.</t>
        </r>
      </text>
    </comment>
    <comment ref="V279" authorId="0" shapeId="0" xr:uid="{00000000-0006-0000-0B00-00006A000000}">
      <text>
        <r>
          <rPr>
            <sz val="11"/>
            <rFont val="Calibri"/>
          </rPr>
          <t>The Juniper Networks SRX Series Gateway IDPS must perform real-time monitoring of files from external sources at network entry/exit points.</t>
        </r>
      </text>
    </comment>
    <comment ref="W279" authorId="0" shapeId="0" xr:uid="{00000000-0006-0000-0B00-00006B000000}">
      <text>
        <r>
          <rPr>
            <sz val="11"/>
            <rFont val="Calibri"/>
          </rPr>
          <t>The Juniper Networks SRX Series Gateway IDPS must drop packets or disconnect the connection when malicious code is detected.</t>
        </r>
      </text>
    </comment>
    <comment ref="X279" authorId="0" shapeId="0" xr:uid="{00000000-0006-0000-0B00-00006C000000}">
      <text>
        <r>
          <rPr>
            <sz val="11"/>
            <rFont val="Calibri"/>
          </rPr>
          <t>The Juniper Networks SRX Series Gateway IDPS must have only active Juniper Networks licenses.</t>
        </r>
      </text>
    </comment>
    <comment ref="Y279" authorId="0" shapeId="0" xr:uid="{00000000-0006-0000-0B00-00006D000000}">
      <text>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text>
    </comment>
    <comment ref="Z279" authorId="0" shapeId="0" xr:uid="{00000000-0006-0000-0B00-00006E000000}">
      <text>
        <r>
          <rPr>
            <sz val="11"/>
            <rFont val="Calibri"/>
          </rPr>
          <t>The Juniper SRX Services Gateway VPN device also fulfills the role of IDPS in the architecture, the device must inspect the VPN traffic in compliance with DoD IDPS requirements.</t>
        </r>
      </text>
    </comment>
    <comment ref="AA279" authorId="0" shapeId="0" xr:uid="{00000000-0006-0000-0B00-00006F000000}">
      <text>
        <r>
          <rPr>
            <sz val="11"/>
            <rFont val="Calibri"/>
          </rPr>
          <t>If IDPS inspection is performed separately from the Juniper SRX Services Gateway VPN device, the VPN must route sessions to an IDPS for inspection.</t>
        </r>
      </text>
    </comment>
    <comment ref="H304" authorId="0" shapeId="0" xr:uid="{00000000-0006-0000-0B00-000070000000}">
      <text>
        <r>
          <rPr>
            <sz val="11"/>
            <rFont val="Calibri"/>
          </rPr>
          <t>For User Role Firewalls, the Juniper SRX Services Gateway Firewall must employ user attribute-based security policies to enforce approved authorizations for logical access to information and system resources.</t>
        </r>
      </text>
    </comment>
    <comment ref="I304" authorId="0" shapeId="0" xr:uid="{00000000-0006-0000-0B00-000071000000}">
      <text>
        <r>
          <rPr>
            <sz val="11"/>
            <rFont val="Calibri"/>
          </rPr>
          <t>The Juniper SRX Services Gateway must enforce the assigned privilege level for each administrator and authorizations for access to all commands by assigning a login class to all AAA-authenticated users.</t>
        </r>
      </text>
    </comment>
    <comment ref="J304" authorId="0" shapeId="0" xr:uid="{00000000-0006-0000-0B00-000072000000}">
      <text>
        <r>
          <rPr>
            <sz val="11"/>
            <rFont val="Calibri"/>
          </rPr>
          <t>The Juniper SRX Services Gateway must implement logon roles to ensure only authorized roles are allowed to install software and updates.</t>
        </r>
      </text>
    </comment>
    <comment ref="H305" authorId="0" shapeId="0" xr:uid="{00000000-0006-0000-0B00-000073000000}">
      <text>
        <r>
          <rPr>
            <sz val="11"/>
            <rFont val="Calibri"/>
          </rPr>
          <t>For nonlocal maintenance sessions, the Juniper SRX Services Gateway must remove or explicitly deny the use of nonsecure protocols.</t>
        </r>
      </text>
    </comment>
    <comment ref="I305" authorId="0" shapeId="0" xr:uid="{00000000-0006-0000-0B00-000074000000}">
      <text>
        <r>
          <rPr>
            <sz val="11"/>
            <rFont val="Calibri"/>
          </rPr>
          <t>The Juniper SRX Services Gateway must ensure access to start a UNIX-level shell is restricted to only the root account.</t>
        </r>
      </text>
    </comment>
    <comment ref="J305" authorId="0" shapeId="0" xr:uid="{00000000-0006-0000-0B00-000075000000}">
      <text>
        <r>
          <rPr>
            <sz val="11"/>
            <rFont val="Calibri"/>
          </rPr>
          <t>The Juniper SRX Services Gateway must be configured with only one local user account to be used as the account of last resort.</t>
        </r>
      </text>
    </comment>
    <comment ref="K305" authorId="0" shapeId="0" xr:uid="{00000000-0006-0000-0B00-000076000000}">
      <text>
        <r>
          <rPr>
            <sz val="11"/>
            <rFont val="Calibri"/>
          </rPr>
          <t>For local accounts using password authentication (i.e., the root account and the account of last resort), the Juniper SRX Services Gateway must enforce a minimum 15-character password length.</t>
        </r>
      </text>
    </comment>
    <comment ref="L305" authorId="0" shapeId="0" xr:uid="{00000000-0006-0000-0B00-000077000000}">
      <text>
        <r>
          <rPr>
            <sz val="11"/>
            <rFont val="Calibri"/>
          </rPr>
          <t>For local accounts using password authentication (i.e., the root account and the account of last resort), the Juniper SRX Services Gateway must enforce password complexity by setting the password change type to character sets.</t>
        </r>
      </text>
    </comment>
    <comment ref="M305" authorId="0" shapeId="0" xr:uid="{00000000-0006-0000-0B00-000078000000}">
      <text>
        <r>
          <rPr>
            <sz val="11"/>
            <rFont val="Calibri"/>
          </rPr>
          <t>For local accounts using password authentication (i.e., the root account and the account of last resort), the Juniper SRX Services Gateway must enforce password complexity by requiring at least one uppercase character be used.</t>
        </r>
      </text>
    </comment>
    <comment ref="N305" authorId="0" shapeId="0" xr:uid="{00000000-0006-0000-0B00-000079000000}">
      <text>
        <r>
          <rPr>
            <sz val="11"/>
            <rFont val="Calibri"/>
          </rPr>
          <t>For local accounts using password authentication (i.e., the root account and the account of last resort), the Juniper SRX Services Gateway must enforce password complexity by requiring at least one lowercase character be used.</t>
        </r>
      </text>
    </comment>
    <comment ref="O305" authorId="0" shapeId="0" xr:uid="{00000000-0006-0000-0B00-00007A000000}">
      <text>
        <r>
          <rPr>
            <sz val="11"/>
            <rFont val="Calibri"/>
          </rPr>
          <t>For local accounts using password authentication (i.e., the root account and the account of last resort), the Juniper SRX Services Gateway must enforce password complexity by requiring at least one numeric character be used.</t>
        </r>
      </text>
    </comment>
    <comment ref="P305" authorId="0" shapeId="0" xr:uid="{00000000-0006-0000-0B00-00007B000000}">
      <text>
        <r>
          <rPr>
            <sz val="11"/>
            <rFont val="Calibri"/>
          </rPr>
          <t>For local accounts using password authentication (i.e., the root account and the account of last resort), the Juniper SRX Services Gateway must enforce password complexity by requiring at least one special character be used.</t>
        </r>
      </text>
    </comment>
    <comment ref="Q305" authorId="0" shapeId="0" xr:uid="{00000000-0006-0000-0B00-00007C000000}">
      <text>
        <r>
          <rPr>
            <sz val="11"/>
            <rFont val="Calibri"/>
          </rPr>
          <t>The Juniper SRX Services Gateway must use the SHA256 or later protocol for password authentication for local accounts using password authentication (i.e., the root account and the account of last resort).</t>
        </r>
      </text>
    </comment>
    <comment ref="R305" authorId="0" shapeId="0" xr:uid="{00000000-0006-0000-0B00-00007D000000}">
      <text>
        <r>
          <rPr>
            <sz val="11"/>
            <rFont val="Calibri"/>
          </rPr>
          <t>For nonlocal maintenance sessions, the Juniper SRX Services Gateway must ensure only zones where management functionality is desired have host-inbound-traffic system-services configured.</t>
        </r>
      </text>
    </comment>
    <comment ref="S305" authorId="0" shapeId="0" xr:uid="{00000000-0006-0000-0B00-00007E000000}">
      <text>
        <r>
          <rPr>
            <sz val="11"/>
            <rFont val="Calibri"/>
          </rPr>
          <t>For nonlocal maintenance sessions, the Juniper SRX Services Gateway must explicitly deny the use of J-Web.</t>
        </r>
      </text>
    </comment>
    <comment ref="H307" authorId="0" shapeId="0" xr:uid="{00000000-0006-0000-0B00-00007F000000}">
      <text>
        <r>
          <rPr>
            <sz val="11"/>
            <rFont val="Calibri"/>
          </rPr>
          <t>The Juniper SRX Services Gateway must generate log records when changes are made to administrator privileges.</t>
        </r>
      </text>
    </comment>
    <comment ref="I307" authorId="0" shapeId="0" xr:uid="{00000000-0006-0000-0B00-000080000000}">
      <text>
        <r>
          <rPr>
            <sz val="11"/>
            <rFont val="Calibri"/>
          </rPr>
          <t>The Juniper SRX Services Gateway must generate log records when administrator privileges are deleted.</t>
        </r>
      </text>
    </comment>
    <comment ref="H355" authorId="0" shapeId="0" xr:uid="{00000000-0006-0000-0B00-000081000000}">
      <text>
        <r>
          <rPr>
            <sz val="11"/>
            <rFont val="Calibri"/>
          </rPr>
          <t>The Juniper SRX Services Gateway must generate log records when firewall filters, security screens and security policies are invoked and the traffic is denied or restricted.</t>
        </r>
      </text>
    </comment>
    <comment ref="I355" authorId="0" shapeId="0" xr:uid="{00000000-0006-0000-0B00-000082000000}">
      <text>
        <r>
          <rPr>
            <sz val="11"/>
            <rFont val="Calibri"/>
          </rPr>
          <t>The Juniper SRX Services Gateway Firewall must generate audit records when unsuccessful attempts to access security zones occur.</t>
        </r>
      </text>
    </comment>
    <comment ref="J355" authorId="0" shapeId="0" xr:uid="{00000000-0006-0000-0B00-000083000000}">
      <text>
        <r>
          <rPr>
            <sz val="11"/>
            <rFont val="Calibri"/>
          </rPr>
          <t>The Juniper SRX Services Gateway Firewall must be configured to support centralized management and configuration of the audit log.</t>
        </r>
      </text>
    </comment>
    <comment ref="K355" authorId="0" shapeId="0" xr:uid="{00000000-0006-0000-0B00-000084000000}">
      <text>
        <r>
          <rPr>
            <sz val="11"/>
            <rFont val="Calibri"/>
          </rPr>
          <t>In the event that communications with the Syslog server is lost, the Juniper SRX Services Gateway must continue to queue traffic log records locally.</t>
        </r>
      </text>
    </comment>
    <comment ref="L355" authorId="0" shapeId="0" xr:uid="{00000000-0006-0000-0B00-000085000000}">
      <text>
        <r>
          <rPr>
            <sz val="11"/>
            <rFont val="Calibri"/>
          </rPr>
          <t>The Juniper Networks SRX Series Gateway IDPS must provide audit record generation capability for detecting events based on implementation of policy filters, rules, and signatures.</t>
        </r>
      </text>
    </comment>
    <comment ref="M355" authorId="0" shapeId="0" xr:uid="{00000000-0006-0000-0B00-000086000000}">
      <text>
        <r>
          <rPr>
            <sz val="11"/>
            <rFont val="Calibri"/>
          </rPr>
          <t>The Juniper Networks SRX Series Gateway IDPS must provide audit record generation with a configurable severity and escalation level capability.</t>
        </r>
      </text>
    </comment>
    <comment ref="N355" authorId="0" shapeId="0" xr:uid="{00000000-0006-0000-0B00-000087000000}">
      <text>
        <r>
          <rPr>
            <sz val="11"/>
            <rFont val="Calibri"/>
          </rPr>
          <t>For local accounts created on the device, the Juniper SRX Services Gateway must automatically generate log records for account creation events.</t>
        </r>
      </text>
    </comment>
    <comment ref="O355" authorId="0" shapeId="0" xr:uid="{00000000-0006-0000-0B00-000088000000}">
      <text>
        <r>
          <rPr>
            <sz val="11"/>
            <rFont val="Calibri"/>
          </rPr>
          <t>For local accounts created on the device, the Juniper SRX Services Gateway must automatically generate log records for account modification events.</t>
        </r>
      </text>
    </comment>
    <comment ref="P355" authorId="0" shapeId="0" xr:uid="{00000000-0006-0000-0B00-000089000000}">
      <text>
        <r>
          <rPr>
            <sz val="11"/>
            <rFont val="Calibri"/>
          </rPr>
          <t>For local accounts created on the device, the Juniper SRX Services Gateway must automatically generate log records for account disabling events.</t>
        </r>
      </text>
    </comment>
    <comment ref="Q355" authorId="0" shapeId="0" xr:uid="{00000000-0006-0000-0B00-00008A000000}">
      <text>
        <r>
          <rPr>
            <sz val="11"/>
            <rFont val="Calibri"/>
          </rPr>
          <t>For local accounts created on the device, the Juniper SRX Services Gateway must automatically generate log records for account removal events.</t>
        </r>
      </text>
    </comment>
    <comment ref="R355" authorId="0" shapeId="0" xr:uid="{00000000-0006-0000-0B00-00008B000000}">
      <text>
        <r>
          <rPr>
            <sz val="11"/>
            <rFont val="Calibri"/>
          </rPr>
          <t>The Juniper SRX Services Gateway must automatically generate a log event when accounts are enabled.</t>
        </r>
      </text>
    </comment>
    <comment ref="S355" authorId="0" shapeId="0" xr:uid="{00000000-0006-0000-0B00-00008C000000}">
      <text>
        <r>
          <rPr>
            <sz val="11"/>
            <rFont val="Calibri"/>
          </rPr>
          <t>The Juniper SRX Services Gateway must generate log records when successful attempts to configure the device and use commands occur.</t>
        </r>
      </text>
    </comment>
    <comment ref="T355" authorId="0" shapeId="0" xr:uid="{00000000-0006-0000-0B00-00008D000000}">
      <text>
        <r>
          <rPr>
            <sz val="11"/>
            <rFont val="Calibri"/>
          </rPr>
          <t>The Juniper SRX Services Gateway must generate log records when changes are made to administrator privileges.</t>
        </r>
      </text>
    </comment>
    <comment ref="U355" authorId="0" shapeId="0" xr:uid="{00000000-0006-0000-0B00-00008E000000}">
      <text>
        <r>
          <rPr>
            <sz val="11"/>
            <rFont val="Calibri"/>
          </rPr>
          <t>The Juniper SRX Services Gateway must generate log records when administrator privileges are deleted.</t>
        </r>
      </text>
    </comment>
    <comment ref="V355" authorId="0" shapeId="0" xr:uid="{00000000-0006-0000-0B00-00008F000000}">
      <text>
        <r>
          <rPr>
            <sz val="11"/>
            <rFont val="Calibri"/>
          </rPr>
          <t>The Juniper SRX Services Gateway must generate log records when logon events occur.</t>
        </r>
      </text>
    </comment>
    <comment ref="W355" authorId="0" shapeId="0" xr:uid="{00000000-0006-0000-0B00-000090000000}">
      <text>
        <r>
          <rPr>
            <sz val="11"/>
            <rFont val="Calibri"/>
          </rPr>
          <t>The Juniper SRX Services Gateway must generate log records when privileged commands are executed.</t>
        </r>
      </text>
    </comment>
    <comment ref="X355" authorId="0" shapeId="0" xr:uid="{00000000-0006-0000-0B00-000091000000}">
      <text>
        <r>
          <rPr>
            <sz val="11"/>
            <rFont val="Calibri"/>
          </rPr>
          <t>The Juniper SRX Services Gateway must generate log records when concurrent logons from different workstations occur.</t>
        </r>
      </text>
    </comment>
    <comment ref="Y355" authorId="0" shapeId="0" xr:uid="{00000000-0006-0000-0B00-000092000000}">
      <text>
        <r>
          <rPr>
            <sz val="11"/>
            <rFont val="Calibri"/>
          </rPr>
          <t>The Juniper SRX Services Gateway must generate log records containing the full-text recording of privileged commands.</t>
        </r>
      </text>
    </comment>
    <comment ref="Z355" authorId="0" shapeId="0" xr:uid="{00000000-0006-0000-0B00-000093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AA355" authorId="0" shapeId="0" xr:uid="{00000000-0006-0000-0B00-000094000000}">
      <text>
        <r>
          <rPr>
            <sz val="11"/>
            <rFont val="Calibri"/>
          </rPr>
          <t>The Juniper SRX Services Gateway must record time stamps for log records using Coordinated Universal Time (UTC).</t>
        </r>
      </text>
    </comment>
    <comment ref="AB355" authorId="0" shapeId="0" xr:uid="{00000000-0006-0000-0B00-000095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AC355" authorId="0" shapeId="0" xr:uid="{00000000-0006-0000-0B00-000096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AD355" authorId="0" shapeId="0" xr:uid="{00000000-0006-0000-0B00-000097000000}">
      <text>
        <r>
          <rPr>
            <sz val="11"/>
            <rFont val="Calibri"/>
          </rPr>
          <t>In the event that communications with the events server is lost, the Juniper SRX Services Gateway must continue to queue log records locally.</t>
        </r>
      </text>
    </comment>
    <comment ref="AE355" authorId="0" shapeId="0" xr:uid="{00000000-0006-0000-0B00-000098000000}">
      <text>
        <r>
          <rPr>
            <sz val="11"/>
            <rFont val="Calibri"/>
          </rPr>
          <t>The Juniper SRX Services Gateway must be configured to use a centralized authentication server to authenticate privileged users for remote and nonlocal access for device management.</t>
        </r>
      </text>
    </comment>
    <comment ref="H356" authorId="0" shapeId="0" xr:uid="{00000000-0006-0000-0B00-000099000000}">
      <text>
        <r>
          <rPr>
            <sz val="11"/>
            <rFont val="Calibri"/>
          </rPr>
          <t>The Juniper SRX Services Gateway Firewall must be configured to support centralized management and configuration of the audit log.</t>
        </r>
      </text>
    </comment>
    <comment ref="I356" authorId="0" shapeId="0" xr:uid="{00000000-0006-0000-0B00-00009A000000}">
      <text>
        <r>
          <rPr>
            <sz val="11"/>
            <rFont val="Calibri"/>
          </rPr>
          <t>In the event that communications with the Syslog server is lost, the Juniper SRX Services Gateway must continue to queue traffic log records locally.</t>
        </r>
      </text>
    </comment>
    <comment ref="J356" authorId="0" shapeId="0" xr:uid="{00000000-0006-0000-0B00-00009B000000}">
      <text>
        <r>
          <rPr>
            <sz val="11"/>
            <rFont val="Calibri"/>
          </rPr>
          <t>The Juniper SRX Services Gateway must generate log records when successful attempts to configure the device and use commands occur.</t>
        </r>
      </text>
    </comment>
    <comment ref="K356" authorId="0" shapeId="0" xr:uid="{00000000-0006-0000-0B00-00009C000000}">
      <text>
        <r>
          <rPr>
            <sz val="11"/>
            <rFont val="Calibri"/>
          </rPr>
          <t>The Juniper SRX Services Gateway must generate log records when logon events occur.</t>
        </r>
      </text>
    </comment>
    <comment ref="L356" authorId="0" shapeId="0" xr:uid="{00000000-0006-0000-0B00-00009D000000}">
      <text>
        <r>
          <rPr>
            <sz val="11"/>
            <rFont val="Calibri"/>
          </rPr>
          <t>The Juniper SRX Services Gateway must generate log records when privileged commands are executed.</t>
        </r>
      </text>
    </comment>
    <comment ref="M356" authorId="0" shapeId="0" xr:uid="{00000000-0006-0000-0B00-00009E000000}">
      <text>
        <r>
          <rPr>
            <sz val="11"/>
            <rFont val="Calibri"/>
          </rPr>
          <t>The Juniper SRX Services Gateway must generate log records when concurrent logons from different workstations occur.</t>
        </r>
      </text>
    </comment>
    <comment ref="N356" authorId="0" shapeId="0" xr:uid="{00000000-0006-0000-0B00-00009F000000}">
      <text>
        <r>
          <rPr>
            <sz val="11"/>
            <rFont val="Calibri"/>
          </rPr>
          <t>The Juniper SRX Services Gateway must generate log records containing the full-text recording of privileged commands.</t>
        </r>
      </text>
    </comment>
    <comment ref="O356" authorId="0" shapeId="0" xr:uid="{00000000-0006-0000-0B00-0000A0000000}">
      <text>
        <r>
          <rPr>
            <sz val="11"/>
            <rFont val="Calibri"/>
          </rPr>
          <t>For local log files, the Juniper SRX Services Gateway must allocate log storage capacity in accordance with organization-defined log record storage requirements so that the log files do not grow to a size that causes operational issues.</t>
        </r>
      </text>
    </comment>
    <comment ref="P356" authorId="0" shapeId="0" xr:uid="{00000000-0006-0000-0B00-0000A1000000}">
      <text>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text>
    </comment>
    <comment ref="Q356" authorId="0" shapeId="0" xr:uid="{00000000-0006-0000-0B00-0000A2000000}">
      <text>
        <r>
          <rPr>
            <sz val="11"/>
            <rFont val="Calibri"/>
          </rPr>
          <t>In the event that communications with the events server is lost, the Juniper SRX Services Gateway must continue to queue log records locally.</t>
        </r>
      </text>
    </comment>
    <comment ref="H357" authorId="0" shapeId="0" xr:uid="{00000000-0006-0000-0B00-0000A3000000}">
      <text>
        <r>
          <rPr>
            <sz val="11"/>
            <rFont val="Calibri"/>
          </rPr>
          <t>The Juniper SRX Services Gateway must allow only the information system security manager (ISSM) (or administrators/roles appointed by the ISSM) to select which auditable events are to be generated and forwarded to the syslog and/or local logs.</t>
        </r>
      </text>
    </comment>
    <comment ref="I357" authorId="0" shapeId="0" xr:uid="{00000000-0006-0000-0B00-0000A4000000}">
      <text>
        <r>
          <rPr>
            <sz val="11"/>
            <rFont val="Calibri"/>
          </rPr>
          <t>The Juniper SRX Services Gateway must be configured to use a centralized authentication server to authenticate privileged users for remote and nonlocal access for device management.</t>
        </r>
      </text>
    </comment>
    <comment ref="H359" authorId="0" shapeId="0" xr:uid="{00000000-0006-0000-0B00-0000A5000000}">
      <text>
        <r>
          <rPr>
            <sz val="11"/>
            <rFont val="Calibri"/>
          </rPr>
          <t>The Juniper SRX Services Gateway must record time stamps for log records using Coordinated Universal Time (UTC).</t>
        </r>
      </text>
    </comment>
    <comment ref="I359" authorId="0" shapeId="0" xr:uid="{00000000-0006-0000-0B00-0000A6000000}">
      <text>
        <r>
          <rPr>
            <sz val="11"/>
            <rFont val="Calibri"/>
          </rPr>
          <t>The Juniper SRX Services Gateway must be configured to synchronize internal information system clocks with the primary and secondary NTP servers for the network.</t>
        </r>
      </text>
    </comment>
    <comment ref="H360" authorId="0" shapeId="0" xr:uid="{00000000-0006-0000-0B00-0000A7000000}">
      <text>
        <r>
          <rPr>
            <sz val="11"/>
            <rFont val="Calibri"/>
          </rPr>
          <t>The Juniper SRX Services Gateway must reveal log messages or management console alerts only to the ISSO, ISSM, and SA roles).</t>
        </r>
      </text>
    </comment>
    <comment ref="H361" authorId="0" shapeId="0" xr:uid="{00000000-0006-0000-0B00-0000A8000000}">
      <text>
        <r>
          <rPr>
            <sz val="11"/>
            <rFont val="Calibri"/>
          </rPr>
          <t>The Juniper SRX Services Gateway Firewall must generate an alert to, at a minimum, the ISSO and ISSM when unusual/unauthorized activities or conditions are detected during continuous monitoring of communications traffic as it traverses inbound or outbound  across internal security boundaries.</t>
        </r>
      </text>
    </comment>
    <comment ref="I361" authorId="0" shapeId="0" xr:uid="{00000000-0006-0000-0B00-0000A9000000}">
      <text>
        <r>
          <rPr>
            <sz val="11"/>
            <rFont val="Calibri"/>
          </rPr>
          <t>The Juniper SRX Services Gateway Firewall must generate an alert that can be forwarded to, at a minimum, the ISSO and ISSM when threats identified by authoritative sources are detected.</t>
        </r>
      </text>
    </comment>
    <comment ref="J361" authorId="0" shapeId="0" xr:uid="{00000000-0006-0000-0B00-0000AA000000}">
      <text>
        <r>
          <rPr>
            <sz val="11"/>
            <rFont val="Calibri"/>
          </rPr>
          <t>The Juniper SRX Services Gateway must generate an immediate system alert message to the management console when a log processing failure is detected.</t>
        </r>
      </text>
    </comment>
    <comment ref="K361" authorId="0" shapeId="0" xr:uid="{00000000-0006-0000-0B00-0000AB000000}">
      <text>
        <r>
          <rPr>
            <sz val="11"/>
            <rFont val="Calibri"/>
          </rPr>
          <t>For local accounts, the Juniper SRX Services Gateway must generate an alert message to the management console and generate a log event record that can be forwarded to the ISSO and designated system administrators when local accounts are created.</t>
        </r>
      </text>
    </comment>
    <comment ref="L361" authorId="0" shapeId="0" xr:uid="{00000000-0006-0000-0B00-0000AC000000}">
      <text>
        <r>
          <rPr>
            <sz val="11"/>
            <rFont val="Calibri"/>
          </rPr>
          <t>The Juniper SRX Services Gateway must generate an alert message to the management console and generate a log event record that can be forwarded to the ISSO and designated system administrators when the local accounts (i.e., the account of last resort or root account) are modified.</t>
        </r>
      </text>
    </comment>
    <comment ref="M361" authorId="0" shapeId="0" xr:uid="{00000000-0006-0000-0B00-0000AD000000}">
      <text>
        <r>
          <rPr>
            <sz val="11"/>
            <rFont val="Calibri"/>
          </rPr>
          <t>The Juniper SRX Services Gateway must generate an alert message to the management console and generate a log event record that can be forwarded to the ISSO and designated system administrators when accounts are disabled.</t>
        </r>
      </text>
    </comment>
    <comment ref="N361" authorId="0" shapeId="0" xr:uid="{00000000-0006-0000-0B00-0000AE000000}">
      <text>
        <r>
          <rPr>
            <sz val="11"/>
            <rFont val="Calibri"/>
          </rPr>
          <t>The Juniper SRX Services Gateway must generate an immediate alert message to the management console for account enabling actions.</t>
        </r>
      </text>
    </comment>
    <comment ref="O361" authorId="0" shapeId="0" xr:uid="{00000000-0006-0000-0B00-0000AF000000}">
      <text>
        <r>
          <rPr>
            <sz val="11"/>
            <rFont val="Calibri"/>
          </rPr>
          <t>The Juniper SRX Services Gateway must detect the addition of components and issue a priority 1 alert to the ISSM and SA, at a minimum.</t>
        </r>
      </text>
    </comment>
    <comment ref="P361" authorId="0" shapeId="0" xr:uid="{00000000-0006-0000-0B00-0000B0000000}">
      <text>
        <r>
          <rPr>
            <sz val="11"/>
            <rFont val="Calibri"/>
          </rPr>
          <t>The Juniper SRX Services Gateway must generate an alarm or send an alert message to the management console when a component failure is detected.</t>
        </r>
      </text>
    </comment>
    <comment ref="H374" authorId="0" shapeId="0" xr:uid="{00000000-0006-0000-0B00-0000B1000000}">
      <text>
        <r>
          <rPr>
            <sz val="11"/>
            <rFont val="Calibri"/>
          </rPr>
          <t>For nonlocal maintenance sessions, the Juniper SRX Services Gateway must remove or explicitly deny the use of nonsecure protocols.</t>
        </r>
      </text>
    </comment>
    <comment ref="I374" authorId="0" shapeId="0" xr:uid="{00000000-0006-0000-0B00-0000B2000000}">
      <text>
        <r>
          <rPr>
            <sz val="11"/>
            <rFont val="Calibri"/>
          </rPr>
          <t>The Juniper SRX Services Gateway must ensure access to start a UNIX-level shell is restricted to only the root account.</t>
        </r>
      </text>
    </comment>
    <comment ref="J374" authorId="0" shapeId="0" xr:uid="{00000000-0006-0000-0B00-0000B3000000}">
      <text>
        <r>
          <rPr>
            <sz val="11"/>
            <rFont val="Calibri"/>
          </rPr>
          <t>For nonlocal maintenance sessions, the Juniper SRX Services Gateway must ensure only zones where management functionality is desired have host-inbound-traffic system-services configured.</t>
        </r>
      </text>
    </comment>
    <comment ref="K374" authorId="0" shapeId="0" xr:uid="{00000000-0006-0000-0B00-0000B4000000}">
      <text>
        <r>
          <rPr>
            <sz val="11"/>
            <rFont val="Calibri"/>
          </rPr>
          <t>For nonlocal maintenance sessions, the Juniper SRX Services Gateway must explicitly deny the use of J-Web.</t>
        </r>
      </text>
    </comment>
    <comment ref="H375" authorId="0" shapeId="0" xr:uid="{00000000-0006-0000-0B00-0000B5000000}">
      <text>
        <r>
          <rPr>
            <sz val="11"/>
            <rFont val="Calibri"/>
          </rPr>
          <t>The Juniper SRX Services Gateway must be configured to use an authentication server to centrally manage authentication and logon settings for remote and nonlocal access.</t>
        </r>
      </text>
    </comment>
    <comment ref="I375" authorId="0" shapeId="0" xr:uid="{00000000-0006-0000-0B00-0000B6000000}">
      <text>
        <r>
          <rPr>
            <sz val="11"/>
            <rFont val="Calibri"/>
          </rPr>
          <t>The Juniper SRX Services Gateway must be configured to use an authentication server to centrally apply authentication and logon settings for remote and nonlocal access for device management.</t>
        </r>
      </text>
    </comment>
    <comment ref="J375" authorId="0" shapeId="0" xr:uid="{00000000-0006-0000-0B00-0000B7000000}">
      <text>
        <r>
          <rPr>
            <sz val="11"/>
            <rFont val="Calibri"/>
          </rPr>
          <t>The Juniper SRX Services Gateway must specify the order in which authentication servers are used.</t>
        </r>
      </text>
    </comment>
    <comment ref="H376" authorId="0" shapeId="0" xr:uid="{00000000-0006-0000-0B00-0000B8000000}">
      <text>
        <r>
          <rPr>
            <sz val="11"/>
            <rFont val="Calibri"/>
          </rPr>
          <t>The Juniper SRX Services Gateway must be configured to synchronize internal information system clocks with the primary and secondary NTP servers for the network.</t>
        </r>
      </text>
    </comment>
    <comment ref="H377" authorId="0" shapeId="0" xr:uid="{00000000-0006-0000-0B00-0000B9000000}">
      <text>
        <r>
          <rPr>
            <sz val="11"/>
            <rFont val="Calibri"/>
          </rPr>
          <t>The Juniper SRX Services Gateway must use and securely configure SNMPv3 if SNMP is enabled.</t>
        </r>
      </text>
    </comment>
    <comment ref="I377" authorId="0" shapeId="0" xr:uid="{00000000-0006-0000-0B00-0000BA000000}">
      <text>
        <r>
          <rPr>
            <sz val="11"/>
            <rFont val="Calibri"/>
          </rPr>
          <t>For nonlocal maintenance sessions using SNMP, the Juniper SRX Services Gateway must use and securely configure SNMPv3 with SHA256 or higher to protect the integrity of maintenance and diagnostic communications.</t>
        </r>
      </text>
    </comment>
    <comment ref="J377" authorId="0" shapeId="0" xr:uid="{00000000-0006-0000-0B00-0000BB000000}">
      <text>
        <r>
          <rPr>
            <sz val="11"/>
            <rFont val="Calibri"/>
          </rPr>
          <t>The Juniper SRX Services Gateway must securely configure SNMPv3 with privacy options to protect the confidentiality of nonlocal maintenance and diagnostic communications using SNMP.</t>
        </r>
      </text>
    </comment>
    <comment ref="H378" authorId="0" shapeId="0" xr:uid="{00000000-0006-0000-0B00-0000BC000000}">
      <text>
        <r>
          <rPr>
            <sz val="11"/>
            <rFont val="Calibri"/>
          </rPr>
          <t>If the loopback interface is used, the Juniper SRX Services Gateway must protect the loopback interface with firewall filters for known attacks that may exploit this interface.</t>
        </r>
      </text>
    </comment>
    <comment ref="H379" authorId="0" shapeId="0" xr:uid="{00000000-0006-0000-0B00-0000BD000000}">
      <text>
        <r>
          <rPr>
            <sz val="11"/>
            <rFont val="Calibri"/>
          </rPr>
          <t>The Juniper SRX Services Gateway Firewall must terminate all communications sessions associated with user traffic after 15 minutes or less of inactivity.</t>
        </r>
      </text>
    </comment>
    <comment ref="I379" authorId="0" shapeId="0" xr:uid="{00000000-0006-0000-0B00-0000BE000000}">
      <text>
        <r>
          <rPr>
            <sz val="11"/>
            <rFont val="Calibri"/>
          </rPr>
          <t>The Juniper SRX Services Gateway VPN must terminate all network connections associated with a communications session at the end of the session.</t>
        </r>
      </text>
    </comment>
    <comment ref="J379" authorId="0" shapeId="0" xr:uid="{00000000-0006-0000-0B00-0000BF000000}">
      <text>
        <r>
          <rPr>
            <sz val="11"/>
            <rFont val="Calibri"/>
          </rPr>
          <t>The Juniper SRX Services Gateway must terminate a device management session after 10 minutes of inactivity, except to fulfill documented and validated mission requirements.</t>
        </r>
      </text>
    </comment>
    <comment ref="K379" authorId="0" shapeId="0" xr:uid="{00000000-0006-0000-0B00-0000C0000000}">
      <text>
        <r>
          <rPr>
            <sz val="11"/>
            <rFont val="Calibri"/>
          </rPr>
          <t>The Juniper SRX Services Gateway must terminate a device management session if the keep-alive count is exceeded.</t>
        </r>
      </text>
    </comment>
    <comment ref="L379" authorId="0" shapeId="0" xr:uid="{00000000-0006-0000-0B00-0000C1000000}">
      <text>
        <r>
          <rPr>
            <sz val="11"/>
            <rFont val="Calibri"/>
          </rPr>
          <t>The Juniper SRX Services Gateway must automatically terminate a network administrator session after organization-defined conditions or trigger events requiring session disconnect.</t>
        </r>
      </text>
    </comment>
    <comment ref="H380" authorId="0" shapeId="0" xr:uid="{00000000-0006-0000-0B00-0000C2000000}">
      <text>
        <r>
          <rPr>
            <sz val="11"/>
            <rFont val="Calibri"/>
          </rPr>
          <t>The Juniper SRX Services Gateway must display the Standard Mandatory DoD Notice and Consent Banner before granting access.</t>
        </r>
      </text>
    </comment>
    <comment ref="H381" authorId="0" shapeId="0" xr:uid="{00000000-0006-0000-0B00-0000C3000000}">
      <text>
        <r>
          <rPr>
            <sz val="11"/>
            <rFont val="Calibri"/>
          </rPr>
          <t>The Juniper SRX Services Gateway VPN must limit the number of concurrent sessions for user accounts to one (1) and administrative accounts to three (3), or set to an organization-defined number.</t>
        </r>
      </text>
    </comment>
    <comment ref="I381" authorId="0" shapeId="0" xr:uid="{00000000-0006-0000-0B00-0000C4000000}">
      <text>
        <r>
          <rPr>
            <sz val="11"/>
            <rFont val="Calibri"/>
          </rPr>
          <t>The Juniper SRX Services Gateway must limit the number of concurrent sessions to a maximum of 10 or less for remote access using SSH.</t>
        </r>
      </text>
    </comment>
    <comment ref="J381" authorId="0" shapeId="0" xr:uid="{00000000-0006-0000-0B00-0000C5000000}">
      <text>
        <r>
          <rPr>
            <sz val="11"/>
            <rFont val="Calibri"/>
          </rPr>
          <t>The Juniper SRX Services Gateway must limit the number of sessions per minute to an organization-defined number for SSH to protect remote access management from unauthorized access.</t>
        </r>
      </text>
    </comment>
    <comment ref="H387" authorId="0" shapeId="0" xr:uid="{00000000-0006-0000-0B00-0000C6000000}">
      <text>
        <r>
          <rPr>
            <sz val="11"/>
            <rFont val="Calibri"/>
          </rPr>
          <t>The Juniper SRX Services Gateway Firewall must only allow inbound communications from organization-defined authorized sources routed to organization-defined authorized destinations.</t>
        </r>
      </text>
    </comment>
    <comment ref="I387" authorId="0" shapeId="0" xr:uid="{00000000-0006-0000-0B00-0000C7000000}">
      <text>
        <r>
          <rPr>
            <sz val="11"/>
            <rFont val="Calibri"/>
          </rPr>
          <t>The Juniper SRX Services Gateway Firewall must be configured to fail securely in the event of an operational failure of the firewall filtering or boundary protection function.</t>
        </r>
      </text>
    </comment>
    <comment ref="J387" authorId="0" shapeId="0" xr:uid="{00000000-0006-0000-0B00-0000C8000000}">
      <text>
        <r>
          <rPr>
            <sz val="11"/>
            <rFont val="Calibri"/>
          </rPr>
          <t>The Juniper SRX Services Gateway Firewall must deny network communications traffic by default and allow network communications traffic by exception (i.e., deny all, permit by exception).</t>
        </r>
      </text>
    </comment>
    <comment ref="K387" authorId="0" shapeId="0" xr:uid="{00000000-0006-0000-0B00-0000C9000000}">
      <text>
        <r>
          <rPr>
            <sz val="11"/>
            <rFont val="Calibri"/>
          </rPr>
          <t>The Juniper SRX Services Gateway VPN must only allow incoming VPN communications from organization-defined authorized sources routed to organization-defined authorized destinations.</t>
        </r>
      </text>
    </comment>
    <comment ref="H388" authorId="0" shapeId="0" xr:uid="{00000000-0006-0000-0B00-0000CA000000}">
      <text>
        <r>
          <rPr>
            <sz val="11"/>
            <rFont val="Calibri"/>
          </rPr>
          <t>The Juniper SRX Services Gateway Firewall must only allow inbound communications from organization-defined authorized sources routed to organization-defined authorized destinations.</t>
        </r>
      </text>
    </comment>
    <comment ref="I388" authorId="0" shapeId="0" xr:uid="{00000000-0006-0000-0B00-0000CB000000}">
      <text>
        <r>
          <rPr>
            <sz val="11"/>
            <rFont val="Calibri"/>
          </rPr>
          <t>The Juniper SRX Services Gateway Firewall must deny network communications traffic by default and allow network communications traffic by exception (i.e., deny all, permit by exception).</t>
        </r>
      </text>
    </comment>
    <comment ref="J388" authorId="0" shapeId="0" xr:uid="{00000000-0006-0000-0B00-0000CC000000}">
      <text>
        <r>
          <rPr>
            <sz val="11"/>
            <rFont val="Calibri"/>
          </rPr>
          <t>The Juniper SRX Services Gateway VPN must only allow incoming VPN communications from organization-defined authorized sources routed to organization-defined authorized destinations.</t>
        </r>
      </text>
    </comment>
    <comment ref="K388" authorId="0" shapeId="0" xr:uid="{00000000-0006-0000-0B00-0000CD000000}">
      <text>
        <r>
          <rPr>
            <sz val="11"/>
            <rFont val="Calibri"/>
          </rPr>
          <t>If the loopback interface is used, the Juniper SRX Services Gateway must protect the loopback interface with firewall filters for known attacks that may exploit this interface.</t>
        </r>
      </text>
    </comment>
    <comment ref="H389" authorId="0" shapeId="0" xr:uid="{00000000-0006-0000-0B00-0000CE000000}">
      <text>
        <r>
          <rPr>
            <sz val="11"/>
            <rFont val="Calibri"/>
          </rPr>
          <t>The Juniper SRX Services Gateway Firewall must configure ICMP to meet DoD requirements.</t>
        </r>
      </text>
    </comment>
    <comment ref="H395" authorId="0" shapeId="0" xr:uid="{00000000-0006-0000-0B00-0000CF000000}">
      <text>
        <r>
          <rPr>
            <sz val="11"/>
            <rFont val="Calibri"/>
          </rPr>
          <t>The Juniper SRX Services Gateway VPN must uniquely identify and authenticate organizational users (or processes acting on behalf of organizational users).</t>
        </r>
      </text>
    </comment>
    <comment ref="I395" authorId="0" shapeId="0" xr:uid="{00000000-0006-0000-0B00-0000D0000000}">
      <text>
        <r>
          <rPr>
            <sz val="11"/>
            <rFont val="Calibri"/>
          </rPr>
          <t>The Juniper SRX Services Gateway VPN must uniquely identify and authenticate non-organizational users (or processes acting on behalf of non-organizational users).</t>
        </r>
      </text>
    </comment>
    <comment ref="H401" authorId="0" shapeId="0" xr:uid="{00000000-0006-0000-0B00-0000D1000000}">
      <text>
        <r>
          <rPr>
            <sz val="11"/>
            <rFont val="Calibri"/>
          </rPr>
          <t>The Juniper SRX Services Gateway Firewall providing content filtering must protect against known and unknown types of denial-of-service (DoS) attacks by implementing statistics-based screens.</t>
        </r>
      </text>
    </comment>
    <comment ref="I401" authorId="0" shapeId="0" xr:uid="{00000000-0006-0000-0B00-0000D2000000}">
      <text>
        <r>
          <rPr>
            <sz val="11"/>
            <rFont val="Calibri"/>
          </rPr>
          <t>The Juniper SRX Services Gateway Firewall must implement load balancing on the perimeter firewall, at a minimum, to limit the effects of known and unknown types of denial-of-service (DoS) attacks on the network.</t>
        </r>
      </text>
    </comment>
    <comment ref="J401" authorId="0" shapeId="0" xr:uid="{00000000-0006-0000-0B00-0000D3000000}">
      <text>
        <r>
          <rPr>
            <sz val="11"/>
            <rFont val="Calibri"/>
          </rPr>
          <t>The Juniper SRX Services Gateway Firewall must protect against known types of denial-of-service (DoS) attacks by implementing signature-based screens.</t>
        </r>
      </text>
    </comment>
    <comment ref="K401" authorId="0" shapeId="0" xr:uid="{00000000-0006-0000-0B00-0000D4000000}">
      <text>
        <r>
          <rPr>
            <sz val="11"/>
            <rFont val="Calibri"/>
          </rPr>
          <t>The Juniper SRX Services Gateway Firewall must block outbound traffic containing known and unknown denial-of-service (DoS) attacks to protect against the use of internal information systems to launch any DoS attacks against other networks or endpoints.</t>
        </r>
      </text>
    </comment>
    <comment ref="L401" authorId="0" shapeId="0" xr:uid="{00000000-0006-0000-0B00-0000D5000000}">
      <text>
        <r>
          <rPr>
            <sz val="11"/>
            <rFont val="Calibri"/>
          </rPr>
          <t>The Juniper Networks SRX Series Gateway IDPS must block outbound traffic containing known and unknown DoS attacks by ensuring that rules are applied to outbound communications traffic.</t>
        </r>
      </text>
    </comment>
    <comment ref="M401" authorId="0" shapeId="0" xr:uid="{00000000-0006-0000-0B00-0000D6000000}">
      <text>
        <r>
          <rPr>
            <sz val="11"/>
            <rFont val="Calibri"/>
          </rPr>
          <t>The Juniper Networks SRX Series Gateway IDPS must block outbound traffic containing known and unknown DoS attacks by ensuring that signature-based objects are applied to outbound communications traffic.</t>
        </r>
      </text>
    </comment>
    <comment ref="N401" authorId="0" shapeId="0" xr:uid="{00000000-0006-0000-0B00-0000D7000000}">
      <text>
        <r>
          <rPr>
            <sz val="11"/>
            <rFont val="Calibri"/>
          </rPr>
          <t>The Juniper Networks SRX Series Gateway IDPS must block outbound traffic containing known and unknown DoS attacks by ensuring that anomaly-based attack objects are applied to outbound communications traffic.</t>
        </r>
      </text>
    </comment>
    <comment ref="O401" authorId="0" shapeId="0" xr:uid="{00000000-0006-0000-0B00-0000D8000000}">
      <text>
        <r>
          <rPr>
            <sz val="11"/>
            <rFont val="Calibri"/>
          </rPr>
          <t>The Juniper Networks SRX Series Gateway IDPS must protect against or limit the effects of known and unknown types of Denial of Service (DoS) attacks by employing rate-based attack prevention behavior analysis.</t>
        </r>
      </text>
    </comment>
    <comment ref="P401" authorId="0" shapeId="0" xr:uid="{00000000-0006-0000-0B00-0000D9000000}">
      <text>
        <r>
          <rPr>
            <sz val="11"/>
            <rFont val="Calibri"/>
          </rPr>
          <t>The Juniper Networks SRX Series Gateway IDPS must protect against or limit the effects of known and unknown types of Denial of Service (DoS) attacks by employing anomaly-based detection.</t>
        </r>
      </text>
    </comment>
    <comment ref="Q401" authorId="0" shapeId="0" xr:uid="{00000000-0006-0000-0B00-0000DA000000}">
      <text>
        <r>
          <rPr>
            <sz val="11"/>
            <rFont val="Calibri"/>
          </rPr>
          <t>The Juniper Networks SRX Series Gateway IDPS must protect against or limit the effects of known types of Denial of Service (DoS) attacks by employing signatures.</t>
        </r>
      </text>
    </comment>
    <comment ref="R401" authorId="0" shapeId="0" xr:uid="{00000000-0006-0000-0B00-0000DB000000}">
      <text>
        <r>
          <rPr>
            <sz val="11"/>
            <rFont val="Calibri"/>
          </rPr>
          <t>The Juniper SRX Services Gateway must configure the control plane to protect against or limit the effects of common types of Denial of Service (DoS) attacks on the device itself by configuring applicable system options and internet-options.</t>
        </r>
      </text>
    </comment>
    <comment ref="H402" authorId="0" shapeId="0" xr:uid="{00000000-0006-0000-0B00-0000DC000000}">
      <text>
        <r>
          <rPr>
            <sz val="11"/>
            <rFont val="Calibri"/>
          </rPr>
          <t>The Juniper SRX Services Gateway Firewall providing content filtering must protect against known and unknown types of denial-of-service (DoS) attacks by implementing statistics-based screens.</t>
        </r>
      </text>
    </comment>
    <comment ref="I402" authorId="0" shapeId="0" xr:uid="{00000000-0006-0000-0B00-0000DD000000}">
      <text>
        <r>
          <rPr>
            <sz val="11"/>
            <rFont val="Calibri"/>
          </rPr>
          <t>The Juniper SRX Services Gateway Firewall must implement load balancing on the perimeter firewall, at a minimum, to limit the effects of known and unknown types of denial-of-service (DoS) attacks on the network.</t>
        </r>
      </text>
    </comment>
    <comment ref="J402" authorId="0" shapeId="0" xr:uid="{00000000-0006-0000-0B00-0000DE000000}">
      <text>
        <r>
          <rPr>
            <sz val="11"/>
            <rFont val="Calibri"/>
          </rPr>
          <t>The Juniper SRX Services Gateway Firewall must protect against known types of denial-of-service (DoS) attacks by implementing signature-based screens.</t>
        </r>
      </text>
    </comment>
    <comment ref="K402" authorId="0" shapeId="0" xr:uid="{00000000-0006-0000-0B00-0000DF000000}">
      <text>
        <r>
          <rPr>
            <sz val="11"/>
            <rFont val="Calibri"/>
          </rPr>
          <t>The Juniper SRX Services Gateway Firewall must block outbound traffic containing known and unknown denial-of-service (DoS) attacks to protect against the use of internal information systems to launch any DoS attacks against other networks or endpoints.</t>
        </r>
      </text>
    </comment>
    <comment ref="L402" authorId="0" shapeId="0" xr:uid="{00000000-0006-0000-0B00-0000E0000000}">
      <text>
        <r>
          <rPr>
            <sz val="11"/>
            <rFont val="Calibri"/>
          </rPr>
          <t>The Juniper Networks SRX Series Gateway IDPS must block outbound traffic containing known and unknown DoS attacks by ensuring that rules are applied to outbound communications traffic.</t>
        </r>
      </text>
    </comment>
    <comment ref="M402" authorId="0" shapeId="0" xr:uid="{00000000-0006-0000-0B00-0000E1000000}">
      <text>
        <r>
          <rPr>
            <sz val="11"/>
            <rFont val="Calibri"/>
          </rPr>
          <t>The Juniper Networks SRX Series Gateway IDPS must block outbound traffic containing known and unknown DoS attacks by ensuring that signature-based objects are applied to outbound communications traffic.</t>
        </r>
      </text>
    </comment>
    <comment ref="N402" authorId="0" shapeId="0" xr:uid="{00000000-0006-0000-0B00-0000E2000000}">
      <text>
        <r>
          <rPr>
            <sz val="11"/>
            <rFont val="Calibri"/>
          </rPr>
          <t>The Juniper Networks SRX Series Gateway IDPS must block outbound traffic containing known and unknown DoS attacks by ensuring that anomaly-based attack objects are applied to outbound communications traffic.</t>
        </r>
      </text>
    </comment>
    <comment ref="O402" authorId="0" shapeId="0" xr:uid="{00000000-0006-0000-0B00-0000E3000000}">
      <text>
        <r>
          <rPr>
            <sz val="11"/>
            <rFont val="Calibri"/>
          </rPr>
          <t>The Juniper Networks SRX Series Gateway IDPS must protect against or limit the effects of known and unknown types of Denial of Service (DoS) attacks by employing rate-based attack prevention behavior analysis.</t>
        </r>
      </text>
    </comment>
    <comment ref="P402" authorId="0" shapeId="0" xr:uid="{00000000-0006-0000-0B00-0000E4000000}">
      <text>
        <r>
          <rPr>
            <sz val="11"/>
            <rFont val="Calibri"/>
          </rPr>
          <t>The Juniper Networks SRX Series Gateway IDPS must protect against or limit the effects of known and unknown types of Denial of Service (DoS) attacks by employing anomaly-based detection.</t>
        </r>
      </text>
    </comment>
    <comment ref="Q402" authorId="0" shapeId="0" xr:uid="{00000000-0006-0000-0B00-0000E5000000}">
      <text>
        <r>
          <rPr>
            <sz val="11"/>
            <rFont val="Calibri"/>
          </rPr>
          <t>The Juniper Networks SRX Series Gateway IDPS must protect against or limit the effects of known types of Denial of Service (DoS) attacks by employing signatures.</t>
        </r>
      </text>
    </comment>
    <comment ref="R402" authorId="0" shapeId="0" xr:uid="{00000000-0006-0000-0B00-0000E6000000}">
      <text>
        <r>
          <rPr>
            <sz val="11"/>
            <rFont val="Calibri"/>
          </rPr>
          <t>The Juniper SRX Services Gateway must configure the control plane to protect against or limit the effects of common types of Denial of Service (DoS) attacks on the device itself by configuring applicable system options and internet-options.</t>
        </r>
      </text>
    </comment>
    <comment ref="S402" authorId="0" shapeId="0" xr:uid="{00000000-0006-0000-0B00-0000E7000000}">
      <text>
        <r>
          <rPr>
            <sz val="11"/>
            <rFont val="Calibri"/>
          </rPr>
          <t>The Juniper SRX Services Gateway must implement service redundancy to protect against or limit the effects of common types of Denial of Service (DoS) attacks on the device itself.</t>
        </r>
      </text>
    </comment>
    <comment ref="H411" authorId="0" shapeId="0" xr:uid="{00000000-0006-0000-0B00-0000E8000000}">
      <text>
        <r>
          <rPr>
            <sz val="11"/>
            <rFont val="Calibri"/>
          </rPr>
          <t>For local accounts created on the device, the Juniper SRX Services Gateway must automatically generate log records for account creation events.</t>
        </r>
      </text>
    </comment>
    <comment ref="I411" authorId="0" shapeId="0" xr:uid="{00000000-0006-0000-0B00-0000E9000000}">
      <text>
        <r>
          <rPr>
            <sz val="11"/>
            <rFont val="Calibri"/>
          </rPr>
          <t>For local accounts created on the device, the Juniper SRX Services Gateway must automatically generate log records for account modification events.</t>
        </r>
      </text>
    </comment>
    <comment ref="J411" authorId="0" shapeId="0" xr:uid="{00000000-0006-0000-0B00-0000EA000000}">
      <text>
        <r>
          <rPr>
            <sz val="11"/>
            <rFont val="Calibri"/>
          </rPr>
          <t>For local accounts created on the device, the Juniper SRX Services Gateway must automatically generate log records for account disabling events.</t>
        </r>
      </text>
    </comment>
    <comment ref="K411" authorId="0" shapeId="0" xr:uid="{00000000-0006-0000-0B00-0000EB000000}">
      <text>
        <r>
          <rPr>
            <sz val="11"/>
            <rFont val="Calibri"/>
          </rPr>
          <t>For local accounts created on the device, the Juniper SRX Services Gateway must automatically generate log records for account removal events.</t>
        </r>
      </text>
    </comment>
    <comment ref="L411" authorId="0" shapeId="0" xr:uid="{00000000-0006-0000-0B00-0000EC000000}">
      <text>
        <r>
          <rPr>
            <sz val="11"/>
            <rFont val="Calibri"/>
          </rPr>
          <t>The Juniper SRX Services Gateway must automatically generate a log event when accounts are enabled.</t>
        </r>
      </text>
    </comment>
    <comment ref="M411" authorId="0" shapeId="0" xr:uid="{00000000-0006-0000-0B00-0000ED000000}">
      <text>
        <r>
          <rPr>
            <sz val="11"/>
            <rFont val="Calibri"/>
          </rPr>
          <t>The Juniper SRX Services Gateway must be configured with only one local user account to be used as the account of last resort.</t>
        </r>
      </text>
    </comment>
    <comment ref="N411" authorId="0" shapeId="0" xr:uid="{00000000-0006-0000-0B00-0000EE000000}">
      <text>
        <r>
          <rPr>
            <sz val="11"/>
            <rFont val="Calibri"/>
          </rPr>
          <t>For local accounts using password authentication (i.e., the root account and the account of last resort), the Juniper SRX Services Gateway must enforce a minimum 15-character password length.</t>
        </r>
      </text>
    </comment>
    <comment ref="O411" authorId="0" shapeId="0" xr:uid="{00000000-0006-0000-0B00-0000EF000000}">
      <text>
        <r>
          <rPr>
            <sz val="11"/>
            <rFont val="Calibri"/>
          </rPr>
          <t>For local accounts using password authentication (i.e., the root account and the account of last resort), the Juniper SRX Services Gateway must enforce password complexity by setting the password change type to character sets.</t>
        </r>
      </text>
    </comment>
    <comment ref="P411" authorId="0" shapeId="0" xr:uid="{00000000-0006-0000-0B00-0000F0000000}">
      <text>
        <r>
          <rPr>
            <sz val="11"/>
            <rFont val="Calibri"/>
          </rPr>
          <t>For local accounts using password authentication (i.e., the root account and the account of last resort), the Juniper SRX Services Gateway must enforce password complexity by requiring at least one uppercase character be used.</t>
        </r>
      </text>
    </comment>
    <comment ref="Q411" authorId="0" shapeId="0" xr:uid="{00000000-0006-0000-0B00-0000F1000000}">
      <text>
        <r>
          <rPr>
            <sz val="11"/>
            <rFont val="Calibri"/>
          </rPr>
          <t>For local accounts using password authentication (i.e., the root account and the account of last resort), the Juniper SRX Services Gateway must enforce password complexity by requiring at least one lowercase character be used.</t>
        </r>
      </text>
    </comment>
    <comment ref="R411" authorId="0" shapeId="0" xr:uid="{00000000-0006-0000-0B00-0000F2000000}">
      <text>
        <r>
          <rPr>
            <sz val="11"/>
            <rFont val="Calibri"/>
          </rPr>
          <t>For local accounts using password authentication (i.e., the root account and the account of last resort), the Juniper SRX Services Gateway must enforce password complexity by requiring at least one numeric character be used.</t>
        </r>
      </text>
    </comment>
    <comment ref="S411" authorId="0" shapeId="0" xr:uid="{00000000-0006-0000-0B00-0000F3000000}">
      <text>
        <r>
          <rPr>
            <sz val="11"/>
            <rFont val="Calibri"/>
          </rPr>
          <t>For local accounts using password authentication (i.e., the root account and the account of last resort), the Juniper SRX Services Gateway must enforce password complexity by requiring at least one special character be used.</t>
        </r>
      </text>
    </comment>
    <comment ref="T411" authorId="0" shapeId="0" xr:uid="{00000000-0006-0000-0B00-0000F4000000}">
      <text>
        <r>
          <rPr>
            <sz val="11"/>
            <rFont val="Calibri"/>
          </rPr>
          <t>The Juniper SRX Services Gateway must use the SHA256 or later protocol for password authentication for local accounts using password authentication (i.e., the root account and the account of last resort).</t>
        </r>
      </text>
    </comment>
    <comment ref="H413" authorId="0" shapeId="0" xr:uid="{00000000-0006-0000-0B00-0000F5000000}">
      <text>
        <r>
          <rPr>
            <sz val="11"/>
            <rFont val="Calibri"/>
          </rPr>
          <t>The Juniper SRX Services Gateway VPN must uniquely identify and authenticate organizational users (or processes acting on behalf of organizational users).</t>
        </r>
      </text>
    </comment>
    <comment ref="I413" authorId="0" shapeId="0" xr:uid="{00000000-0006-0000-0B00-0000F6000000}">
      <text>
        <r>
          <rPr>
            <sz val="11"/>
            <rFont val="Calibri"/>
          </rPr>
          <t>The Juniper SRX Services Gateway VPN must uniquely identify and authenticate non-organizational users (or processes acting on behalf of non-organizational users).</t>
        </r>
      </text>
    </comment>
    <comment ref="J413" authorId="0" shapeId="0" xr:uid="{00000000-0006-0000-0B00-0000F7000000}">
      <text>
        <r>
          <rPr>
            <sz val="11"/>
            <rFont val="Calibri"/>
          </rPr>
          <t>The Juniper SRX Services Gateway must be configured to use an authentication server to centrally manage authentication and logon settings for remote and nonlocal access.</t>
        </r>
      </text>
    </comment>
    <comment ref="K413" authorId="0" shapeId="0" xr:uid="{00000000-0006-0000-0B00-0000F8000000}">
      <text>
        <r>
          <rPr>
            <sz val="11"/>
            <rFont val="Calibri"/>
          </rPr>
          <t>The Juniper SRX Services Gateway must be configured to use an authentication server to centrally apply authentication and logon settings for remote and nonlocal access for device management.</t>
        </r>
      </text>
    </comment>
    <comment ref="L413" authorId="0" shapeId="0" xr:uid="{00000000-0006-0000-0B00-0000F9000000}">
      <text>
        <r>
          <rPr>
            <sz val="11"/>
            <rFont val="Calibri"/>
          </rPr>
          <t>The Juniper SRX Services Gateway must specify the order in which authentication servers are used.</t>
        </r>
      </text>
    </comment>
    <comment ref="H414" authorId="0" shapeId="0" xr:uid="{00000000-0006-0000-0B00-0000FA000000}">
      <text>
        <r>
          <rPr>
            <sz val="11"/>
            <rFont val="Calibri"/>
          </rPr>
          <t>The Juniper SRX Services Gateway VPN must not accept certificates that have been revoked when using PKI for authentication.</t>
        </r>
      </text>
    </comment>
    <comment ref="I414" authorId="0" shapeId="0" xr:uid="{00000000-0006-0000-0B00-0000FB000000}">
      <text>
        <r>
          <rPr>
            <sz val="11"/>
            <rFont val="Calibri"/>
          </rPr>
          <t>The Juniper SRX Services Gateway VPN must use multifactor authentication (e.g., DoD PKI) for network access to non-privileged accounts.</t>
        </r>
      </text>
    </comment>
    <comment ref="J414" authorId="0" shapeId="0" xr:uid="{00000000-0006-0000-0B00-0000FC000000}">
      <text>
        <r>
          <rPr>
            <sz val="11"/>
            <rFont val="Calibri"/>
          </rPr>
          <t>The Juniper SRX Services Gateway VPN must only allow the use of DoD PKI established certificate authorities for verification of the establishment of protected sessions.</t>
        </r>
      </text>
    </comment>
    <comment ref="K414" authorId="0" shapeId="0" xr:uid="{00000000-0006-0000-0B00-0000FD000000}">
      <text>
        <r>
          <rPr>
            <sz val="11"/>
            <rFont val="Calibri"/>
          </rPr>
          <t>The Juniper SRX Services Gateway must use DOD-approved PKI rather than proprietary or self-signed device certificates.</t>
        </r>
      </text>
    </comment>
    <comment ref="L414" authorId="0" shapeId="0" xr:uid="{00000000-0006-0000-0B00-0000FE000000}">
      <text>
        <r>
          <rPr>
            <sz val="11"/>
            <rFont val="Calibri"/>
          </rPr>
          <t>The Juniper SRX Services Gateway must implement replay-resistant authentication mechanisms for network access to privileged accounts.</t>
        </r>
      </text>
    </comment>
    <comment ref="H415" authorId="0" shapeId="0" xr:uid="{00000000-0006-0000-0B00-0000FF000000}">
      <text>
        <r>
          <rPr>
            <sz val="11"/>
            <rFont val="Calibri"/>
          </rPr>
          <t>The Juniper SRX Services Gateway VPN must not accept certificates that have been revoked when using PKI for authentication.</t>
        </r>
      </text>
    </comment>
    <comment ref="I415" authorId="0" shapeId="0" xr:uid="{00000000-0006-0000-0B00-000000010000}">
      <text>
        <r>
          <rPr>
            <sz val="11"/>
            <rFont val="Calibri"/>
          </rPr>
          <t>The Juniper SRX Services Gateway VPN must use multifactor authentication (e.g., DoD PKI) for network access to non-privileged accounts.</t>
        </r>
      </text>
    </comment>
    <comment ref="J415" authorId="0" shapeId="0" xr:uid="{00000000-0006-0000-0B00-000001010000}">
      <text>
        <r>
          <rPr>
            <sz val="11"/>
            <rFont val="Calibri"/>
          </rPr>
          <t>The Juniper SRX Services Gateway VPN must only allow the use of DoD PKI established certificate authorities for verification of the establishment of protected sessions.</t>
        </r>
      </text>
    </comment>
    <comment ref="K415" authorId="0" shapeId="0" xr:uid="{00000000-0006-0000-0B00-000002010000}">
      <text>
        <r>
          <rPr>
            <sz val="11"/>
            <rFont val="Calibri"/>
          </rPr>
          <t>The Juniper SRX Services Gateway must use DOD-approved PKI rather than proprietary or self-signed device certificates.</t>
        </r>
      </text>
    </comment>
    <comment ref="L415" authorId="0" shapeId="0" xr:uid="{00000000-0006-0000-0B00-000003010000}">
      <text>
        <r>
          <rPr>
            <sz val="11"/>
            <rFont val="Calibri"/>
          </rPr>
          <t>The Juniper SRX Services Gateway must implement replay-resistant authentication mechanisms for network access to privileged accounts.</t>
        </r>
      </text>
    </comment>
    <comment ref="H416" authorId="0" shapeId="0" xr:uid="{00000000-0006-0000-0B00-000004010000}">
      <text>
        <r>
          <rPr>
            <sz val="11"/>
            <rFont val="Calibri"/>
          </rPr>
          <t>For User Role Firewalls, the Juniper SRX Services Gateway Firewall must employ user attribute-based security policies to enforce approved authorizations for logical access to information and system resources.</t>
        </r>
      </text>
    </comment>
    <comment ref="I416" authorId="0" shapeId="0" xr:uid="{00000000-0006-0000-0B00-000005010000}">
      <text>
        <r>
          <rPr>
            <sz val="11"/>
            <rFont val="Calibri"/>
          </rPr>
          <t>The Juniper SRX Services Gateway must enforce the assigned privilege level for each administrator and authorizations for access to all commands by assigning a login class to all AAA-authenticated users.</t>
        </r>
      </text>
    </comment>
    <comment ref="J416" authorId="0" shapeId="0" xr:uid="{00000000-0006-0000-0B00-000006010000}">
      <text>
        <r>
          <rPr>
            <sz val="11"/>
            <rFont val="Calibri"/>
          </rPr>
          <t>The Juniper SRX Services Gateway must implement logon roles to ensure only authorized roles are allowed to install software and updates.</t>
        </r>
      </text>
    </comment>
    <comment ref="H420" authorId="0" shapeId="0" xr:uid="{00000000-0006-0000-0B00-000007010000}">
      <text>
        <r>
          <rPr>
            <sz val="11"/>
            <rFont val="Calibri"/>
          </rPr>
          <t>The Juniper SRX Services Gateway Firewall must generate audit records when unsuccessful attempts to access security zones occur.</t>
        </r>
      </text>
    </comment>
    <comment ref="I420" authorId="0" shapeId="0" xr:uid="{00000000-0006-0000-0B00-000008010000}">
      <text>
        <r>
          <rPr>
            <sz val="11"/>
            <rFont val="Calibri"/>
          </rPr>
          <t>For local accounts created on the device, the Juniper SRX Services Gateway must enforce the limit of three consecutive invalid logon attempts by a user during a 15-minute time period.</t>
        </r>
      </text>
    </comment>
  </commentList>
</comments>
</file>

<file path=xl/sharedStrings.xml><?xml version="1.0" encoding="utf-8"?>
<sst xmlns="http://schemas.openxmlformats.org/spreadsheetml/2006/main" count="14014" uniqueCount="6439">
  <si>
    <t>Id</t>
  </si>
  <si>
    <t>Title</t>
  </si>
  <si>
    <t>Severity</t>
  </si>
  <si>
    <t>Component</t>
  </si>
  <si>
    <t>MoSCoW</t>
  </si>
  <si>
    <t>OpsImpact</t>
  </si>
  <si>
    <t>Phase</t>
  </si>
  <si>
    <t>ImplStatus</t>
  </si>
  <si>
    <t>Notes</t>
  </si>
  <si>
    <t>Remediation</t>
  </si>
  <si>
    <t>Description</t>
  </si>
  <si>
    <t>Audit</t>
  </si>
  <si>
    <t>Status</t>
  </si>
  <si>
    <t>LogID</t>
  </si>
  <si>
    <t>V-214518</t>
  </si>
  <si>
    <r>
      <rPr>
        <sz val="11"/>
        <rFont val="Calibri"/>
      </rPr>
      <t>For User Role Firewalls, the Juniper SRX Services Gateway Firewall must employ user attribute-based security policies to enforce approved authorizations for logical access to information and system resources.</t>
    </r>
  </si>
  <si>
    <t>CAT II (Medium)</t>
  </si>
  <si>
    <t>ALG</t>
  </si>
  <si>
    <t>Unassigned</t>
  </si>
  <si>
    <t>Unassessed</t>
  </si>
  <si>
    <t>Pending</t>
  </si>
  <si>
    <t/>
  </si>
  <si>
    <r>
      <rPr>
        <sz val="11"/>
        <color rgb="FF000000"/>
        <rFont val="Calibri"/>
      </rPr>
      <t>Configure attribute-based security policies to enforce approved authorizations for logical access to information and system resources using the following commands.</t>
    </r>
    <r>
      <rPr>
        <sz val="11"/>
        <color rgb="FF000000"/>
        <rFont val="Calibri"/>
      </rPr>
      <t xml:space="preserve">
</t>
    </r>
    <r>
      <rPr>
        <sz val="11"/>
        <color rgb="FF000000"/>
        <rFont val="Calibri"/>
      </rPr>
      <t>To configure redirection from the SRX Series device to the Access Control Service, from configuration mode, configure the UAC profile for the captive portal &lt;acs-device&gt;.</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services unified-access-control captive-portal &lt;acs-device-name&gt; redirect-traffic unauthenticated</t>
    </r>
    <r>
      <rPr>
        <sz val="11"/>
        <color rgb="FF000000"/>
        <rFont val="Calibri"/>
      </rPr>
      <t xml:space="preserve">
</t>
    </r>
    <r>
      <rPr>
        <sz val="11"/>
        <color rgb="FF000000"/>
        <rFont val="Calibri"/>
      </rPr>
      <t>Configure the redirection URL for the Access Control Service or a default URL for the captive portal.</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services unified-access-control captive-portal acs-device redirect-url https://%ic-url%/?target=%dest-url%&amp;enforcer=%enforcer-id%</t>
    </r>
    <r>
      <rPr>
        <sz val="11"/>
        <color rgb="FF000000"/>
        <rFont val="Calibri"/>
      </rPr>
      <t xml:space="preserve">
</t>
    </r>
    <r>
      <rPr>
        <sz val="11"/>
        <color rgb="FF000000"/>
        <rFont val="Calibri"/>
      </rPr>
      <t>This policy specifies the default target and enforcer variables to be used by the Access Control Service to direct the user back after authentication. This ensures that changes to system specifications will not affect configuration results.</t>
    </r>
    <r>
      <rPr>
        <sz val="11"/>
        <color rgb="FF000000"/>
        <rFont val="Calibri"/>
      </rPr>
      <t xml:space="preserve">
</t>
    </r>
    <r>
      <rPr>
        <sz val="11"/>
        <color rgb="FF000000"/>
        <rFont val="Calibri"/>
      </rPr>
      <t>Configure a user role firewall policy that redirects HTTP traffic from zone trust to zone untrust if the source-identity is unauthenticated-user. The captive portal profile name is specified as the action to be taken for traffic matching this policy. The following is an example only since there the actual policy is dependent on the architecture of the organization's network.</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policies from-zone trust to-zone untrust policy user-role-fw1 match source-address any</t>
    </r>
    <r>
      <rPr>
        <sz val="11"/>
        <color rgb="FF000000"/>
        <rFont val="Calibri"/>
      </rPr>
      <t xml:space="preserve">
</t>
    </r>
    <r>
      <rPr>
        <sz val="11"/>
        <color rgb="FF000000"/>
        <rFont val="Calibri"/>
      </rPr>
      <t>set security policies from-zone trust to-zone untrust policy user-role-fw1 match destination-address any</t>
    </r>
    <r>
      <rPr>
        <sz val="11"/>
        <color rgb="FF000000"/>
        <rFont val="Calibri"/>
      </rPr>
      <t xml:space="preserve">
</t>
    </r>
    <r>
      <rPr>
        <sz val="11"/>
        <color rgb="FF000000"/>
        <rFont val="Calibri"/>
      </rPr>
      <t>set security policies from-zone trust to-zone untrust policy user-role-fw1 match application http</t>
    </r>
    <r>
      <rPr>
        <sz val="11"/>
        <color rgb="FF000000"/>
        <rFont val="Calibri"/>
      </rPr>
      <t xml:space="preserve">
</t>
    </r>
    <r>
      <rPr>
        <sz val="11"/>
        <color rgb="FF000000"/>
        <rFont val="Calibri"/>
      </rPr>
      <t>set security policies from-zone trust to-zone untrust policy user-role-fw1 match source-identity unauthenticated-user</t>
    </r>
    <r>
      <rPr>
        <sz val="11"/>
        <color rgb="FF000000"/>
        <rFont val="Calibri"/>
      </rPr>
      <t xml:space="preserve">
</t>
    </r>
    <r>
      <rPr>
        <sz val="11"/>
        <color rgb="FF000000"/>
        <rFont val="Calibri"/>
      </rPr>
      <t>set security policies from-zone trust to-zone untrust policy user-role-fw1 then permit app</t>
    </r>
  </si>
  <si>
    <r>
      <rPr>
        <sz val="11"/>
        <color rgb="FF000000"/>
        <rFont val="Calibri"/>
      </rPr>
      <t>Successful authentication must not automatically give an entity access to an asset or security boundary.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t>
    </r>
    <r>
      <rPr>
        <sz val="11"/>
        <color rgb="FF000000"/>
        <rFont val="Calibri"/>
      </rPr>
      <t xml:space="preserve">
</t>
    </r>
    <r>
      <rPr>
        <sz val="11"/>
        <color rgb="FF000000"/>
        <rFont val="Calibri"/>
      </rPr>
      <t>The Juniper Technical Library, Understanding User Role Firewalls, explains this Juniper SRX functionality in detail. This function integrates user-based firewall policies. Administrators can permit or restrict network access of employees, contractors, partners, and other users based on the roles they are assigned. User role firewalls enable greater threat mitigation, provide more informative forensic resources, improve record archiving for regulatory compliance, and enhance routine access provisioning. User role firewalls are more feasible with sites that do not have production workload and are used for employees to access network resources as opposed to large-scale datacenter environments.</t>
    </r>
    <r>
      <rPr>
        <sz val="11"/>
        <color rgb="FF000000"/>
        <rFont val="Calibri"/>
      </rPr>
      <t xml:space="preserve">
</t>
    </r>
    <r>
      <rPr>
        <sz val="11"/>
        <color rgb="FF000000"/>
        <rFont val="Calibri"/>
      </rPr>
      <t>User role firewalls trigger two actions, retrieval of user and/or role information associated with the traffic, and determine the action to take based on six match criteria within the context of the zone pair.</t>
    </r>
    <r>
      <rPr>
        <sz val="11"/>
        <color rgb="FF000000"/>
        <rFont val="Calibri"/>
      </rPr>
      <t xml:space="preserve">
</t>
    </r>
    <r>
      <rPr>
        <sz val="11"/>
        <color rgb="FF000000"/>
        <rFont val="Calibri"/>
      </rPr>
      <t>The source-identity field distinguishes a user role firewall from other types of firewalls. If the source identity is specified in any policy for a particular zone pair, it is a user role firewall. The user and role information must be retrieved before policy lookup occurs. If the source identity is not specified in any policy, user and role lookup is not required.</t>
    </r>
    <r>
      <rPr>
        <sz val="11"/>
        <color rgb="FF000000"/>
        <rFont val="Calibri"/>
      </rPr>
      <t xml:space="preserve">
</t>
    </r>
    <r>
      <rPr>
        <sz val="11"/>
        <color rgb="FF000000"/>
        <rFont val="Calibri"/>
      </rPr>
      <t>To retrieve user and role information, authentication tables are searched for an entry with an IP address corresponding to the traffic. If an entry is found, the user is classified as an authenticated user. If not found, the user is classified as an unauthenticated user.</t>
    </r>
    <r>
      <rPr>
        <sz val="11"/>
        <color rgb="FF000000"/>
        <rFont val="Calibri"/>
      </rPr>
      <t xml:space="preserve">
</t>
    </r>
    <r>
      <rPr>
        <sz val="11"/>
        <color rgb="FF000000"/>
        <rFont val="Calibri"/>
      </rPr>
      <t>The username and roles associated with an authenticated user are retrieved for policy matching. Both the authentication classification and the retrieved user and role information are used to match the source-identity field.</t>
    </r>
    <r>
      <rPr>
        <sz val="11"/>
        <color rgb="FF000000"/>
        <rFont val="Calibri"/>
      </rPr>
      <t xml:space="preserve">
</t>
    </r>
    <r>
      <rPr>
        <sz val="11"/>
        <color rgb="FF000000"/>
        <rFont val="Calibri"/>
      </rPr>
      <t>Characteristics of the traffic are matched to the policy specifications. Within the zone context, the first policy that matches the user or role and the five standard match criteria determines the action to be applied to the traffic.</t>
    </r>
  </si>
  <si>
    <r>
      <rPr>
        <sz val="11"/>
        <color rgb="FF000000"/>
        <rFont val="Calibri"/>
      </rPr>
      <t>If user-based firewall policies are not used, this is Not Applicable.</t>
    </r>
    <r>
      <rPr>
        <sz val="11"/>
        <color rgb="FF000000"/>
        <rFont val="Calibri"/>
      </rPr>
      <t xml:space="preserve">
</t>
    </r>
    <r>
      <rPr>
        <sz val="11"/>
        <color rgb="FF000000"/>
        <rFont val="Calibri"/>
      </rPr>
      <t>To verify the existence of user-based firewall policies, view a summary of all policies configured on the firewall.</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policies</t>
    </r>
    <r>
      <rPr>
        <sz val="11"/>
        <color rgb="FF000000"/>
        <rFont val="Calibri"/>
      </rPr>
      <t xml:space="preserve">
</t>
    </r>
    <r>
      <rPr>
        <sz val="11"/>
        <color rgb="FF000000"/>
        <rFont val="Calibri"/>
      </rPr>
      <t>If the source identity is not specified in any policy for a particular zone pair, this is a finding.</t>
    </r>
  </si>
  <si>
    <t>V-214519</t>
  </si>
  <si>
    <r>
      <rPr>
        <sz val="11"/>
        <rFont val="Calibri"/>
      </rPr>
      <t>The Juniper SRX Services Gateway must generate log records when firewall filters, security screens and security policies are invoked and the traffic is denied or restricted.</t>
    </r>
  </si>
  <si>
    <r>
      <rPr>
        <sz val="11"/>
        <color rgb="FF000000"/>
        <rFont val="Calibri"/>
      </rPr>
      <t>Include the log and/or syslog action in all term to log packets matching each firewall term to ensure the term results are recorded in the firewall log and Syslog. To get traffic logs from permitted sessions, add "then log session-close" to each policy. To get traffic logs from denied sessions, add "then log session-init" to the policy.</t>
    </r>
    <r>
      <rPr>
        <sz val="11"/>
        <color rgb="FF000000"/>
        <rFont val="Calibri"/>
      </rPr>
      <t xml:space="preserve">
</t>
    </r>
    <r>
      <rPr>
        <sz val="11"/>
        <color rgb="FF000000"/>
        <rFont val="Calibri"/>
      </rPr>
      <t>Firewall filter:</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firewall family &lt;family name&gt; filter &lt;filter_name&gt; term &lt;term_name&gt; then log</t>
    </r>
    <r>
      <rPr>
        <sz val="11"/>
        <color rgb="FF000000"/>
        <rFont val="Calibri"/>
      </rPr>
      <t xml:space="preserve">
</t>
    </r>
    <r>
      <rPr>
        <sz val="11"/>
        <color rgb="FF000000"/>
        <rFont val="Calibri"/>
      </rPr>
      <t xml:space="preserve">Examples: </t>
    </r>
    <r>
      <rPr>
        <sz val="11"/>
        <color rgb="FF000000"/>
        <rFont val="Calibri"/>
      </rPr>
      <t xml:space="preserve">
</t>
    </r>
    <r>
      <rPr>
        <sz val="11"/>
        <color rgb="FF000000"/>
        <rFont val="Calibri"/>
      </rPr>
      <t>set firewall family inet filter protect_re term tcp-connection then syslog</t>
    </r>
    <r>
      <rPr>
        <sz val="11"/>
        <color rgb="FF000000"/>
        <rFont val="Calibri"/>
      </rPr>
      <t xml:space="preserve">
</t>
    </r>
    <r>
      <rPr>
        <sz val="11"/>
        <color rgb="FF000000"/>
        <rFont val="Calibri"/>
      </rPr>
      <t>set firewall family inet filter protect_re term tcp-connection then log</t>
    </r>
    <r>
      <rPr>
        <sz val="11"/>
        <color rgb="FF000000"/>
        <rFont val="Calibri"/>
      </rPr>
      <t xml:space="preserve">
</t>
    </r>
    <r>
      <rPr>
        <sz val="11"/>
        <color rgb="FF000000"/>
        <rFont val="Calibri"/>
      </rPr>
      <t>set firewall family inet filter ingress-filter-v4 term deny-dscp then log</t>
    </r>
    <r>
      <rPr>
        <sz val="11"/>
        <color rgb="FF000000"/>
        <rFont val="Calibri"/>
      </rPr>
      <t xml:space="preserve">
</t>
    </r>
    <r>
      <rPr>
        <sz val="11"/>
        <color rgb="FF000000"/>
        <rFont val="Calibri"/>
      </rPr>
      <t>set firewall family inet filter ingress-filter-v4 term deny-dscp then syslog</t>
    </r>
    <r>
      <rPr>
        <sz val="11"/>
        <color rgb="FF000000"/>
        <rFont val="Calibri"/>
      </rPr>
      <t xml:space="preserve">
</t>
    </r>
    <r>
      <rPr>
        <sz val="11"/>
        <color rgb="FF000000"/>
        <rFont val="Calibri"/>
      </rPr>
      <t>Security policy and security screens:</t>
    </r>
    <r>
      <rPr>
        <sz val="11"/>
        <color rgb="FF000000"/>
        <rFont val="Calibri"/>
      </rPr>
      <t xml:space="preserve">
</t>
    </r>
    <r>
      <rPr>
        <sz val="11"/>
        <color rgb="FF000000"/>
        <rFont val="Calibri"/>
      </rPr>
      <t>set security policies from-zone &lt;zone_name&gt; to-zone &lt;zone_name&gt; policy &lt;policy_name&gt; then log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set security policies from-zone untrust to-zone trust policy default-deny then log</t>
    </r>
  </si>
  <si>
    <r>
      <rPr>
        <sz val="11"/>
        <color rgb="FF000000"/>
        <rFont val="Calibri"/>
      </rPr>
      <t>Without generating log records that log usage of objects by subjects and other objects, it would be difficult to establish, correlate, and investigate the events relating to an incident, or identify those responsible for one.</t>
    </r>
    <r>
      <rPr>
        <sz val="11"/>
        <color rgb="FF000000"/>
        <rFont val="Calibri"/>
      </rPr>
      <t xml:space="preserve">
</t>
    </r>
    <r>
      <rPr>
        <sz val="11"/>
        <color rgb="FF000000"/>
        <rFont val="Calibri"/>
      </rPr>
      <t>Security objects are data objects which are controlled by security policy and bound to security attributes.</t>
    </r>
    <r>
      <rPr>
        <sz val="11"/>
        <color rgb="FF000000"/>
        <rFont val="Calibri"/>
      </rPr>
      <t xml:space="preserve">
</t>
    </r>
    <r>
      <rPr>
        <sz val="11"/>
        <color rgb="FF000000"/>
        <rFont val="Calibri"/>
      </rPr>
      <t>By default, the Juniper SRX will not forward traffic unless it is explicitly permitted via security policy. Logging for Firewall security-related sources such as screens and security policies must be configured separately. To ensure firewall filters, security screens and security policies send events to a Syslog server and local logs, security logging must be configured one each firewall term.</t>
    </r>
  </si>
  <si>
    <r>
      <rPr>
        <sz val="11"/>
        <color rgb="FF000000"/>
        <rFont val="Calibri"/>
      </rPr>
      <t>To verify what is logged in the Syslog, view the Syslog server (Syslog server configuration is out of scope for this STIG); however, the reviewer must also verify that packets are being logged to the local log using the following commands.</t>
    </r>
    <r>
      <rPr>
        <sz val="11"/>
        <color rgb="FF000000"/>
        <rFont val="Calibri"/>
      </rPr>
      <t xml:space="preserve">
</t>
    </r>
    <r>
      <rPr>
        <sz val="11"/>
        <color rgb="FF000000"/>
        <rFont val="Calibri"/>
      </rPr>
      <t>From operational mode, enter the following command.</t>
    </r>
    <r>
      <rPr>
        <sz val="11"/>
        <color rgb="FF000000"/>
        <rFont val="Calibri"/>
      </rPr>
      <t xml:space="preserve">
</t>
    </r>
    <r>
      <rPr>
        <sz val="11"/>
        <color rgb="FF000000"/>
        <rFont val="Calibri"/>
      </rPr>
      <t>show firewall log</t>
    </r>
    <r>
      <rPr>
        <sz val="11"/>
        <color rgb="FF000000"/>
        <rFont val="Calibri"/>
      </rPr>
      <t xml:space="preserve">
</t>
    </r>
    <r>
      <rPr>
        <sz val="11"/>
        <color rgb="FF000000"/>
        <rFont val="Calibri"/>
      </rPr>
      <t>View the Action column; the configured action of the term matches the action taken on the packet: A (accept), D (discard).</t>
    </r>
    <r>
      <rPr>
        <sz val="11"/>
        <color rgb="FF000000"/>
        <rFont val="Calibri"/>
      </rPr>
      <t xml:space="preserve">
</t>
    </r>
    <r>
      <rPr>
        <sz val="11"/>
        <color rgb="FF000000"/>
        <rFont val="Calibri"/>
      </rPr>
      <t>If events in the log do not reflect the action taken on the packet, this is a finding.</t>
    </r>
  </si>
  <si>
    <t>V-214520</t>
  </si>
  <si>
    <r>
      <rPr>
        <sz val="11"/>
        <rFont val="Calibri"/>
      </rPr>
      <t>The Juniper SRX Services Gateway Firewall must generate audit records when unsuccessful attempts to access security zones occur.</t>
    </r>
  </si>
  <si>
    <r>
      <rPr>
        <sz val="11"/>
        <color rgb="FF000000"/>
        <rFont val="Calibri"/>
      </rPr>
      <t>Include the log and/or syslog action in all zone configurations to log attempts to access zones. To get traffic logs from permitted sessions, add "then log session-close" to the policy. To get traffic logs from denied sessions, add "then log session-init" to the policy.</t>
    </r>
    <r>
      <rPr>
        <sz val="11"/>
        <color rgb="FF000000"/>
        <rFont val="Calibri"/>
      </rPr>
      <t xml:space="preserve">
</t>
    </r>
    <r>
      <rPr>
        <sz val="11"/>
        <color rgb="FF000000"/>
        <rFont val="Calibri"/>
      </rPr>
      <t>set security policies from-zone &lt;zone_name&gt; to-zone &lt;zone_name&gt; policy &lt;policy_name&gt; then log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set security policies from-zone untrust to-zone trust policy default-deny then log</t>
    </r>
  </si>
  <si>
    <r>
      <rPr>
        <sz val="11"/>
        <color rgb="FF000000"/>
        <rFont val="Calibri"/>
      </rPr>
      <t>Without generating log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Access for different security levels maintains separation between resources (particularly stored data) of different security domains.</t>
    </r>
    <r>
      <rPr>
        <sz val="11"/>
        <color rgb="FF000000"/>
        <rFont val="Calibri"/>
      </rPr>
      <t xml:space="preserve">
</t>
    </r>
    <r>
      <rPr>
        <sz val="11"/>
        <color rgb="FF000000"/>
        <rFont val="Calibri"/>
      </rPr>
      <t>The Juniper SRX Firewall implements security zones which are configured with different security policies based on risk and trust levels.</t>
    </r>
  </si>
  <si>
    <t>V-214521</t>
  </si>
  <si>
    <r>
      <rPr>
        <sz val="11"/>
        <rFont val="Calibri"/>
      </rPr>
      <t>The Juniper SRX Services Gateway Firewall must be configured to support centralized management and configuration of the audit log.</t>
    </r>
  </si>
  <si>
    <r>
      <rPr>
        <sz val="11"/>
        <color rgb="FF000000"/>
        <rFont val="Calibri"/>
      </rPr>
      <t xml:space="preserve">Logging for security-related sources such as screens and security policies must be configured separately. </t>
    </r>
    <r>
      <rPr>
        <sz val="11"/>
        <color rgb="FF000000"/>
        <rFont val="Calibri"/>
      </rPr>
      <t xml:space="preserve">
</t>
    </r>
    <r>
      <rPr>
        <sz val="11"/>
        <color rgb="FF000000"/>
        <rFont val="Calibri"/>
      </rPr>
      <t>The following example specifies that security log messages in structured-data format (syslog format) are sent from the source &lt;MGT IP address&gt; (e.g., the SRX's loopback or other interface IP address) to an external syslog server.</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log cache</t>
    </r>
    <r>
      <rPr>
        <sz val="11"/>
        <color rgb="FF000000"/>
        <rFont val="Calibri"/>
      </rPr>
      <t xml:space="preserve">
</t>
    </r>
    <r>
      <rPr>
        <sz val="11"/>
        <color rgb="FF000000"/>
        <rFont val="Calibri"/>
      </rPr>
      <t>set security log format syslog</t>
    </r>
    <r>
      <rPr>
        <sz val="11"/>
        <color rgb="FF000000"/>
        <rFont val="Calibri"/>
      </rPr>
      <t xml:space="preserve">
</t>
    </r>
    <r>
      <rPr>
        <sz val="11"/>
        <color rgb="FF000000"/>
        <rFont val="Calibri"/>
      </rPr>
      <t>set security log source-address &lt;MGT IP Address&gt;</t>
    </r>
    <r>
      <rPr>
        <sz val="11"/>
        <color rgb="FF000000"/>
        <rFont val="Calibri"/>
      </rPr>
      <t xml:space="preserve">
</t>
    </r>
    <r>
      <rPr>
        <sz val="11"/>
        <color rgb="FF000000"/>
        <rFont val="Calibri"/>
      </rPr>
      <t>set security log stream &lt;stream name&gt; host &lt;syslog server IP Address&gt;</t>
    </r>
    <r>
      <rPr>
        <sz val="11"/>
        <color rgb="FF000000"/>
        <rFont val="Calibri"/>
      </rPr>
      <t xml:space="preserve">
</t>
    </r>
    <r>
      <rPr>
        <sz val="11"/>
        <color rgb="FF000000"/>
        <rFont val="Calibri"/>
      </rPr>
      <t>To get traffic logs from permitted sessions, add "then log session-close" to the policy.</t>
    </r>
    <r>
      <rPr>
        <sz val="11"/>
        <color rgb="FF000000"/>
        <rFont val="Calibri"/>
      </rPr>
      <t xml:space="preserve">
</t>
    </r>
    <r>
      <rPr>
        <sz val="11"/>
        <color rgb="FF000000"/>
        <rFont val="Calibri"/>
      </rPr>
      <t>To get traffic logs from denied sessions, add "then log session-init" to the policy. Enable Logging on Security Policies: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policies from-zone &lt;zone-name&gt; to-zone &lt;zone-name&gt; policy &lt;policy-name&gt; then log &lt;event&gt;</t>
    </r>
    <r>
      <rPr>
        <sz val="11"/>
        <color rgb="FF000000"/>
        <rFont val="Calibri"/>
      </rPr>
      <t xml:space="preserve">
</t>
    </r>
    <r>
      <rPr>
        <sz val="11"/>
        <color rgb="FF000000"/>
        <rFont val="Calibri"/>
      </rPr>
      <t>Example to log session init and session close events:</t>
    </r>
    <r>
      <rPr>
        <sz val="11"/>
        <color rgb="FF000000"/>
        <rFont val="Calibri"/>
      </rPr>
      <t xml:space="preserve">
</t>
    </r>
    <r>
      <rPr>
        <sz val="11"/>
        <color rgb="FF000000"/>
        <rFont val="Calibri"/>
      </rPr>
      <t>set security policies from-zone trust to-zone untrust policy default-permit then log session-init</t>
    </r>
    <r>
      <rPr>
        <sz val="11"/>
        <color rgb="FF000000"/>
        <rFont val="Calibri"/>
      </rPr>
      <t xml:space="preserve">
</t>
    </r>
    <r>
      <rPr>
        <sz val="11"/>
        <color rgb="FF000000"/>
        <rFont val="Calibri"/>
      </rPr>
      <t>set security policies from-zone trust to-zone untrust policy default-permit then log session-close</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</si>
  <si>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The DOD requires centralized management of all network component audit record content. Network components requiring centralized audit log management must have the capability to support centralized management. The content captured in audit records must be managed from a central location (necessitating automation). Centralized management of audit records and logs provides for efficiency in maintenance and management of records, as well as the backup and archiving of those records. Ensure at least one Syslog server and local files are configured to support requirements. However, the Syslog itself must also be configured to filter event records so it is not overwhelmed. A best practice when configuring the external Syslog server is to add similar log-prefixes to the log file names to help and researching of central Syslog server. Another best practice is to add a match condition to limit the recorded events to those containing the regular expression (REGEX). This requirement does not apply to audit logs generated on behalf of the device itself (management).</t>
    </r>
    <r>
      <rPr>
        <sz val="11"/>
        <color rgb="FF000000"/>
        <rFont val="Calibri"/>
      </rPr>
      <t xml:space="preserve">
</t>
    </r>
    <r>
      <rPr>
        <sz val="11"/>
        <color rgb="FF000000"/>
        <rFont val="Calibri"/>
      </rPr>
      <t>While the Juniper SRX inherently has the capability to generate log records, by default only the high facility levels are captured and only to local files.</t>
    </r>
  </si>
  <si>
    <r>
      <rPr>
        <sz val="11"/>
        <color rgb="FF000000"/>
        <rFont val="Calibri"/>
      </rPr>
      <t xml:space="preserve">To verify that traffic logs are being sent to the syslog server, check the syslog server files. </t>
    </r>
    <r>
      <rPr>
        <sz val="11"/>
        <color rgb="FF000000"/>
        <rFont val="Calibri"/>
      </rPr>
      <t xml:space="preserve">
</t>
    </r>
    <r>
      <rPr>
        <sz val="11"/>
        <color rgb="FF000000"/>
        <rFont val="Calibri"/>
      </rPr>
      <t>If traffic logs are not being sent to the syslog server, this is a finding.</t>
    </r>
  </si>
  <si>
    <t>V-214522</t>
  </si>
  <si>
    <r>
      <rPr>
        <sz val="11"/>
        <rFont val="Calibri"/>
      </rPr>
      <t>In the event that communications with the Syslog server is lost, the Juniper SRX Services Gateway must continue to queue traffic log records locally.</t>
    </r>
  </si>
  <si>
    <r>
      <rPr>
        <sz val="11"/>
        <color rgb="FF000000"/>
        <rFont val="Calibri"/>
      </rPr>
      <t xml:space="preserve">The following example commands configure local backup files to capture DoD-defined auditable events.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syslog file &lt;LOG-NAME&gt; any info</t>
    </r>
    <r>
      <rPr>
        <sz val="11"/>
        <color rgb="FF000000"/>
        <rFont val="Calibri"/>
      </rPr>
      <t xml:space="preserve">
</t>
    </r>
    <r>
      <rPr>
        <sz val="11"/>
        <color rgb="FF000000"/>
        <rFont val="Calibri"/>
      </rPr>
      <t>set system syslog file &lt;LOG-NAME&gt; match "RT_FLOW_SESSION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set system syslog file&lt;LOG-NAME&gt; match "RT_FLOW_SESSION "</t>
    </r>
  </si>
  <si>
    <r>
      <rPr>
        <sz val="11"/>
        <color rgb="FF000000"/>
        <rFont val="Calibri"/>
      </rPr>
      <t>It is critical that when the network element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Since availability is an overriding concern given the role of the Juniper SRX in the enterprise, the system must not be configured to shut down in the event of a log processing failure. The system will be configured to log events to local files which will provide a log backup. If communication with the syslog server is lost or the server fails, the network device must continue to queue log records locally. Upon restoration of the connection to the centralized collection server, action should be taken to synchronize the local log data with the collection server.</t>
    </r>
    <r>
      <rPr>
        <sz val="11"/>
        <color rgb="FF000000"/>
        <rFont val="Calibri"/>
      </rPr>
      <t xml:space="preserve">
</t>
    </r>
    <r>
      <rPr>
        <sz val="11"/>
        <color rgb="FF000000"/>
        <rFont val="Calibri"/>
      </rPr>
      <t xml:space="preserve">By default, both traffic log and system log events are sent to a local log file named messages. You can create a separate log file that contains only traffic log messages so that you do not need to filter for traffic log messages. This makes it easier to track usage patterns or troubleshoot issues for a specific policy. </t>
    </r>
    <r>
      <rPr>
        <sz val="11"/>
        <color rgb="FF000000"/>
        <rFont val="Calibri"/>
      </rPr>
      <t xml:space="preserve">
</t>
    </r>
    <r>
      <rPr>
        <sz val="11"/>
        <color rgb="FF000000"/>
        <rFont val="Calibri"/>
      </rPr>
      <t>A best practice is to add log-prefixes to the log file names to help in researching the events and filters to prevent log overload. Another best practice is to add a match condition to limit the recorded events to those containing the regular expression (REGEX).</t>
    </r>
  </si>
  <si>
    <r>
      <rPr>
        <sz val="11"/>
        <color rgb="FF000000"/>
        <rFont val="Calibri"/>
      </rPr>
      <t>Verify logging has been enabled and configured.</t>
    </r>
    <r>
      <rPr>
        <sz val="11"/>
        <color rgb="FF000000"/>
        <rFont val="Calibri"/>
      </rPr>
      <t xml:space="preserve">
</t>
    </r>
    <r>
      <rPr>
        <sz val="11"/>
        <color rgb="FF000000"/>
        <rFont val="Calibri"/>
      </rPr>
      <t xml:space="preserve">[edit] </t>
    </r>
    <r>
      <rPr>
        <sz val="11"/>
        <color rgb="FF000000"/>
        <rFont val="Calibri"/>
      </rPr>
      <t xml:space="preserve">
</t>
    </r>
    <r>
      <rPr>
        <sz val="11"/>
        <color rgb="FF000000"/>
        <rFont val="Calibri"/>
      </rPr>
      <t>show log &lt;LOG-NAME&gt; match "RT_FLOW_SESSION"</t>
    </r>
    <r>
      <rPr>
        <sz val="11"/>
        <color rgb="FF000000"/>
        <rFont val="Calibri"/>
      </rPr>
      <t xml:space="preserve">
</t>
    </r>
    <r>
      <rPr>
        <sz val="11"/>
        <color rgb="FF000000"/>
        <rFont val="Calibri"/>
      </rPr>
      <t>If a local log file or files is not configured to capture "RT_FLOW_SESSION" events, this is a finding.</t>
    </r>
  </si>
  <si>
    <t>V-214523</t>
  </si>
  <si>
    <r>
      <rPr>
        <sz val="11"/>
        <rFont val="Calibri"/>
      </rPr>
      <t>The Juniper SRX Services Gateway Firewall must disable or remove unnecessary network services and functions that are not used as part of its role in the architecture.</t>
    </r>
  </si>
  <si>
    <r>
      <rPr>
        <sz val="11"/>
        <color rgb="FF000000"/>
        <rFont val="Calibri"/>
      </rPr>
      <t>Remove unnecessary services and functions. From operational mode, display the licenses available to be deleted; enter the following commands.</t>
    </r>
    <r>
      <rPr>
        <sz val="11"/>
        <color rgb="FF000000"/>
        <rFont val="Calibri"/>
      </rPr>
      <t xml:space="preserve">
</t>
    </r>
    <r>
      <rPr>
        <sz val="11"/>
        <color rgb="FF000000"/>
        <rFont val="Calibri"/>
      </rPr>
      <t>request system license delete license-identifier-list ?</t>
    </r>
    <r>
      <rPr>
        <sz val="11"/>
        <color rgb="FF000000"/>
        <rFont val="Calibri"/>
      </rPr>
      <t xml:space="preserve">
</t>
    </r>
    <r>
      <rPr>
        <sz val="11"/>
        <color rgb="FF000000"/>
        <rFont val="Calibri"/>
      </rPr>
      <t>request system license delete &lt;license-identifier&gt;</t>
    </r>
    <r>
      <rPr>
        <sz val="11"/>
        <color rgb="FF000000"/>
        <rFont val="Calibri"/>
      </rPr>
      <t xml:space="preserve">
</t>
    </r>
    <r>
      <rPr>
        <sz val="11"/>
        <color rgb="FF000000"/>
        <rFont val="Calibri"/>
      </rPr>
      <t>Note: Only remove unauthorized services. This control is not intended to restrict the use of Juniper SRX devices with multiple authorized roles.</t>
    </r>
  </si>
  <si>
    <r>
      <rPr>
        <sz val="11"/>
        <color rgb="FF000000"/>
        <rFont val="Calibri"/>
      </rPr>
      <t>Network devices are capable of providing a wide variety of functions (capabilities or processes) and services. Some of these functions and services are installed and enabled by default. The organization must determine which functions and services are required to perform the content filtering and other necessary core functionality for each component of the SRX.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Services that may be related security-related, but based on the role of the device in the architecture do not need to be installed. For example, the Juniper SRX can have an Antivirus, Web filter, IDS, or ALG license. However, if these functions are not part of the documented role of the SRX in the enterprise or branch architecture, then these the software and licenses should not be installed on the device. This mitigates the risk of exploitation of unconfigured services or services that are not kept updated with security fixes. If left unsecured, these services may provide a threat vector.</t>
    </r>
    <r>
      <rPr>
        <sz val="11"/>
        <color rgb="FF000000"/>
        <rFont val="Calibri"/>
      </rPr>
      <t xml:space="preserve">
</t>
    </r>
    <r>
      <rPr>
        <sz val="11"/>
        <color rgb="FF000000"/>
        <rFont val="Calibri"/>
      </rPr>
      <t>Only remove unauthorized services. This control is not intended to restrict the use of Juniper SRX devices with multiple authorized roles.</t>
    </r>
  </si>
  <si>
    <r>
      <rPr>
        <sz val="11"/>
        <color rgb="FF000000"/>
        <rFont val="Calibri"/>
      </rPr>
      <t>Review the documentation and architecture for the device.</t>
    </r>
    <r>
      <rPr>
        <sz val="11"/>
        <color rgb="FF000000"/>
        <rFont val="Calibri"/>
      </rPr>
      <t xml:space="preserve">
</t>
    </r>
    <r>
      <rPr>
        <sz val="11"/>
        <color rgb="FF000000"/>
        <rFont val="Calibri"/>
      </rPr>
      <t xml:space="preserve">&lt;root&gt; </t>
    </r>
    <r>
      <rPr>
        <sz val="11"/>
        <color rgb="FF000000"/>
        <rFont val="Calibri"/>
      </rPr>
      <t xml:space="preserve">
</t>
    </r>
    <r>
      <rPr>
        <sz val="11"/>
        <color rgb="FF000000"/>
        <rFont val="Calibri"/>
      </rPr>
      <t>show system license</t>
    </r>
    <r>
      <rPr>
        <sz val="11"/>
        <color rgb="FF000000"/>
        <rFont val="Calibri"/>
      </rPr>
      <t xml:space="preserve">
</t>
    </r>
    <r>
      <rPr>
        <sz val="11"/>
        <color rgb="FF000000"/>
        <rFont val="Calibri"/>
      </rPr>
      <t>If unneeded services and functions are installed on the device, but are not part of the documented role of the device, this is a finding.</t>
    </r>
  </si>
  <si>
    <t>V-214524</t>
  </si>
  <si>
    <r>
      <rPr>
        <sz val="11"/>
        <rFont val="Calibri"/>
      </rPr>
      <t>The Juniper SRX Services Gateway Firewall must not be configured as an NTP server since providing this network service is unrelated to the role as a firewall.</t>
    </r>
  </si>
  <si>
    <r>
      <rPr>
        <sz val="11"/>
        <color rgb="FF000000"/>
        <rFont val="Calibri"/>
      </rPr>
      <t>Delete NTP options from zones and interface commands. Re-enter the set security zone command without the "ntp" attribute. The exact command entered depends how the zone is configured with the authorized attributes, services, and options.</t>
    </r>
    <r>
      <rPr>
        <sz val="11"/>
        <color rgb="FF000000"/>
        <rFont val="Calibri"/>
      </rPr>
      <t xml:space="preserve">
</t>
    </r>
    <r>
      <rPr>
        <sz val="11"/>
        <color rgb="FF000000"/>
        <rFont val="Calibri"/>
      </rPr>
      <t xml:space="preserve">Examples: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zones security-zone &lt;zone-name&gt; interfaces &lt;interface-name&gt; host-inbound-traffic</t>
    </r>
  </si>
  <si>
    <r>
      <rPr>
        <sz val="11"/>
        <color rgb="FF000000"/>
        <rFont val="Calibri"/>
      </rPr>
      <t>Information systems are capable of providing a wide variety of functions (capabilities or processes) and services. Some of these functions and services are installed and enabled by default. The organization must determine which functions and services are required to perform the content filtering and other necessary core functionality for each component of the SRX.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The Juniper SRX is a highly configurable platform that can fulfil many roles in the Enterprise or Branch architecture depending on the model installed. Some services are employed for management services; however, these services can often also be provided as a network service on the data plane. Examples of these services are NTP, DNS, and DHCP. Also, as a Next Generation Firewall (NGFW) and Unified Threat Management (UTM) device, the SRX integrate functions which have been traditionally separated. </t>
    </r>
    <r>
      <rPr>
        <sz val="11"/>
        <color rgb="FF000000"/>
        <rFont val="Calibri"/>
      </rPr>
      <t xml:space="preserve">
</t>
    </r>
    <r>
      <rPr>
        <sz val="11"/>
        <color rgb="FF000000"/>
        <rFont val="Calibri"/>
      </rPr>
      <t>The SRX may integrate related content filtering, security services, and analysis services and tools (e.g., IPS, proxy, malware inspection, black/white lists). Depending on licenses purchased, gateways may also include email scanning, decryption, caching, VPN, and DLP services. However, services and capabilities which are unrelated to this primary functionality must not be installed (e.g., DNS, email server, FTP server, or web server).</t>
    </r>
  </si>
  <si>
    <r>
      <rPr>
        <sz val="11"/>
        <color rgb="FF000000"/>
        <rFont val="Calibri"/>
      </rPr>
      <t>Check both the zones and the interface stanza to ensure NTP is not configured as a service option.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zones</t>
    </r>
    <r>
      <rPr>
        <sz val="11"/>
        <color rgb="FF000000"/>
        <rFont val="Calibri"/>
      </rPr>
      <t xml:space="preserve">
</t>
    </r>
    <r>
      <rPr>
        <sz val="11"/>
        <color rgb="FF000000"/>
        <rFont val="Calibri"/>
      </rPr>
      <t>and, for each interface used, enter:</t>
    </r>
    <r>
      <rPr>
        <sz val="11"/>
        <color rgb="FF000000"/>
        <rFont val="Calibri"/>
      </rPr>
      <t xml:space="preserve">
</t>
    </r>
    <r>
      <rPr>
        <sz val="11"/>
        <color rgb="FF000000"/>
        <rFont val="Calibri"/>
      </rPr>
      <t>show security zones &lt;zone-name&gt; interface &lt;interface-name&gt;</t>
    </r>
    <r>
      <rPr>
        <sz val="11"/>
        <color rgb="FF000000"/>
        <rFont val="Calibri"/>
      </rPr>
      <t xml:space="preserve">
</t>
    </r>
    <r>
      <rPr>
        <sz val="11"/>
        <color rgb="FF000000"/>
        <rFont val="Calibri"/>
      </rPr>
      <t>If NTP is included in any of the zone or interface stanzas, this is a finding.</t>
    </r>
  </si>
  <si>
    <t>V-214525</t>
  </si>
  <si>
    <r>
      <rPr>
        <sz val="11"/>
        <rFont val="Calibri"/>
      </rPr>
      <t>The Juniper SRX Services Gateway Firewall must not be configured as a DNS proxy since providing this network service is unrelated to the role as a Firewall.</t>
    </r>
  </si>
  <si>
    <r>
      <rPr>
        <sz val="11"/>
        <color rgb="FF000000"/>
        <rFont val="Calibri"/>
      </rPr>
      <t>First, remove the DNS stanza. Then re-enter the set security zones and interfaces command without the "dns" attribute. The exact command entered depends how the zone is configured with the authorized attributes, services, and options.</t>
    </r>
    <r>
      <rPr>
        <sz val="11"/>
        <color rgb="FF000000"/>
        <rFont val="Calibri"/>
      </rPr>
      <t xml:space="preserve">
</t>
    </r>
    <r>
      <rPr>
        <sz val="11"/>
        <color rgb="FF000000"/>
        <rFont val="Calibri"/>
      </rPr>
      <t xml:space="preserve">Examples: </t>
    </r>
    <r>
      <rPr>
        <sz val="11"/>
        <color rgb="FF000000"/>
        <rFont val="Calibri"/>
      </rPr>
      <t xml:space="preserve">
</t>
    </r>
    <r>
      <rPr>
        <sz val="11"/>
        <color rgb="FF000000"/>
        <rFont val="Calibri"/>
      </rPr>
      <t>[edit]</t>
    </r>
    <r>
      <rPr>
        <sz val="11"/>
        <color rgb="FF000000"/>
        <rFont val="Calibri"/>
      </rPr>
      <t xml:space="preserve">
</t>
    </r>
    <r>
      <rPr>
        <sz val="11"/>
        <color rgb="FF000000"/>
        <rFont val="Calibri"/>
      </rPr>
      <t>delete system services dns</t>
    </r>
    <r>
      <rPr>
        <sz val="11"/>
        <color rgb="FF000000"/>
        <rFont val="Calibri"/>
      </rPr>
      <t xml:space="preserve">
</t>
    </r>
    <r>
      <rPr>
        <sz val="11"/>
        <color rgb="FF000000"/>
        <rFont val="Calibri"/>
      </rPr>
      <t>set security zones security-zone &lt;zone-name&gt; interfaces &lt;interface-name&gt; host-inbound-traffic</t>
    </r>
  </si>
  <si>
    <r>
      <rPr>
        <sz val="11"/>
        <color rgb="FF000000"/>
        <rFont val="Calibri"/>
      </rPr>
      <t>Check both the zones and the interface stanza to ensure DNS proxy server services are not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services dns</t>
    </r>
    <r>
      <rPr>
        <sz val="11"/>
        <color rgb="FF000000"/>
        <rFont val="Calibri"/>
      </rPr>
      <t xml:space="preserve">
</t>
    </r>
    <r>
      <rPr>
        <sz val="11"/>
        <color rgb="FF000000"/>
        <rFont val="Calibri"/>
      </rPr>
      <t>If a stanza exists for DNS (e.g., forwarders option), this is a finding.</t>
    </r>
  </si>
  <si>
    <t>V-214526</t>
  </si>
  <si>
    <r>
      <rPr>
        <sz val="11"/>
        <rFont val="Calibri"/>
      </rPr>
      <t>The Juniper SRX Services Gateway Firewall must not be configured as a DHCP server since providing this network service is unrelated to the role as a Firewall.</t>
    </r>
  </si>
  <si>
    <r>
      <rPr>
        <sz val="11"/>
        <color rgb="FF000000"/>
        <rFont val="Calibri"/>
      </rPr>
      <t>First, remove the DHCP stanza. Then re-enter the set security zones and interfaces command without the "dhcp" attribute. The exact command entered depends how the zone is configured with the authorized attributes, services, and options.</t>
    </r>
    <r>
      <rPr>
        <sz val="11"/>
        <color rgb="FF000000"/>
        <rFont val="Calibri"/>
      </rPr>
      <t xml:space="preserve">
</t>
    </r>
    <r>
      <rPr>
        <sz val="11"/>
        <color rgb="FF000000"/>
        <rFont val="Calibri"/>
      </rPr>
      <t xml:space="preserve">Examples: </t>
    </r>
    <r>
      <rPr>
        <sz val="11"/>
        <color rgb="FF000000"/>
        <rFont val="Calibri"/>
      </rPr>
      <t xml:space="preserve">
</t>
    </r>
    <r>
      <rPr>
        <sz val="11"/>
        <color rgb="FF000000"/>
        <rFont val="Calibri"/>
      </rPr>
      <t>[edit]</t>
    </r>
    <r>
      <rPr>
        <sz val="11"/>
        <color rgb="FF000000"/>
        <rFont val="Calibri"/>
      </rPr>
      <t xml:space="preserve">
</t>
    </r>
    <r>
      <rPr>
        <sz val="11"/>
        <color rgb="FF000000"/>
        <rFont val="Calibri"/>
      </rPr>
      <t>delete system services dhcp</t>
    </r>
    <r>
      <rPr>
        <sz val="11"/>
        <color rgb="FF000000"/>
        <rFont val="Calibri"/>
      </rPr>
      <t xml:space="preserve">
</t>
    </r>
    <r>
      <rPr>
        <sz val="11"/>
        <color rgb="FF000000"/>
        <rFont val="Calibri"/>
      </rPr>
      <t>set security zones security-zone &lt;zone-name&gt; interfaces &lt;interface-name&gt; host-inbound-traffic</t>
    </r>
  </si>
  <si>
    <r>
      <rPr>
        <sz val="11"/>
        <color rgb="FF000000"/>
        <rFont val="Calibri"/>
      </rPr>
      <t>Check both the zones and the interface stanza to ensure DHCP proxy server services are not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services dhcp</t>
    </r>
    <r>
      <rPr>
        <sz val="11"/>
        <color rgb="FF000000"/>
        <rFont val="Calibri"/>
      </rPr>
      <t xml:space="preserve">
</t>
    </r>
    <r>
      <rPr>
        <sz val="11"/>
        <color rgb="FF000000"/>
        <rFont val="Calibri"/>
      </rPr>
      <t>If a stanza exists for DHCP (e.g., forwarders option), this is a finding.</t>
    </r>
  </si>
  <si>
    <t>V-214527</t>
  </si>
  <si>
    <r>
      <rPr>
        <sz val="11"/>
        <rFont val="Calibri"/>
      </rPr>
      <t>The Juniper SRX Services Gateway Firewall must be configured to prohibit or restrict the use of unauthorized functions, ports, protocols, and/or services, as defined in the PPSM CAL, vulnerability assessments.</t>
    </r>
  </si>
  <si>
    <r>
      <rPr>
        <sz val="11"/>
        <color rgb="FF000000"/>
        <rFont val="Calibri"/>
      </rPr>
      <t>Ensure functions, ports, protocols, and services identified on the PPSM CAL are not used for system services configuration.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services</t>
    </r>
    <r>
      <rPr>
        <sz val="11"/>
        <color rgb="FF000000"/>
        <rFont val="Calibri"/>
      </rPr>
      <t xml:space="preserve">
</t>
    </r>
    <r>
      <rPr>
        <sz val="11"/>
        <color rgb="FF000000"/>
        <rFont val="Calibri"/>
      </rPr>
      <t>Compare the services which are enabled, including the port, services, protocols and functions.</t>
    </r>
    <r>
      <rPr>
        <sz val="11"/>
        <color rgb="FF000000"/>
        <rFont val="Calibri"/>
      </rPr>
      <t xml:space="preserve">
</t>
    </r>
    <r>
      <rPr>
        <sz val="11"/>
        <color rgb="FF000000"/>
        <rFont val="Calibri"/>
      </rPr>
      <t>Consult the Juniper knowledge base and configuration guides to determine the commands for disabling each port, protocol, service or function that is not in compliance with the PPSM CAL and vulnerability assessments.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</si>
  <si>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DoD continually assesses the ports, protocols, and services that can be used for network communications. Some ports, protocols or services have known exploits or security weaknesses. Network traffic using these ports, protocols, and services must be prohibited or restricted in accordance with DoD policy. The PPSM CAL and vulnerability assessments provide an authoritative source for ports, protocols, and services that are unauthorized or restricted across boundaries on DoD networks.</t>
    </r>
    <r>
      <rPr>
        <sz val="11"/>
        <color rgb="FF000000"/>
        <rFont val="Calibri"/>
      </rPr>
      <t xml:space="preserve">
</t>
    </r>
    <r>
      <rPr>
        <sz val="11"/>
        <color rgb="FF000000"/>
        <rFont val="Calibri"/>
      </rPr>
      <t>The Juniper SRX must be configured to prevent or restrict the use of prohibited ports, protocols, and services throughout the network by filtering the network traffic and disallowing or redirecting traffic as necessary. Default and updated policy filters from the vendors will disallow older version of protocols and applications and will address most known non-secure ports, protocols, and/or services.</t>
    </r>
  </si>
  <si>
    <r>
      <rPr>
        <sz val="11"/>
        <color rgb="FF000000"/>
        <rFont val="Calibri"/>
      </rPr>
      <t>Entering the following commands from the configuration level of the hierarchy.</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services</t>
    </r>
    <r>
      <rPr>
        <sz val="11"/>
        <color rgb="FF000000"/>
        <rFont val="Calibri"/>
      </rPr>
      <t xml:space="preserve">
</t>
    </r>
    <r>
      <rPr>
        <sz val="11"/>
        <color rgb="FF000000"/>
        <rFont val="Calibri"/>
      </rPr>
      <t>If functions, ports, protocols, and services identified on the PPSM CAL are not disabled, this is a finding.</t>
    </r>
  </si>
  <si>
    <t>V-214528</t>
  </si>
  <si>
    <r>
      <rPr>
        <sz val="11"/>
        <rFont val="Calibri"/>
      </rPr>
      <t>The Juniper SRX Services Gateway Firewall must terminate all communications sessions associated with user traffic after 15 minutes or less of inactivity.</t>
    </r>
  </si>
  <si>
    <r>
      <rPr>
        <sz val="11"/>
        <color rgb="FF000000"/>
        <rFont val="Calibri"/>
      </rPr>
      <t>Add or update the session inactivity timeout for communications sessions to 900 seconds or less.</t>
    </r>
    <r>
      <rPr>
        <sz val="11"/>
        <color rgb="FF000000"/>
        <rFont val="Calibri"/>
      </rPr>
      <t xml:space="preserve">
</t>
    </r>
    <r>
      <rPr>
        <sz val="11"/>
        <color rgb="FF000000"/>
        <rFont val="Calibri"/>
      </rPr>
      <t xml:space="preserve">Examples: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applications application &lt;application-name&gt; term 1 protocol udp inactivity-timeout 900</t>
    </r>
    <r>
      <rPr>
        <sz val="11"/>
        <color rgb="FF000000"/>
        <rFont val="Calibri"/>
      </rPr>
      <t xml:space="preserve">
</t>
    </r>
    <r>
      <rPr>
        <sz val="11"/>
        <color rgb="FF000000"/>
        <rFont val="Calibri"/>
      </rPr>
      <t>set applications application junos-http inactivity-timeout 900</t>
    </r>
    <r>
      <rPr>
        <sz val="11"/>
        <color rgb="FF000000"/>
        <rFont val="Calibri"/>
      </rPr>
      <t xml:space="preserve">
</t>
    </r>
    <r>
      <rPr>
        <sz val="11"/>
        <color rgb="FF000000"/>
        <rFont val="Calibri"/>
      </rPr>
      <t>Or</t>
    </r>
    <r>
      <rPr>
        <sz val="11"/>
        <color rgb="FF000000"/>
        <rFont val="Calibri"/>
      </rPr>
      <t xml:space="preserve">
</t>
    </r>
    <r>
      <rPr>
        <sz val="11"/>
        <color rgb="FF000000"/>
        <rFont val="Calibri"/>
      </rPr>
      <t>Create a service that matches any TCP/UDP:</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applications application TCP-ALL source-port 1-65535 destination-port 1-65535 protocol tcp inactivity-timeout 900</t>
    </r>
    <r>
      <rPr>
        <sz val="11"/>
        <color rgb="FF000000"/>
        <rFont val="Calibri"/>
      </rPr>
      <t xml:space="preserve">
</t>
    </r>
    <r>
      <rPr>
        <sz val="11"/>
        <color rgb="FF000000"/>
        <rFont val="Calibri"/>
      </rPr>
      <t>Note: When pre-defined applications are used in firewall policies, the timeout value must be set in the policy stanza.</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</si>
  <si>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This control does not imply that the device terminates all sessions or network access; it only ends the inactive session.</t>
    </r>
    <r>
      <rPr>
        <sz val="11"/>
        <color rgb="FF000000"/>
        <rFont val="Calibri"/>
      </rPr>
      <t xml:space="preserve">
</t>
    </r>
    <r>
      <rPr>
        <sz val="11"/>
        <color rgb="FF000000"/>
        <rFont val="Calibri"/>
      </rPr>
      <t>Since many of the inactivity timeouts pre-defined by Junos OS are set to 1800 seconds, an explicit custom setting of 900 must be set for each application used by the DoD implementation. Since a timeout cannot be set directly on the predefined applications, the timeout must be set on the any firewall rule that uses a pre-defined application (i.e., an application that begins with junos-), otherwise the default pre-defined timeout will be used.</t>
    </r>
  </si>
  <si>
    <r>
      <rPr>
        <sz val="11"/>
        <color rgb="FF000000"/>
        <rFont val="Calibri"/>
      </rPr>
      <t>Check both the applications and protocols to ensure session inactivity timeout for communications sessions is set to 900 seconds or less.</t>
    </r>
    <r>
      <rPr>
        <sz val="11"/>
        <color rgb="FF000000"/>
        <rFont val="Calibri"/>
      </rPr>
      <t xml:space="preserve">
</t>
    </r>
    <r>
      <rPr>
        <sz val="11"/>
        <color rgb="FF000000"/>
        <rFont val="Calibri"/>
      </rPr>
      <t>First get a list of security policies, then enter the show details command for each policy-name found.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policies</t>
    </r>
    <r>
      <rPr>
        <sz val="11"/>
        <color rgb="FF000000"/>
        <rFont val="Calibri"/>
      </rPr>
      <t xml:space="preserve">
</t>
    </r>
    <r>
      <rPr>
        <sz val="11"/>
        <color rgb="FF000000"/>
        <rFont val="Calibri"/>
      </rPr>
      <t>show security policy &lt;policy-name&gt; details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Application: any</t>
    </r>
    <r>
      <rPr>
        <sz val="11"/>
        <color rgb="FF000000"/>
        <rFont val="Calibri"/>
      </rPr>
      <t xml:space="preserve">
</t>
    </r>
    <r>
      <rPr>
        <sz val="11"/>
        <color rgb="FF000000"/>
        <rFont val="Calibri"/>
      </rPr>
      <t xml:space="preserve"> IP protocol: 0, ALG: 0, Inactivity timeout: 0</t>
    </r>
    <r>
      <rPr>
        <sz val="11"/>
        <color rgb="FF000000"/>
        <rFont val="Calibri"/>
      </rPr>
      <t xml:space="preserve">
</t>
    </r>
    <r>
      <rPr>
        <sz val="11"/>
        <color rgb="FF000000"/>
        <rFont val="Calibri"/>
      </rPr>
      <t>Verify an activity timeout is configured for either "any" application or, at a minimum, the pre-defined applications (i.e., application names starting with junos-).</t>
    </r>
    <r>
      <rPr>
        <sz val="11"/>
        <color rgb="FF000000"/>
        <rFont val="Calibri"/>
      </rPr>
      <t xml:space="preserve">
</t>
    </r>
    <r>
      <rPr>
        <sz val="11"/>
        <color rgb="FF000000"/>
        <rFont val="Calibri"/>
      </rPr>
      <t>To verify locally created applications, first get a list of security policies, then enter the show details command for each policy-name found.</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Show applications </t>
    </r>
    <r>
      <rPr>
        <sz val="11"/>
        <color rgb="FF000000"/>
        <rFont val="Calibri"/>
      </rPr>
      <t xml:space="preserve">
</t>
    </r>
    <r>
      <rPr>
        <sz val="11"/>
        <color rgb="FF000000"/>
        <rFont val="Calibri"/>
      </rPr>
      <t>show applications application &lt;application-name&gt;</t>
    </r>
    <r>
      <rPr>
        <sz val="11"/>
        <color rgb="FF000000"/>
        <rFont val="Calibri"/>
      </rPr>
      <t xml:space="preserve">
</t>
    </r>
    <r>
      <rPr>
        <sz val="11"/>
        <color rgb="FF000000"/>
        <rFont val="Calibri"/>
      </rPr>
      <t>If an inactivity timeout value of 900 seconds or less is not set for each locally created application and pre-defined applications, this is a finding.</t>
    </r>
  </si>
  <si>
    <t>V-214529</t>
  </si>
  <si>
    <r>
      <rPr>
        <sz val="11"/>
        <rFont val="Calibri"/>
      </rPr>
      <t>The Juniper SRX Services Gateway Firewall providing content filtering must protect against known and unknown types of denial-of-service (DoS) attacks by implementing statistics-based screens.</t>
    </r>
  </si>
  <si>
    <t>CAT I (High)</t>
  </si>
  <si>
    <r>
      <rPr>
        <sz val="11"/>
        <color rgb="FF000000"/>
        <rFont val="Calibri"/>
      </rPr>
      <t>The following example commands configure security screens under a profile named untrust-screen. Screen options, with configurable thresholds may be customized to minimize/prevent operational impact on traffic performance.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screen ids-option &lt;zone-name&gt; &lt;screen name&gt; &lt;option name&gt; &lt;value&gt;</t>
    </r>
    <r>
      <rPr>
        <sz val="11"/>
        <color rgb="FF000000"/>
        <rFont val="Calibri"/>
      </rPr>
      <t xml:space="preserve">
</t>
    </r>
    <r>
      <rPr>
        <sz val="11"/>
        <color rgb="FF000000"/>
        <rFont val="Calibri"/>
      </rPr>
      <t>Based on 800-53 requirements and vendor recommendations, the following DoS screens are required, at a minimum, for use in DOD configurations.</t>
    </r>
    <r>
      <rPr>
        <sz val="11"/>
        <color rgb="FF000000"/>
        <rFont val="Calibri"/>
      </rPr>
      <t xml:space="preserve">
</t>
    </r>
    <r>
      <rPr>
        <sz val="11"/>
        <color rgb="FF000000"/>
        <rFont val="Calibri"/>
      </rPr>
      <t>set security screen ids-option untrust-screen icmp ip-sweep threshold 1000</t>
    </r>
    <r>
      <rPr>
        <sz val="11"/>
        <color rgb="FF000000"/>
        <rFont val="Calibri"/>
      </rPr>
      <t xml:space="preserve">
</t>
    </r>
    <r>
      <rPr>
        <sz val="11"/>
        <color rgb="FF000000"/>
        <rFont val="Calibri"/>
      </rPr>
      <t>set security screen ids-option untrust-screen tcp port-scan threshold 1000</t>
    </r>
    <r>
      <rPr>
        <sz val="11"/>
        <color rgb="FF000000"/>
        <rFont val="Calibri"/>
      </rPr>
      <t xml:space="preserve">
</t>
    </r>
    <r>
      <rPr>
        <sz val="11"/>
        <color rgb="FF000000"/>
        <rFont val="Calibri"/>
      </rPr>
      <t>set security screen ids-option untrust-screen tcp syn-flood alarm-threshold 1000</t>
    </r>
    <r>
      <rPr>
        <sz val="11"/>
        <color rgb="FF000000"/>
        <rFont val="Calibri"/>
      </rPr>
      <t xml:space="preserve">
</t>
    </r>
    <r>
      <rPr>
        <sz val="11"/>
        <color rgb="FF000000"/>
        <rFont val="Calibri"/>
      </rPr>
      <t>set security screen ids-option untrust-screen tcp syn-flood attack-threshold 1100</t>
    </r>
    <r>
      <rPr>
        <sz val="11"/>
        <color rgb="FF000000"/>
        <rFont val="Calibri"/>
      </rPr>
      <t xml:space="preserve">
</t>
    </r>
    <r>
      <rPr>
        <sz val="11"/>
        <color rgb="FF000000"/>
        <rFont val="Calibri"/>
      </rPr>
      <t>set security screen ids-option untrust-screen tcp syn-flood source-threshold 100</t>
    </r>
    <r>
      <rPr>
        <sz val="11"/>
        <color rgb="FF000000"/>
        <rFont val="Calibri"/>
      </rPr>
      <t xml:space="preserve">
</t>
    </r>
    <r>
      <rPr>
        <sz val="11"/>
        <color rgb="FF000000"/>
        <rFont val="Calibri"/>
      </rPr>
      <t>set security screen ids-option untrust-screen tcp syn-flood destination-threshold 2048</t>
    </r>
    <r>
      <rPr>
        <sz val="11"/>
        <color rgb="FF000000"/>
        <rFont val="Calibri"/>
      </rPr>
      <t xml:space="preserve">
</t>
    </r>
    <r>
      <rPr>
        <sz val="11"/>
        <color rgb="FF000000"/>
        <rFont val="Calibri"/>
      </rPr>
      <t>set security screen ids-option untrust-screen tcp syn-flood timeout 20</t>
    </r>
    <r>
      <rPr>
        <sz val="11"/>
        <color rgb="FF000000"/>
        <rFont val="Calibri"/>
      </rPr>
      <t xml:space="preserve">
</t>
    </r>
    <r>
      <rPr>
        <sz val="11"/>
        <color rgb="FF000000"/>
        <rFont val="Calibri"/>
      </rPr>
      <t>set security screen ids-option untrust-screen udp flood threshold 5000</t>
    </r>
    <r>
      <rPr>
        <sz val="11"/>
        <color rgb="FF000000"/>
        <rFont val="Calibri"/>
      </rPr>
      <t xml:space="preserve">
</t>
    </r>
    <r>
      <rPr>
        <sz val="11"/>
        <color rgb="FF000000"/>
        <rFont val="Calibri"/>
      </rPr>
      <t>set security screen ids-option untrust-screen udp udp-sweep threshold 1000</t>
    </r>
    <r>
      <rPr>
        <sz val="11"/>
        <color rgb="FF000000"/>
        <rFont val="Calibri"/>
      </rPr>
      <t xml:space="preserve">
</t>
    </r>
    <r>
      <rPr>
        <sz val="11"/>
        <color rgb="FF000000"/>
        <rFont val="Calibri"/>
      </rPr>
      <t>To enable screen protection, the screen profile must be associated with individual security zones using the following command. Recommend assigning "untrust-screen" profile name to the default zone named "untrust".</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zone security-zone &lt;zone-name&gt; screen &lt;screen-profile&gt;</t>
    </r>
    <r>
      <rPr>
        <sz val="11"/>
        <color rgb="FF000000"/>
        <rFont val="Calibri"/>
      </rPr>
      <t xml:space="preserve">
</t>
    </r>
    <r>
      <rPr>
        <sz val="11"/>
        <color rgb="FF000000"/>
        <rFont val="Calibri"/>
      </rPr>
      <t>Example: set security zones security-zone untrust screen untrust-screen</t>
    </r>
  </si>
  <si>
    <r>
      <rPr>
        <sz val="11"/>
        <color rgb="FF000000"/>
        <rFont val="Calibri"/>
      </rPr>
      <t>If the network does not provide safeguards against DoS attacks, network resources will be unavailable to users. 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Juniper SRX Firewall DoS protections can be configured by either using a Screen or within the global flow options. Screens, also known as IDS-options, block various layer 3 and 4 attacks. Screen objects are configured with various screen-specific options and then assigned to a zone. The Juniper SRX can be configured with Screens to protect against the following statistics-based DoS attacks: IP sweeps, port scans, and flood attacks.</t>
    </r>
  </si>
  <si>
    <r>
      <rPr>
        <sz val="11"/>
        <color rgb="FF000000"/>
        <rFont val="Calibri"/>
      </rPr>
      <t>Run the following command to see the screen options currently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screen ids-option</t>
    </r>
    <r>
      <rPr>
        <sz val="11"/>
        <color rgb="FF000000"/>
        <rFont val="Calibri"/>
      </rPr>
      <t xml:space="preserve">
</t>
    </r>
    <r>
      <rPr>
        <sz val="11"/>
        <color rgb="FF000000"/>
        <rFont val="Calibri"/>
      </rPr>
      <t>show security zone match "screen"</t>
    </r>
    <r>
      <rPr>
        <sz val="11"/>
        <color rgb="FF000000"/>
        <rFont val="Calibri"/>
      </rPr>
      <t xml:space="preserve">
</t>
    </r>
    <r>
      <rPr>
        <sz val="11"/>
        <color rgb="FF000000"/>
        <rFont val="Calibri"/>
      </rPr>
      <t>If security screens are not configured or if the security zone is not configured with screen options, this is a finding.</t>
    </r>
  </si>
  <si>
    <t>V-214530</t>
  </si>
  <si>
    <r>
      <rPr>
        <sz val="11"/>
        <rFont val="Calibri"/>
      </rPr>
      <t>The Juniper SRX Services Gateway Firewall must implement load balancing on the perimeter firewall, at a minimum, to limit the effects of known and unknown types of denial-of-service (DoS) attacks on the network.</t>
    </r>
  </si>
  <si>
    <r>
      <rPr>
        <sz val="11"/>
        <color rgb="FF000000"/>
        <rFont val="Calibri"/>
      </rPr>
      <t>Consult vendor configuration guides and knowledge base. Implement one or more methods of load balance (e.g., filter based forwarding, per flow load balancing, per-packet load balancing, or HA).</t>
    </r>
  </si>
  <si>
    <r>
      <rPr>
        <sz val="11"/>
        <color rgb="FF000000"/>
        <rFont val="Calibri"/>
      </rPr>
      <t>If the network does not provide safeguards against DoS attacks, network resources will be unavailable to users. Load balancing provides service redundancy, which reduces the susceptibility of the ALG to many DoS attacks.</t>
    </r>
    <r>
      <rPr>
        <sz val="11"/>
        <color rgb="FF000000"/>
        <rFont val="Calibri"/>
      </rPr>
      <t xml:space="preserve">
</t>
    </r>
    <r>
      <rPr>
        <sz val="11"/>
        <color rgb="FF000000"/>
        <rFont val="Calibri"/>
      </rPr>
      <t>This requirement applies to the network traffic functionality of the device as it pertains to handling network traffic. Some types of attacks may be specialized to certain network technologies, functions, or services. For each technology, known and potential DoS attacks must be identified and solutions for each type implemented.</t>
    </r>
    <r>
      <rPr>
        <sz val="11"/>
        <color rgb="FF000000"/>
        <rFont val="Calibri"/>
      </rPr>
      <t xml:space="preserve">
</t>
    </r>
    <r>
      <rPr>
        <sz val="11"/>
        <color rgb="FF000000"/>
        <rFont val="Calibri"/>
      </rPr>
      <t>The Juniper SRX provides a number of methods for load balancing the traffic flow. The device can be configured for filter based forwarding, per flow load balancing, per-packet load balancing, or High Availability (HA) using additional hardware. Since the firewall is considered a critical security system, it is imperative that perimeter firewalls, at a minimum, be safeguarded with redundancy measures such as HA.</t>
    </r>
  </si>
  <si>
    <r>
      <rPr>
        <sz val="11"/>
        <color rgb="FF000000"/>
        <rFont val="Calibri"/>
      </rPr>
      <t>Since load balancing is a highly complex configuration that can be implemented using a wide variety of configurations, ask the site representative to demonstrate the method used and the configuration.</t>
    </r>
    <r>
      <rPr>
        <sz val="11"/>
        <color rgb="FF000000"/>
        <rFont val="Calibri"/>
      </rPr>
      <t xml:space="preserve">
</t>
    </r>
    <r>
      <rPr>
        <sz val="11"/>
        <color rgb="FF000000"/>
        <rFont val="Calibri"/>
      </rPr>
      <t>If load balancing is not implemented on the perimeter firewall, this is a finding.</t>
    </r>
  </si>
  <si>
    <t>V-214531</t>
  </si>
  <si>
    <r>
      <rPr>
        <sz val="11"/>
        <rFont val="Calibri"/>
      </rPr>
      <t>The Juniper SRX Services Gateway Firewall must protect against known types of denial-of-service (DoS) attacks by implementing signature-based screens.</t>
    </r>
  </si>
  <si>
    <r>
      <rPr>
        <sz val="11"/>
        <color rgb="FF000000"/>
        <rFont val="Calibri"/>
      </rPr>
      <t>The following example commands configure security screens under a profile named untrust-screen. Screen options with configurable thresholds may be customized to minimize/prevent operational impact on traffic performance.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screen ids-option &lt;zone-name&gt; &lt;screen name&gt; &lt;option name&gt; &lt;value&gt;</t>
    </r>
    <r>
      <rPr>
        <sz val="11"/>
        <color rgb="FF000000"/>
        <rFont val="Calibri"/>
      </rPr>
      <t xml:space="preserve">
</t>
    </r>
    <r>
      <rPr>
        <sz val="11"/>
        <color rgb="FF000000"/>
        <rFont val="Calibri"/>
      </rPr>
      <t>Based on 800-53 requirements and vendor recommendations, the following signature-based screens are required, at a minimum, for use in DOD configurations.</t>
    </r>
    <r>
      <rPr>
        <sz val="11"/>
        <color rgb="FF000000"/>
        <rFont val="Calibri"/>
      </rPr>
      <t xml:space="preserve">
</t>
    </r>
    <r>
      <rPr>
        <sz val="11"/>
        <color rgb="FF000000"/>
        <rFont val="Calibri"/>
      </rPr>
      <t>set security screen ids-option untrust-screen icmp ping-death</t>
    </r>
    <r>
      <rPr>
        <sz val="11"/>
        <color rgb="FF000000"/>
        <rFont val="Calibri"/>
      </rPr>
      <t xml:space="preserve">
</t>
    </r>
    <r>
      <rPr>
        <sz val="11"/>
        <color rgb="FF000000"/>
        <rFont val="Calibri"/>
      </rPr>
      <t>set security screen ids-option untrust-screen ip bad-option</t>
    </r>
    <r>
      <rPr>
        <sz val="11"/>
        <color rgb="FF000000"/>
        <rFont val="Calibri"/>
      </rPr>
      <t xml:space="preserve">
</t>
    </r>
    <r>
      <rPr>
        <sz val="11"/>
        <color rgb="FF000000"/>
        <rFont val="Calibri"/>
      </rPr>
      <t>set security screen ids-option untrust-screen ip record-route-option</t>
    </r>
    <r>
      <rPr>
        <sz val="11"/>
        <color rgb="FF000000"/>
        <rFont val="Calibri"/>
      </rPr>
      <t xml:space="preserve">
</t>
    </r>
    <r>
      <rPr>
        <sz val="11"/>
        <color rgb="FF000000"/>
        <rFont val="Calibri"/>
      </rPr>
      <t>set security screen ids-option untrust-screen ip timestamp-option</t>
    </r>
    <r>
      <rPr>
        <sz val="11"/>
        <color rgb="FF000000"/>
        <rFont val="Calibri"/>
      </rPr>
      <t xml:space="preserve">
</t>
    </r>
    <r>
      <rPr>
        <sz val="11"/>
        <color rgb="FF000000"/>
        <rFont val="Calibri"/>
      </rPr>
      <t>set security screen ids-option untrust-screen ip security-option</t>
    </r>
    <r>
      <rPr>
        <sz val="11"/>
        <color rgb="FF000000"/>
        <rFont val="Calibri"/>
      </rPr>
      <t xml:space="preserve">
</t>
    </r>
    <r>
      <rPr>
        <sz val="11"/>
        <color rgb="FF000000"/>
        <rFont val="Calibri"/>
      </rPr>
      <t>set security screen ids-option untrust-screen ip stream-option</t>
    </r>
    <r>
      <rPr>
        <sz val="11"/>
        <color rgb="FF000000"/>
        <rFont val="Calibri"/>
      </rPr>
      <t xml:space="preserve">
</t>
    </r>
    <r>
      <rPr>
        <sz val="11"/>
        <color rgb="FF000000"/>
        <rFont val="Calibri"/>
      </rPr>
      <t>set security screen ids-option untrust-screen ip spoofing</t>
    </r>
    <r>
      <rPr>
        <sz val="11"/>
        <color rgb="FF000000"/>
        <rFont val="Calibri"/>
      </rPr>
      <t xml:space="preserve">
</t>
    </r>
    <r>
      <rPr>
        <sz val="11"/>
        <color rgb="FF000000"/>
        <rFont val="Calibri"/>
      </rPr>
      <t>set security screen ids-option untrust-screen ip source-route-option</t>
    </r>
    <r>
      <rPr>
        <sz val="11"/>
        <color rgb="FF000000"/>
        <rFont val="Calibri"/>
      </rPr>
      <t xml:space="preserve">
</t>
    </r>
    <r>
      <rPr>
        <sz val="11"/>
        <color rgb="FF000000"/>
        <rFont val="Calibri"/>
      </rPr>
      <t>set security screen ids-option untrust-screen ip unknown-protocol</t>
    </r>
    <r>
      <rPr>
        <sz val="11"/>
        <color rgb="FF000000"/>
        <rFont val="Calibri"/>
      </rPr>
      <t xml:space="preserve">
</t>
    </r>
    <r>
      <rPr>
        <sz val="11"/>
        <color rgb="FF000000"/>
        <rFont val="Calibri"/>
      </rPr>
      <t>set security screen ids-option untrust-screen ip tear-drop</t>
    </r>
    <r>
      <rPr>
        <sz val="11"/>
        <color rgb="FF000000"/>
        <rFont val="Calibri"/>
      </rPr>
      <t xml:space="preserve">
</t>
    </r>
    <r>
      <rPr>
        <sz val="11"/>
        <color rgb="FF000000"/>
        <rFont val="Calibri"/>
      </rPr>
      <t>set security screen ids-option untrust-screen ip ipv6-extension-header hop-by-hop-header</t>
    </r>
    <r>
      <rPr>
        <sz val="11"/>
        <color rgb="FF000000"/>
        <rFont val="Calibri"/>
      </rPr>
      <t xml:space="preserve">
</t>
    </r>
    <r>
      <rPr>
        <sz val="11"/>
        <color rgb="FF000000"/>
        <rFont val="Calibri"/>
      </rPr>
      <t>jumbo-payload-option</t>
    </r>
    <r>
      <rPr>
        <sz val="11"/>
        <color rgb="FF000000"/>
        <rFont val="Calibri"/>
      </rPr>
      <t xml:space="preserve">
</t>
    </r>
    <r>
      <rPr>
        <sz val="11"/>
        <color rgb="FF000000"/>
        <rFont val="Calibri"/>
      </rPr>
      <t>set security screen ids-option untrust-screen ip ipv6-extension-header hop-by-hop-header</t>
    </r>
    <r>
      <rPr>
        <sz val="11"/>
        <color rgb="FF000000"/>
        <rFont val="Calibri"/>
      </rPr>
      <t xml:space="preserve">
</t>
    </r>
    <r>
      <rPr>
        <sz val="11"/>
        <color rgb="FF000000"/>
        <rFont val="Calibri"/>
      </rPr>
      <t>router-alert-option</t>
    </r>
    <r>
      <rPr>
        <sz val="11"/>
        <color rgb="FF000000"/>
        <rFont val="Calibri"/>
      </rPr>
      <t xml:space="preserve">
</t>
    </r>
    <r>
      <rPr>
        <sz val="11"/>
        <color rgb="FF000000"/>
        <rFont val="Calibri"/>
      </rPr>
      <t>set security screen ids-option untrust-screen ip ipv6-extension-header hop-by-hop-header</t>
    </r>
    <r>
      <rPr>
        <sz val="11"/>
        <color rgb="FF000000"/>
        <rFont val="Calibri"/>
      </rPr>
      <t xml:space="preserve">
</t>
    </r>
    <r>
      <rPr>
        <sz val="11"/>
        <color rgb="FF000000"/>
        <rFont val="Calibri"/>
      </rPr>
      <t>quick-start-option</t>
    </r>
    <r>
      <rPr>
        <sz val="11"/>
        <color rgb="FF000000"/>
        <rFont val="Calibri"/>
      </rPr>
      <t xml:space="preserve">
</t>
    </r>
    <r>
      <rPr>
        <sz val="11"/>
        <color rgb="FF000000"/>
        <rFont val="Calibri"/>
      </rPr>
      <t>set security screen ids-option untrust-screen ip ipv6-extension-header routing-header</t>
    </r>
    <r>
      <rPr>
        <sz val="11"/>
        <color rgb="FF000000"/>
        <rFont val="Calibri"/>
      </rPr>
      <t xml:space="preserve">
</t>
    </r>
    <r>
      <rPr>
        <sz val="11"/>
        <color rgb="FF000000"/>
        <rFont val="Calibri"/>
      </rPr>
      <t>set security screen ids-option untrust-screen ip ipv6-extension-header fragment-header</t>
    </r>
    <r>
      <rPr>
        <sz val="11"/>
        <color rgb="FF000000"/>
        <rFont val="Calibri"/>
      </rPr>
      <t xml:space="preserve">
</t>
    </r>
    <r>
      <rPr>
        <sz val="11"/>
        <color rgb="FF000000"/>
        <rFont val="Calibri"/>
      </rPr>
      <t>set security screen ids-option untrust-screen ip ipv6-extension-header no-next-header</t>
    </r>
    <r>
      <rPr>
        <sz val="11"/>
        <color rgb="FF000000"/>
        <rFont val="Calibri"/>
      </rPr>
      <t xml:space="preserve">
</t>
    </r>
    <r>
      <rPr>
        <sz val="11"/>
        <color rgb="FF000000"/>
        <rFont val="Calibri"/>
      </rPr>
      <t>set security screen ids-option untrust-screen ip ipv6-extension-header shim6-header</t>
    </r>
    <r>
      <rPr>
        <sz val="11"/>
        <color rgb="FF000000"/>
        <rFont val="Calibri"/>
      </rPr>
      <t xml:space="preserve">
</t>
    </r>
    <r>
      <rPr>
        <sz val="11"/>
        <color rgb="FF000000"/>
        <rFont val="Calibri"/>
      </rPr>
      <t>set security screen ids-option untrust-screen ip ipv6-extension-header mobility-header</t>
    </r>
    <r>
      <rPr>
        <sz val="11"/>
        <color rgb="FF000000"/>
        <rFont val="Calibri"/>
      </rPr>
      <t xml:space="preserve">
</t>
    </r>
    <r>
      <rPr>
        <sz val="11"/>
        <color rgb="FF000000"/>
        <rFont val="Calibri"/>
      </rPr>
      <t>set security screen ids-option untrust-screen ip ipv6-malformed-header</t>
    </r>
    <r>
      <rPr>
        <sz val="11"/>
        <color rgb="FF000000"/>
        <rFont val="Calibri"/>
      </rPr>
      <t xml:space="preserve">
</t>
    </r>
    <r>
      <rPr>
        <sz val="11"/>
        <color rgb="FF000000"/>
        <rFont val="Calibri"/>
      </rPr>
      <t>set security screen ids-option untrust-screen tcp syn-fin</t>
    </r>
    <r>
      <rPr>
        <sz val="11"/>
        <color rgb="FF000000"/>
        <rFont val="Calibri"/>
      </rPr>
      <t xml:space="preserve">
</t>
    </r>
    <r>
      <rPr>
        <sz val="11"/>
        <color rgb="FF000000"/>
        <rFont val="Calibri"/>
      </rPr>
      <t>set security screen ids-option untrust-screen tcp fin-no-ack</t>
    </r>
    <r>
      <rPr>
        <sz val="11"/>
        <color rgb="FF000000"/>
        <rFont val="Calibri"/>
      </rPr>
      <t xml:space="preserve">
</t>
    </r>
    <r>
      <rPr>
        <sz val="11"/>
        <color rgb="FF000000"/>
        <rFont val="Calibri"/>
      </rPr>
      <t>set security screen ids-option untrust-screen tcp tcp-no-flag</t>
    </r>
    <r>
      <rPr>
        <sz val="11"/>
        <color rgb="FF000000"/>
        <rFont val="Calibri"/>
      </rPr>
      <t xml:space="preserve">
</t>
    </r>
    <r>
      <rPr>
        <sz val="11"/>
        <color rgb="FF000000"/>
        <rFont val="Calibri"/>
      </rPr>
      <t>set security screen ids-option untrust-screen tcp syn-frag</t>
    </r>
    <r>
      <rPr>
        <sz val="11"/>
        <color rgb="FF000000"/>
        <rFont val="Calibri"/>
      </rPr>
      <t xml:space="preserve">
</t>
    </r>
    <r>
      <rPr>
        <sz val="11"/>
        <color rgb="FF000000"/>
        <rFont val="Calibri"/>
      </rPr>
      <t>set security screen ids-option untrust-screen tcp land</t>
    </r>
    <r>
      <rPr>
        <sz val="11"/>
        <color rgb="FF000000"/>
        <rFont val="Calibri"/>
      </rPr>
      <t xml:space="preserve">
</t>
    </r>
    <r>
      <rPr>
        <sz val="11"/>
        <color rgb="FF000000"/>
        <rFont val="Calibri"/>
      </rPr>
      <t>To enable screen protection, the screen profile must be associated with individual security zones using the following command. Recommend assigning "untrust-screen" profile name to the default zone named "untrust".</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zone security-zone &lt;ZONE NAME&gt; screen &lt;SCREEN PROFILE NAME&gt;</t>
    </r>
    <r>
      <rPr>
        <sz val="11"/>
        <color rgb="FF000000"/>
        <rFont val="Calibri"/>
      </rPr>
      <t xml:space="preserve">
</t>
    </r>
    <r>
      <rPr>
        <sz val="11"/>
        <color rgb="FF000000"/>
        <rFont val="Calibri"/>
      </rPr>
      <t>Example: set security zones security-zone untrust screen untrust-screen</t>
    </r>
  </si>
  <si>
    <r>
      <rPr>
        <sz val="11"/>
        <color rgb="FF000000"/>
        <rFont val="Calibri"/>
      </rPr>
      <t>If the network does not provide safeguards against DoS attacks, network resources will be unavailable to users. Installation of content filtering gateways and application layer firewalls at key boundaries in the architecture mitigates the risk of DoS attacks. These attacks can be detected by matching observed communications traffic with patterns of known attacks.</t>
    </r>
    <r>
      <rPr>
        <sz val="11"/>
        <color rgb="FF000000"/>
        <rFont val="Calibri"/>
      </rPr>
      <t xml:space="preserve">
</t>
    </r>
    <r>
      <rPr>
        <sz val="11"/>
        <color rgb="FF000000"/>
        <rFont val="Calibri"/>
      </rPr>
      <t>Juniper SRX Firewall DoS protections can be configured by either using a Screen or within the global flow options. Screens, also known as IDS-options, block various layer 3 and 4 attacks. Screen objects are configured with various screen-specific options and then assigned to a zone. The Juniper SRX can be configured with Screens to protect against the following signature-based DoS attacks: ICMP based attacks such as ping of death, IP based attacks such as IP spoofing and teardrop, and TCP based attacks such as TCP headers and land.</t>
    </r>
  </si>
  <si>
    <t>V-214532</t>
  </si>
  <si>
    <r>
      <rPr>
        <sz val="11"/>
        <rFont val="Calibri"/>
      </rPr>
      <t>The Juniper SRX Services Gateway Firewall must block outbound traffic containing known and unknown denial-of-service (DoS) attacks to protect against the use of internal information systems to launch any DoS attacks against other networks or endpoints.</t>
    </r>
  </si>
  <si>
    <r>
      <rPr>
        <sz val="11"/>
        <color rgb="FF000000"/>
        <rFont val="Calibri"/>
      </rPr>
      <t>To enable screen protection, the screen profile must be associated with individual security zones using the following command. Recommend assigning "untrust-screen" profile name.</t>
    </r>
    <r>
      <rPr>
        <sz val="11"/>
        <color rgb="FF000000"/>
        <rFont val="Calibri"/>
      </rPr>
      <t xml:space="preserve">
</t>
    </r>
    <r>
      <rPr>
        <sz val="11"/>
        <color rgb="FF000000"/>
        <rFont val="Calibri"/>
      </rPr>
      <t>Apply screen to each outbound interface example:</t>
    </r>
    <r>
      <rPr>
        <sz val="11"/>
        <color rgb="FF000000"/>
        <rFont val="Calibri"/>
      </rPr>
      <t xml:space="preserve">
</t>
    </r>
    <r>
      <rPr>
        <sz val="11"/>
        <color rgb="FF000000"/>
        <rFont val="Calibri"/>
      </rPr>
      <t>set security zones security-zone untrust interfaces &lt;OUTBOUND-INTERFACE&gt;</t>
    </r>
    <r>
      <rPr>
        <sz val="11"/>
        <color rgb="FF000000"/>
        <rFont val="Calibri"/>
      </rPr>
      <t xml:space="preserve">
</t>
    </r>
    <r>
      <rPr>
        <sz val="11"/>
        <color rgb="FF000000"/>
        <rFont val="Calibri"/>
      </rPr>
      <t>set security zones security-zone trust screen untrust-screen</t>
    </r>
  </si>
  <si>
    <r>
      <rPr>
        <sz val="11"/>
        <color rgb="FF000000"/>
        <rFont val="Calibri"/>
      </rPr>
      <t>DoS attacks can take multiple forms but have the common objective of overloading or blocking a network or host to deny or seriously degrade performance. If the network does not provide safeguards against DoS attack, network resources will be unavailable to users. The Juniper SRX must include protection against DoS attacks that originate from inside the enclave, which can affect either internal or external systems. These attacks may use legitimate or rogue endpoints from inside the enclave. These attacks can be simple "floods" of traffic to saturate circuits or devices, malware that consumes CPU and memory on a device or causes it to crash, or a configuration issue that disables or impairs the proper function of a device. For example, an accidental or deliberate misconfiguration of a routing table can misdirect traffic for multiple networks.</t>
    </r>
    <r>
      <rPr>
        <sz val="11"/>
        <color rgb="FF000000"/>
        <rFont val="Calibri"/>
      </rPr>
      <t xml:space="preserve">
</t>
    </r>
    <r>
      <rPr>
        <sz val="11"/>
        <color rgb="FF000000"/>
        <rFont val="Calibri"/>
      </rPr>
      <t xml:space="preserve">The Juniper SRX Firewall uses Screens and Security Policies to detect known DoS attacks with known attack vectors. However, these Screens and policies must be applied to outbound traffic using zones and interface stanzas. </t>
    </r>
    <r>
      <rPr>
        <sz val="11"/>
        <color rgb="FF000000"/>
        <rFont val="Calibri"/>
      </rPr>
      <t xml:space="preserve">
</t>
    </r>
    <r>
      <rPr>
        <sz val="11"/>
        <color rgb="FF000000"/>
        <rFont val="Calibri"/>
      </rPr>
      <t>Traffic exits the Juniper SRX by way of interfaces. Security zones are configured for one or more interfaces with the same security requirements for filtering data packets. A security zone implements a security policy for one or multiple network segments. These policies must be applied to inbound traffic as it crosses both the network perimeter and as it crosses internal security domain boundaries.</t>
    </r>
  </si>
  <si>
    <r>
      <rPr>
        <sz val="11"/>
        <color rgb="FF000000"/>
        <rFont val="Calibri"/>
      </rPr>
      <t>Obtain and review the list of outbound interfaces and zones. This is usually part of the System Design Specification or Accreditation Package.</t>
    </r>
    <r>
      <rPr>
        <sz val="11"/>
        <color rgb="FF000000"/>
        <rFont val="Calibri"/>
      </rPr>
      <t xml:space="preserve">
</t>
    </r>
    <r>
      <rPr>
        <sz val="11"/>
        <color rgb="FF000000"/>
        <rFont val="Calibri"/>
      </rPr>
      <t>Review each of the configured outbound interfaces and zones. Verify zones that communicate outbound have been configured with DoS screens.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zones &lt;security-zone-name&gt;</t>
    </r>
    <r>
      <rPr>
        <sz val="11"/>
        <color rgb="FF000000"/>
        <rFont val="Calibri"/>
      </rPr>
      <t xml:space="preserve">
</t>
    </r>
    <r>
      <rPr>
        <sz val="11"/>
        <color rgb="FF000000"/>
        <rFont val="Calibri"/>
      </rPr>
      <t>If the zone for the security screen has not been applied to all outbound interfaces, this is a finding.</t>
    </r>
  </si>
  <si>
    <t>V-214533</t>
  </si>
  <si>
    <r>
      <rPr>
        <sz val="11"/>
        <rFont val="Calibri"/>
      </rPr>
      <t>The Juniper SRX Services Gateway Firewall must only allow inbound communications from organization-defined authorized sources routed to organization-defined authorized destinations.</t>
    </r>
  </si>
  <si>
    <r>
      <rPr>
        <sz val="11"/>
        <color rgb="FF000000"/>
        <rFont val="Calibri"/>
      </rPr>
      <t>Configure a security policy or screen to each outbound zone to implement continuous monitoring. The following commands configure a security zone called “untrust” that can be used to apply security policy for inbound interfaces that are connected to untrusted networks. This example assumes that interfaces ge-0/0/1 and ge-0/0/2 are connected to untrusted and trusted network segments.</t>
    </r>
    <r>
      <rPr>
        <sz val="11"/>
        <color rgb="FF000000"/>
        <rFont val="Calibri"/>
      </rPr>
      <t xml:space="preserve">
</t>
    </r>
    <r>
      <rPr>
        <sz val="11"/>
        <color rgb="FF000000"/>
        <rFont val="Calibri"/>
      </rPr>
      <t>Apply security policy a zone example:</t>
    </r>
    <r>
      <rPr>
        <sz val="11"/>
        <color rgb="FF000000"/>
        <rFont val="Calibri"/>
      </rPr>
      <t xml:space="preserve">
</t>
    </r>
    <r>
      <rPr>
        <sz val="11"/>
        <color rgb="FF000000"/>
        <rFont val="Calibri"/>
      </rPr>
      <t>set security zones security-zone untrust interfaces ge-0/0/1.0</t>
    </r>
    <r>
      <rPr>
        <sz val="11"/>
        <color rgb="FF000000"/>
        <rFont val="Calibri"/>
      </rPr>
      <t xml:space="preserve">
</t>
    </r>
    <r>
      <rPr>
        <sz val="11"/>
        <color rgb="FF000000"/>
        <rFont val="Calibri"/>
      </rPr>
      <t>set security zones security-zone trust interfaces ge-0/0/2.0</t>
    </r>
    <r>
      <rPr>
        <sz val="11"/>
        <color rgb="FF000000"/>
        <rFont val="Calibri"/>
      </rPr>
      <t xml:space="preserve">
</t>
    </r>
    <r>
      <rPr>
        <sz val="11"/>
        <color rgb="FF000000"/>
        <rFont val="Calibri"/>
      </rPr>
      <t>set security policies from-zone trust to-zone untrust policy default-deny match destination-address any</t>
    </r>
    <r>
      <rPr>
        <sz val="11"/>
        <color rgb="FF000000"/>
        <rFont val="Calibri"/>
      </rPr>
      <t xml:space="preserve">
</t>
    </r>
    <r>
      <rPr>
        <sz val="11"/>
        <color rgb="FF000000"/>
        <rFont val="Calibri"/>
      </rPr>
      <t>set security policies from-zone trust to-zone untrust policy default-deny then deny</t>
    </r>
  </si>
  <si>
    <r>
      <rPr>
        <sz val="11"/>
        <color rgb="FF000000"/>
        <rFont val="Calibri"/>
      </rPr>
      <t>Unrestricted traffic may contain malicious traffic which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Traffic enters the Juniper SRX by way of interfaces. Security zones are configured for one or more interfaces with the same security requirements for filtering data packets. A security zone implements a security policy for one or multiple network segments. These policies must be applied to inbound traffic as it crosses the network perimeter and as it crosses internal security domain boundaries.</t>
    </r>
  </si>
  <si>
    <r>
      <rPr>
        <sz val="11"/>
        <color rgb="FF000000"/>
        <rFont val="Calibri"/>
      </rPr>
      <t>Obtain and review the list of authorized sources and destinations. This is usually part of the System Design Specification or Accreditation Package.</t>
    </r>
    <r>
      <rPr>
        <sz val="11"/>
        <color rgb="FF000000"/>
        <rFont val="Calibri"/>
      </rPr>
      <t xml:space="preserve">
</t>
    </r>
    <r>
      <rPr>
        <sz val="11"/>
        <color rgb="FF000000"/>
        <rFont val="Calibri"/>
      </rPr>
      <t>Review each of the configured security policies in turn.</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policies &lt;security-policy-name&gt;</t>
    </r>
    <r>
      <rPr>
        <sz val="11"/>
        <color rgb="FF000000"/>
        <rFont val="Calibri"/>
      </rPr>
      <t xml:space="preserve">
</t>
    </r>
    <r>
      <rPr>
        <sz val="11"/>
        <color rgb="FF000000"/>
        <rFont val="Calibri"/>
      </rPr>
      <t>If any existing policies allow traffic that is not part of the authorized sources and destinations list, this is a finding.</t>
    </r>
  </si>
  <si>
    <t>V-214534</t>
  </si>
  <si>
    <r>
      <rPr>
        <sz val="11"/>
        <rFont val="Calibri"/>
      </rPr>
      <t>The Juniper SRX Services Gateway Firewall must be configured to fail securely in the event of an operational failure of the firewall filtering or boundary protection function.</t>
    </r>
  </si>
  <si>
    <r>
      <rPr>
        <sz val="11"/>
        <color rgb="FF000000"/>
        <rFont val="Calibri"/>
      </rPr>
      <t>Implement and configure the Juniper SRX to fail closed, thus preventing traffic from flowing through without filtering and inspection. In case of failure, document a process for the Juniper SRX to be configured to fail closed. Redundancy should be implemented if failing closed has a mission impact.</t>
    </r>
  </si>
  <si>
    <r>
      <rPr>
        <sz val="11"/>
        <color rgb="FF000000"/>
        <rFont val="Calibri"/>
      </rPr>
      <t>If a boundary protection device fails in an unsecure manner (open), information external to the boundary protection device may enter, or the device may permit unauthorized information release.</t>
    </r>
    <r>
      <rPr>
        <sz val="11"/>
        <color rgb="FF000000"/>
        <rFont val="Calibri"/>
      </rPr>
      <t xml:space="preserve">
</t>
    </r>
    <r>
      <rPr>
        <sz val="11"/>
        <color rgb="FF000000"/>
        <rFont val="Calibri"/>
      </rPr>
      <t>Secure failure ensures when a boundary control device fails, all traffic will be subsequently denied.</t>
    </r>
    <r>
      <rPr>
        <sz val="11"/>
        <color rgb="FF000000"/>
        <rFont val="Calibri"/>
      </rPr>
      <t xml:space="preserve">
</t>
    </r>
    <r>
      <rPr>
        <sz val="11"/>
        <color rgb="FF000000"/>
        <rFont val="Calibri"/>
      </rPr>
      <t>Fail secure is a condition achieved by employing information system mechanisms to ensure in the event of operational failures of boundary protection devices at managed interfaces (e.g., routers, firewalls, guards, and application gateways residing on protected subnetworks commonly referred to as demilitarized zones), information systems do not enter into unsecure states where intended security properties no longer hold.</t>
    </r>
  </si>
  <si>
    <r>
      <rPr>
        <sz val="11"/>
        <color rgb="FF000000"/>
        <rFont val="Calibri"/>
      </rPr>
      <t>Request documentation of the architecture and Juniper SRX configuration. Verify the site has configured the SRX to fail closed, thus preventing traffic from flowing through without filtering and inspection.</t>
    </r>
    <r>
      <rPr>
        <sz val="11"/>
        <color rgb="FF000000"/>
        <rFont val="Calibri"/>
      </rPr>
      <t xml:space="preserve">
</t>
    </r>
    <r>
      <rPr>
        <sz val="11"/>
        <color rgb="FF000000"/>
        <rFont val="Calibri"/>
      </rPr>
      <t>If the site has not configured the SRX to fail closed, this is a finding.</t>
    </r>
  </si>
  <si>
    <t>V-214535</t>
  </si>
  <si>
    <r>
      <rPr>
        <sz val="11"/>
        <rFont val="Calibri"/>
      </rPr>
      <t>The Juniper SRX Services Gateway Firewall must deny network communications traffic by default and allow network communications traffic by exception (i.e., deny all, permit by exception).</t>
    </r>
  </si>
  <si>
    <r>
      <rPr>
        <sz val="11"/>
        <color rgb="FF000000"/>
        <rFont val="Calibri"/>
      </rPr>
      <t>By default, the SRX device will not forward traffic unless it is explicitly permitted via security policy. If the default-policy has been changed, then this must be corrected using the set security policies default-policy command.</t>
    </r>
  </si>
  <si>
    <r>
      <rPr>
        <sz val="11"/>
        <color rgb="FF000000"/>
        <rFont val="Calibri"/>
      </rPr>
      <t>A deny-all, permit-by-exception network communications traffic policy ensures that only those connections which are essential and approved are allowed.</t>
    </r>
    <r>
      <rPr>
        <sz val="11"/>
        <color rgb="FF000000"/>
        <rFont val="Calibri"/>
      </rPr>
      <t xml:space="preserve">
</t>
    </r>
    <r>
      <rPr>
        <sz val="11"/>
        <color rgb="FF000000"/>
        <rFont val="Calibri"/>
      </rPr>
      <t>As a managed interface, the ALG must block all inbound and outbound network communications traffic to the application being managed and controlled unless a policy filter is installed to explicitly allow the traffic. The allow policy filters must comply with the site's security policy. A deny all, permit by exception network communications traffic policy ensures that only those connections which are essential and approved, are allowed.</t>
    </r>
    <r>
      <rPr>
        <sz val="11"/>
        <color rgb="FF000000"/>
        <rFont val="Calibri"/>
      </rPr>
      <t xml:space="preserve">
</t>
    </r>
    <r>
      <rPr>
        <sz val="11"/>
        <color rgb="FF000000"/>
        <rFont val="Calibri"/>
      </rPr>
      <t>By default, Junos denies all traffic through an SRX Series device using an implicit default security policy exists that denies all packets. Organizations must configure security policies that permits or redirects traffic in compliance with DoD policies and best practices. Sites must not change the factory-default security policies.</t>
    </r>
  </si>
  <si>
    <r>
      <rPr>
        <sz val="11"/>
        <color rgb="FF000000"/>
        <rFont val="Calibri"/>
      </rPr>
      <t>Verify the default-policy has not been changed and is set to deny all traffic.</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policies default-policy</t>
    </r>
    <r>
      <rPr>
        <sz val="11"/>
        <color rgb="FF000000"/>
        <rFont val="Calibri"/>
      </rPr>
      <t xml:space="preserve">
</t>
    </r>
    <r>
      <rPr>
        <sz val="11"/>
        <color rgb="FF000000"/>
        <rFont val="Calibri"/>
      </rPr>
      <t>If the default-policy is not set to deny-all, this is a finding.</t>
    </r>
  </si>
  <si>
    <t>V-214536</t>
  </si>
  <si>
    <r>
      <rPr>
        <sz val="11"/>
        <rFont val="Calibri"/>
      </rPr>
      <t>The Juniper SRX Services Gateway Firewall must configure ICMP to meet DoD requirements.</t>
    </r>
  </si>
  <si>
    <r>
      <rPr>
        <sz val="11"/>
        <color rgb="FF000000"/>
        <rFont val="Calibri"/>
      </rPr>
      <t>Configure ICMP to meet DoD requirements. The following is an example which uses the filter name "protect_re" as the filter name with pre-configured address books (source-prefix-lists).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firewall family inet filter protect_re term permit-icmp from source-prefix-list ssh-addresses</t>
    </r>
    <r>
      <rPr>
        <sz val="11"/>
        <color rgb="FF000000"/>
        <rFont val="Calibri"/>
      </rPr>
      <t xml:space="preserve">
</t>
    </r>
    <r>
      <rPr>
        <sz val="11"/>
        <color rgb="FF000000"/>
        <rFont val="Calibri"/>
      </rPr>
      <t>set firewall family inet filter protect_re term permit-icmp from source-prefix-list bgp-addresses</t>
    </r>
    <r>
      <rPr>
        <sz val="11"/>
        <color rgb="FF000000"/>
        <rFont val="Calibri"/>
      </rPr>
      <t xml:space="preserve">
</t>
    </r>
    <r>
      <rPr>
        <sz val="11"/>
        <color rgb="FF000000"/>
        <rFont val="Calibri"/>
      </rPr>
      <t>set firewall family inet filter protect_re term permit-icmp from source-prefix-list loopback-addresses</t>
    </r>
    <r>
      <rPr>
        <sz val="11"/>
        <color rgb="FF000000"/>
        <rFont val="Calibri"/>
      </rPr>
      <t xml:space="preserve">
</t>
    </r>
    <r>
      <rPr>
        <sz val="11"/>
        <color rgb="FF000000"/>
        <rFont val="Calibri"/>
      </rPr>
      <t>set firewall family inet filter protect_re term permit-icmp from source-prefix-list local-addresses</t>
    </r>
    <r>
      <rPr>
        <sz val="11"/>
        <color rgb="FF000000"/>
        <rFont val="Calibri"/>
      </rPr>
      <t xml:space="preserve">
</t>
    </r>
    <r>
      <rPr>
        <sz val="11"/>
        <color rgb="FF000000"/>
        <rFont val="Calibri"/>
      </rPr>
      <t>set firewall family inet filter protect_re term permit-icmp from source-prefix-list ixiav4</t>
    </r>
    <r>
      <rPr>
        <sz val="11"/>
        <color rgb="FF000000"/>
        <rFont val="Calibri"/>
      </rPr>
      <t xml:space="preserve">
</t>
    </r>
    <r>
      <rPr>
        <sz val="11"/>
        <color rgb="FF000000"/>
        <rFont val="Calibri"/>
      </rPr>
      <t>set firewall family inet filter protect_re term permit-icmp from icmp-type echo-request</t>
    </r>
    <r>
      <rPr>
        <sz val="11"/>
        <color rgb="FF000000"/>
        <rFont val="Calibri"/>
      </rPr>
      <t xml:space="preserve">
</t>
    </r>
    <r>
      <rPr>
        <sz val="11"/>
        <color rgb="FF000000"/>
        <rFont val="Calibri"/>
      </rPr>
      <t>set firewall family inet filter protect_re term permit-icmp from icmp-type echo-reply</t>
    </r>
    <r>
      <rPr>
        <sz val="11"/>
        <color rgb="FF000000"/>
        <rFont val="Calibri"/>
      </rPr>
      <t xml:space="preserve">
</t>
    </r>
    <r>
      <rPr>
        <sz val="11"/>
        <color rgb="FF000000"/>
        <rFont val="Calibri"/>
      </rPr>
      <t>set firewall family inet filter protect_re term permit-icmp then log</t>
    </r>
    <r>
      <rPr>
        <sz val="11"/>
        <color rgb="FF000000"/>
        <rFont val="Calibri"/>
      </rPr>
      <t xml:space="preserve">
</t>
    </r>
    <r>
      <rPr>
        <sz val="11"/>
        <color rgb="FF000000"/>
        <rFont val="Calibri"/>
      </rPr>
      <t>set firewall family inet filter protect_re term permit-icmp then syslog</t>
    </r>
    <r>
      <rPr>
        <sz val="11"/>
        <color rgb="FF000000"/>
        <rFont val="Calibri"/>
      </rPr>
      <t xml:space="preserve">
</t>
    </r>
    <r>
      <rPr>
        <sz val="11"/>
        <color rgb="FF000000"/>
        <rFont val="Calibri"/>
      </rPr>
      <t>set firewall family inet filter protect_re term permit-icmp then accept</t>
    </r>
    <r>
      <rPr>
        <sz val="11"/>
        <color rgb="FF000000"/>
        <rFont val="Calibri"/>
      </rPr>
      <t xml:space="preserve">
</t>
    </r>
    <r>
      <rPr>
        <sz val="11"/>
        <color rgb="FF000000"/>
        <rFont val="Calibri"/>
      </rPr>
      <t>set firewall family inet6 filter protect_re-v6 term permit-ar from icmp-type neighboradvertisement</t>
    </r>
    <r>
      <rPr>
        <sz val="11"/>
        <color rgb="FF000000"/>
        <rFont val="Calibri"/>
      </rPr>
      <t xml:space="preserve">
</t>
    </r>
    <r>
      <rPr>
        <sz val="11"/>
        <color rgb="FF000000"/>
        <rFont val="Calibri"/>
      </rPr>
      <t>set firewall family inet6 filter protect_re-v6 term permit-ar from icmp-type neighborsolicit</t>
    </r>
    <r>
      <rPr>
        <sz val="11"/>
        <color rgb="FF000000"/>
        <rFont val="Calibri"/>
      </rPr>
      <t xml:space="preserve">
</t>
    </r>
    <r>
      <rPr>
        <sz val="11"/>
        <color rgb="FF000000"/>
        <rFont val="Calibri"/>
      </rPr>
      <t>set firewall family inet6 filter ingress-v6 term permit-ar from icmp-type neighboradvertisement</t>
    </r>
    <r>
      <rPr>
        <sz val="11"/>
        <color rgb="FF000000"/>
        <rFont val="Calibri"/>
      </rPr>
      <t xml:space="preserve">
</t>
    </r>
    <r>
      <rPr>
        <sz val="11"/>
        <color rgb="FF000000"/>
        <rFont val="Calibri"/>
      </rPr>
      <t>set firewall family inet6 filter ingress-v6 term permit-ar from icmp-type neighborsolicit</t>
    </r>
    <r>
      <rPr>
        <sz val="11"/>
        <color rgb="FF000000"/>
        <rFont val="Calibri"/>
      </rPr>
      <t xml:space="preserve">
</t>
    </r>
    <r>
      <rPr>
        <sz val="11"/>
        <color rgb="FF000000"/>
        <rFont val="Calibri"/>
      </rPr>
      <t>set firewall family inet6 filter ingress-v6 term permit-ar from icmp-type 134</t>
    </r>
    <r>
      <rPr>
        <sz val="11"/>
        <color rgb="FF000000"/>
        <rFont val="Calibri"/>
      </rPr>
      <t xml:space="preserve">
</t>
    </r>
    <r>
      <rPr>
        <sz val="11"/>
        <color rgb="FF000000"/>
        <rFont val="Calibri"/>
      </rPr>
      <t>set firewall family inet6 filter ingress-v6 term permit-ar then accept</t>
    </r>
    <r>
      <rPr>
        <sz val="11"/>
        <color rgb="FF000000"/>
        <rFont val="Calibri"/>
      </rPr>
      <t xml:space="preserve">
</t>
    </r>
    <r>
      <rPr>
        <sz val="11"/>
        <color rgb="FF000000"/>
        <rFont val="Calibri"/>
      </rPr>
      <t>set firewall family inet6 filter egress-v6 term permit-lr from icmp-type neighboradvertisement</t>
    </r>
    <r>
      <rPr>
        <sz val="11"/>
        <color rgb="FF000000"/>
        <rFont val="Calibri"/>
      </rPr>
      <t xml:space="preserve">
</t>
    </r>
    <r>
      <rPr>
        <sz val="11"/>
        <color rgb="FF000000"/>
        <rFont val="Calibri"/>
      </rPr>
      <t>set firewall family inet6 filter egress-v6 term permit-lr from icmp-type neighbor-solicit</t>
    </r>
    <r>
      <rPr>
        <sz val="11"/>
        <color rgb="FF000000"/>
        <rFont val="Calibri"/>
      </rPr>
      <t xml:space="preserve">
</t>
    </r>
    <r>
      <rPr>
        <sz val="11"/>
        <color rgb="FF000000"/>
        <rFont val="Calibri"/>
      </rPr>
      <t>set firewall family inet6 filter egress-v6 term permit-lr from icmp-type 134</t>
    </r>
    <r>
      <rPr>
        <sz val="11"/>
        <color rgb="FF000000"/>
        <rFont val="Calibri"/>
      </rPr>
      <t xml:space="preserve">
</t>
    </r>
    <r>
      <rPr>
        <sz val="11"/>
        <color rgb="FF000000"/>
        <rFont val="Calibri"/>
      </rPr>
      <t>set firewall family inet6 filter egress-v6 term permit-lr then accept</t>
    </r>
  </si>
  <si>
    <r>
      <rPr>
        <sz val="11"/>
        <color rgb="FF000000"/>
        <rFont val="Calibri"/>
      </rPr>
      <t>Providing too much information in error messages risks compromising the data and security of the application and system.</t>
    </r>
    <r>
      <rPr>
        <sz val="11"/>
        <color rgb="FF000000"/>
        <rFont val="Calibri"/>
      </rPr>
      <t xml:space="preserve">
</t>
    </r>
    <r>
      <rPr>
        <sz val="11"/>
        <color rgb="FF000000"/>
        <rFont val="Calibri"/>
      </rPr>
      <t>Organizations carefully consider the structure/content of error messages. The required information within error messages will vary based on the protocol and error condition. Information that could be exploited by adversaries includes ICMP messages that reveal the use of firewalls or access-control lists.</t>
    </r>
  </si>
  <si>
    <r>
      <rPr>
        <sz val="11"/>
        <color rgb="FF000000"/>
        <rFont val="Calibri"/>
      </rPr>
      <t>Verify ICMP messages are configured to meet DoD requirements.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firewall family inet</t>
    </r>
    <r>
      <rPr>
        <sz val="11"/>
        <color rgb="FF000000"/>
        <rFont val="Calibri"/>
      </rPr>
      <t xml:space="preserve">
</t>
    </r>
    <r>
      <rPr>
        <sz val="11"/>
        <color rgb="FF000000"/>
        <rFont val="Calibri"/>
      </rPr>
      <t>If ICMP messages are not configured in compliance with DoD requirements, this is a finding.</t>
    </r>
  </si>
  <si>
    <t>V-214537</t>
  </si>
  <si>
    <r>
      <rPr>
        <sz val="11"/>
        <rFont val="Calibri"/>
      </rPr>
      <t>The Juniper SRX Services Gateway Firewall must continuously monitor all inbound communications traffic for unusual/unauthorized activities or conditions.</t>
    </r>
  </si>
  <si>
    <r>
      <rPr>
        <sz val="11"/>
        <color rgb="FF000000"/>
        <rFont val="Calibri"/>
      </rPr>
      <t>Configure a security policy or screen to each inbound zone to implement continuous monitoring. The following commands configure a security zone called “untrust” that can be used to apply security policy for inbound interfaces that are connected to untrusted networks. This example assumes that interfaces ge-0/0/1 and ge-0/0/2 are connected to untrusted and trusted network segments.</t>
    </r>
    <r>
      <rPr>
        <sz val="11"/>
        <color rgb="FF000000"/>
        <rFont val="Calibri"/>
      </rPr>
      <t xml:space="preserve">
</t>
    </r>
    <r>
      <rPr>
        <sz val="11"/>
        <color rgb="FF000000"/>
        <rFont val="Calibri"/>
      </rPr>
      <t>Apply policy or screen to a zone example:</t>
    </r>
    <r>
      <rPr>
        <sz val="11"/>
        <color rgb="FF000000"/>
        <rFont val="Calibri"/>
      </rPr>
      <t xml:space="preserve">
</t>
    </r>
    <r>
      <rPr>
        <sz val="11"/>
        <color rgb="FF000000"/>
        <rFont val="Calibri"/>
      </rPr>
      <t>set security zones security-zone untrust interfaces ge-0/0/1.0</t>
    </r>
    <r>
      <rPr>
        <sz val="11"/>
        <color rgb="FF000000"/>
        <rFont val="Calibri"/>
      </rPr>
      <t xml:space="preserve">
</t>
    </r>
    <r>
      <rPr>
        <sz val="11"/>
        <color rgb="FF000000"/>
        <rFont val="Calibri"/>
      </rPr>
      <t>set security zones security-zone trust interfaces ge-0/0/2.0</t>
    </r>
    <r>
      <rPr>
        <sz val="11"/>
        <color rgb="FF000000"/>
        <rFont val="Calibri"/>
      </rPr>
      <t xml:space="preserve">
</t>
    </r>
    <r>
      <rPr>
        <sz val="11"/>
        <color rgb="FF000000"/>
        <rFont val="Calibri"/>
      </rPr>
      <t>set security zones security-zone untrust screen untrust-screen</t>
    </r>
    <r>
      <rPr>
        <sz val="11"/>
        <color rgb="FF000000"/>
        <rFont val="Calibri"/>
      </rPr>
      <t xml:space="preserve">
</t>
    </r>
    <r>
      <rPr>
        <sz val="11"/>
        <color rgb="FF000000"/>
        <rFont val="Calibri"/>
      </rPr>
      <t>set security policies from-zone untrust to-zone trust policy default-deny match destination-address any</t>
    </r>
    <r>
      <rPr>
        <sz val="11"/>
        <color rgb="FF000000"/>
        <rFont val="Calibri"/>
      </rPr>
      <t xml:space="preserve">
</t>
    </r>
    <r>
      <rPr>
        <sz val="11"/>
        <color rgb="FF000000"/>
        <rFont val="Calibri"/>
      </rPr>
      <t>set security policies from-zone untrust to-zone trust policy default-deny then deny</t>
    </r>
  </si>
  <si>
    <r>
      <rPr>
        <sz val="11"/>
        <color rgb="FF000000"/>
        <rFont val="Calibri"/>
      </rPr>
      <t>If inbound communications traffic is not continuously monitored, hostile activity may not be detected and prevented. Output from application and traffic monitoring serves as input to continuous monitoring and incident response programs.</t>
    </r>
    <r>
      <rPr>
        <sz val="11"/>
        <color rgb="FF000000"/>
        <rFont val="Calibri"/>
      </rPr>
      <t xml:space="preserve">
</t>
    </r>
    <r>
      <rPr>
        <sz val="11"/>
        <color rgb="FF000000"/>
        <rFont val="Calibri"/>
      </rPr>
      <t xml:space="preserve">The Juniper SRX is a highly scalable system which, by default, provides stateful or stateless continuous monitoring when placed in the architecture at either the perimeter or internal boundaries. </t>
    </r>
    <r>
      <rPr>
        <sz val="11"/>
        <color rgb="FF000000"/>
        <rFont val="Calibri"/>
      </rPr>
      <t xml:space="preserve">
</t>
    </r>
    <r>
      <rPr>
        <sz val="11"/>
        <color rgb="FF000000"/>
        <rFont val="Calibri"/>
      </rPr>
      <t xml:space="preserve">Unusual/unauthorized activities or conditions may include unusual use of unusual protocols or ports and attempted communications from trusted zones to external addresses. </t>
    </r>
    <r>
      <rPr>
        <sz val="11"/>
        <color rgb="FF000000"/>
        <rFont val="Calibri"/>
      </rPr>
      <t xml:space="preserve">
</t>
    </r>
    <r>
      <rPr>
        <sz val="11"/>
        <color rgb="FF000000"/>
        <rFont val="Calibri"/>
      </rPr>
      <t>Interfaces with identical security requirements can be grouped together into a single security zone. By default, once a security policy is applied to a zone, the Juniper SRX continuously monitors the associated zone for unusual/unauthorized activities or conditions based on the firewall filter or screen associated with that zone.</t>
    </r>
  </si>
  <si>
    <r>
      <rPr>
        <sz val="11"/>
        <color rgb="FF000000"/>
        <rFont val="Calibri"/>
      </rPr>
      <t>For each inbound zone, verify a firewall screen or security policy is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zone</t>
    </r>
    <r>
      <rPr>
        <sz val="11"/>
        <color rgb="FF000000"/>
        <rFont val="Calibri"/>
      </rPr>
      <t xml:space="preserve">
</t>
    </r>
    <r>
      <rPr>
        <sz val="11"/>
        <color rgb="FF000000"/>
        <rFont val="Calibri"/>
      </rPr>
      <t>show security policies</t>
    </r>
    <r>
      <rPr>
        <sz val="11"/>
        <color rgb="FF000000"/>
        <rFont val="Calibri"/>
      </rPr>
      <t xml:space="preserve">
</t>
    </r>
    <r>
      <rPr>
        <sz val="11"/>
        <color rgb="FF000000"/>
        <rFont val="Calibri"/>
      </rPr>
      <t>If communications traffic for each inbound zone is not configured with a firewall screen and/or security policy, this is a finding.</t>
    </r>
  </si>
  <si>
    <t>V-214538</t>
  </si>
  <si>
    <r>
      <rPr>
        <sz val="11"/>
        <rFont val="Calibri"/>
      </rPr>
      <t>The Juniper SRX Services Gateway Firewall must continuously monitor outbound communications traffic for unusual/unauthorized activities or conditions.</t>
    </r>
  </si>
  <si>
    <r>
      <rPr>
        <sz val="11"/>
        <color rgb="FF000000"/>
        <rFont val="Calibri"/>
      </rPr>
      <t>Configure a security policy or screen to each outbound zone to implement continuous monitoring. The following commands configure a security zone called "untrust" that can be used to apply security policy for inbound interfaces that are connected to untrusted networks. This example assumes that interfaces ge-0/0/1 and ge-0/0/2 are connected to untrusted and trusted network segments.</t>
    </r>
    <r>
      <rPr>
        <sz val="11"/>
        <color rgb="FF000000"/>
        <rFont val="Calibri"/>
      </rPr>
      <t xml:space="preserve">
</t>
    </r>
    <r>
      <rPr>
        <sz val="11"/>
        <color rgb="FF000000"/>
        <rFont val="Calibri"/>
      </rPr>
      <t>Apply policy or screen to a zone example:</t>
    </r>
    <r>
      <rPr>
        <sz val="11"/>
        <color rgb="FF000000"/>
        <rFont val="Calibri"/>
      </rPr>
      <t xml:space="preserve">
</t>
    </r>
    <r>
      <rPr>
        <sz val="11"/>
        <color rgb="FF000000"/>
        <rFont val="Calibri"/>
      </rPr>
      <t>set security zones security-zone untrust interfaces ge-0/0/1.0</t>
    </r>
    <r>
      <rPr>
        <sz val="11"/>
        <color rgb="FF000000"/>
        <rFont val="Calibri"/>
      </rPr>
      <t xml:space="preserve">
</t>
    </r>
    <r>
      <rPr>
        <sz val="11"/>
        <color rgb="FF000000"/>
        <rFont val="Calibri"/>
      </rPr>
      <t>set security zones security-zone trust interfaces ge-0/0/2.0</t>
    </r>
    <r>
      <rPr>
        <sz val="11"/>
        <color rgb="FF000000"/>
        <rFont val="Calibri"/>
      </rPr>
      <t xml:space="preserve">
</t>
    </r>
    <r>
      <rPr>
        <sz val="11"/>
        <color rgb="FF000000"/>
        <rFont val="Calibri"/>
      </rPr>
      <t>set security zones security-zone untrust screen untrust-screen</t>
    </r>
    <r>
      <rPr>
        <sz val="11"/>
        <color rgb="FF000000"/>
        <rFont val="Calibri"/>
      </rPr>
      <t xml:space="preserve">
</t>
    </r>
    <r>
      <rPr>
        <sz val="11"/>
        <color rgb="FF000000"/>
        <rFont val="Calibri"/>
      </rPr>
      <t>set security policies from-zone trust to-zone untrust policy default-deny match destination-address any</t>
    </r>
    <r>
      <rPr>
        <sz val="11"/>
        <color rgb="FF000000"/>
        <rFont val="Calibri"/>
      </rPr>
      <t xml:space="preserve">
</t>
    </r>
    <r>
      <rPr>
        <sz val="11"/>
        <color rgb="FF000000"/>
        <rFont val="Calibri"/>
      </rPr>
      <t>set security policies from-zone trust to-zone untrust policy default-deny then deny</t>
    </r>
  </si>
  <si>
    <r>
      <rPr>
        <sz val="11"/>
        <color rgb="FF000000"/>
        <rFont val="Calibri"/>
      </rPr>
      <t>If outbound communications traffic is not continuously monitored, hostile activity may not be detected and prevented. Output from application and traffic monitoring serves as input to continuous monitoring and incident response programs.</t>
    </r>
    <r>
      <rPr>
        <sz val="11"/>
        <color rgb="FF000000"/>
        <rFont val="Calibri"/>
      </rPr>
      <t xml:space="preserve">
</t>
    </r>
    <r>
      <rPr>
        <sz val="11"/>
        <color rgb="FF000000"/>
        <rFont val="Calibri"/>
      </rPr>
      <t>The Juniper SRX is a highly scalable system that can provide stateful or stateless continuous monitoring when placed in the architecture at the perimeter or internal boundaries. Unusual/unauthorized activities or conditions may include use of unusual protocols or ports and attempted communications from trusted zones to external addresses.</t>
    </r>
  </si>
  <si>
    <r>
      <rPr>
        <sz val="11"/>
        <color rgb="FF000000"/>
        <rFont val="Calibri"/>
      </rPr>
      <t>For each outbound zone, verify a firewall screen or security policy is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zones</t>
    </r>
    <r>
      <rPr>
        <sz val="11"/>
        <color rgb="FF000000"/>
        <rFont val="Calibri"/>
      </rPr>
      <t xml:space="preserve">
</t>
    </r>
    <r>
      <rPr>
        <sz val="11"/>
        <color rgb="FF000000"/>
        <rFont val="Calibri"/>
      </rPr>
      <t>show security policies</t>
    </r>
    <r>
      <rPr>
        <sz val="11"/>
        <color rgb="FF000000"/>
        <rFont val="Calibri"/>
      </rPr>
      <t xml:space="preserve">
</t>
    </r>
    <r>
      <rPr>
        <sz val="11"/>
        <color rgb="FF000000"/>
        <rFont val="Calibri"/>
      </rPr>
      <t>If communications traffic for each outbound zone is not configured with a firewall screen or security policy, this is a finding.</t>
    </r>
  </si>
  <si>
    <t>V-214539</t>
  </si>
  <si>
    <r>
      <rPr>
        <sz val="11"/>
        <rFont val="Calibri"/>
      </rPr>
      <t>The Juniper SRX Services Gateway Firewall must generate an alert to, at a minimum, the ISSO and ISSM when unusual/unauthorized activities or conditions are detected during continuous monitoring of communications traffic as it traverses inbound or outbound across internal security boundaries.</t>
    </r>
  </si>
  <si>
    <r>
      <rPr>
        <sz val="11"/>
        <color rgb="FF000000"/>
        <rFont val="Calibri"/>
      </rPr>
      <t>Configure the Juniper SRX to generate and send a notification or log message immediately that can be forwarded via an event monitoring system (e.g., via Syslog configuration, SNMP trap, manned console message, or other events monitoring system). The NSM, Syslog, or SNMP server must then be configured to send the message.</t>
    </r>
    <r>
      <rPr>
        <sz val="11"/>
        <color rgb="FF000000"/>
        <rFont val="Calibri"/>
      </rPr>
      <t xml:space="preserve">
</t>
    </r>
    <r>
      <rPr>
        <sz val="11"/>
        <color rgb="FF000000"/>
        <rFont val="Calibri"/>
      </rPr>
      <t>The following example configures the zone security policy to include the log and/or syslog action in all terms to log packets matching each firewall term to ensure the term results are recorded in the firewall log and Syslog. To get traffic logs from permitted sessions, add "then log session-close" to each policy. To get traffic logs from denied sessions, add "then log session-init" to the policy.</t>
    </r>
    <r>
      <rPr>
        <sz val="11"/>
        <color rgb="FF000000"/>
        <rFont val="Calibri"/>
      </rPr>
      <t xml:space="preserve">
</t>
    </r>
    <r>
      <rPr>
        <sz val="11"/>
        <color rgb="FF000000"/>
        <rFont val="Calibri"/>
      </rPr>
      <t>Security policy and security screens:</t>
    </r>
    <r>
      <rPr>
        <sz val="11"/>
        <color rgb="FF000000"/>
        <rFont val="Calibri"/>
      </rPr>
      <t xml:space="preserve">
</t>
    </r>
    <r>
      <rPr>
        <sz val="11"/>
        <color rgb="FF000000"/>
        <rFont val="Calibri"/>
      </rPr>
      <t>set security policies from-zone &lt;zone_name&gt; to-zone &lt;zone_name&gt; policy &lt;policy_name&gt; then log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set security policies from-zone untrust to-zone trust policy default-deny then log session-init</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</si>
  <si>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In accordance with CCI-001242, the ALG which provides content inspection services is a real-time intrusion detection system. These systems must generate an alert when detection events from real-time monitoring occur as required by CCI-2262 and CCI-2261. 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 Alerts must be sent immediately to designated individuals. Alerts may be sent via NMS, SIEM, Syslog configuration, SNMP trap or notice, or manned console message.</t>
    </r>
    <r>
      <rPr>
        <sz val="11"/>
        <color rgb="FF000000"/>
        <rFont val="Calibri"/>
      </rPr>
      <t xml:space="preserve">
</t>
    </r>
    <r>
      <rPr>
        <sz val="11"/>
        <color rgb="FF000000"/>
        <rFont val="Calibri"/>
      </rPr>
      <t>Unusual/unauthorized activities or conditions may include large file transfers, long-time persistent connections, unusual protocols and ports in use, and attempted communications with suspected malicious external addresses.</t>
    </r>
  </si>
  <si>
    <r>
      <rPr>
        <sz val="11"/>
        <color rgb="FF000000"/>
        <rFont val="Calibri"/>
      </rPr>
      <t xml:space="preserve">For each zone, verify a log event, SNMP trap, or SNMP notification is generated and sent to be forwarded to, at a minimum, the ISSO and ISSM when unusual/unauthorized activities or conditions are detected during continuous monitoring of communications traffic as it traverses inbound or outbound across internal security boundaries. </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zones</t>
    </r>
    <r>
      <rPr>
        <sz val="11"/>
        <color rgb="FF000000"/>
        <rFont val="Calibri"/>
      </rPr>
      <t xml:space="preserve">
</t>
    </r>
    <r>
      <rPr>
        <sz val="11"/>
        <color rgb="FF000000"/>
        <rFont val="Calibri"/>
      </rPr>
      <t>show security polices</t>
    </r>
    <r>
      <rPr>
        <sz val="11"/>
        <color rgb="FF000000"/>
        <rFont val="Calibri"/>
      </rPr>
      <t xml:space="preserve">
</t>
    </r>
    <r>
      <rPr>
        <sz val="11"/>
        <color rgb="FF000000"/>
        <rFont val="Calibri"/>
      </rPr>
      <t>If each inbound and outbound zone policy does not generate an alert that can be forwarded to, at a minimum, the ISSO and ISSM when unusual/unauthorized activities or conditions are detected during continuous monitoring of communications traffic as it traverses inbound or outbound across internal security boundaries, this is a finding.</t>
    </r>
  </si>
  <si>
    <t>V-214540</t>
  </si>
  <si>
    <r>
      <rPr>
        <sz val="11"/>
        <rFont val="Calibri"/>
      </rPr>
      <t>The Juniper SRX Services Gateway Firewall must generate an alert that can be forwarded to, at a minimum, the ISSO and ISSM when threats identified by authoritative sources are detected.</t>
    </r>
  </si>
  <si>
    <r>
      <rPr>
        <sz val="11"/>
        <color rgb="FF000000"/>
        <rFont val="Calibri"/>
      </rPr>
      <t>Configure the Juniper SRX to generate and send a notification or log message that can be forwarded via an event monitoring system (e.g., via Syslog configuration, SNMP trap, manned console message, or other events monitoring system). The NSM, Syslog, or SNMP server must then be configured to send the message.</t>
    </r>
    <r>
      <rPr>
        <sz val="11"/>
        <color rgb="FF000000"/>
        <rFont val="Calibri"/>
      </rPr>
      <t xml:space="preserve">
</t>
    </r>
    <r>
      <rPr>
        <sz val="11"/>
        <color rgb="FF000000"/>
        <rFont val="Calibri"/>
      </rPr>
      <t>The following example configures the zone security policy to include the log and/or syslog action in all terms to log packets matching each firewall term to ensure the term results are recorded in the firewall log and Syslog. To get traffic logs from permitted sessions, add "then log session-close" to each policy. To get traffic logs from denied sessions, add "then log session-init" to the policy.</t>
    </r>
    <r>
      <rPr>
        <sz val="11"/>
        <color rgb="FF000000"/>
        <rFont val="Calibri"/>
      </rPr>
      <t xml:space="preserve">
</t>
    </r>
    <r>
      <rPr>
        <sz val="11"/>
        <color rgb="FF000000"/>
        <rFont val="Calibri"/>
      </rPr>
      <t>Security policy and security screens:</t>
    </r>
    <r>
      <rPr>
        <sz val="11"/>
        <color rgb="FF000000"/>
        <rFont val="Calibri"/>
      </rPr>
      <t xml:space="preserve">
</t>
    </r>
    <r>
      <rPr>
        <sz val="11"/>
        <color rgb="FF000000"/>
        <rFont val="Calibri"/>
      </rPr>
      <t>set security policies from-zone &lt;zone_name&gt; to-zone &lt;zone_name&gt; policy &lt;policy_name&gt; then log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set security policies from-zone untrust to-zone trust policy default-deny then log session-init</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</si>
  <si>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ALG generates an alert that notifies designated personnel of the Indicators of Compromise (IOCs) which require real-time alerts. These messages should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 Alerts must be sent immediately to designated individuals. Alerts may be sent via NMS, SIEM, Syslog configuration, SNMP trap or notice, or manned console message.</t>
    </r>
    <r>
      <rPr>
        <sz val="11"/>
        <color rgb="FF000000"/>
        <rFont val="Calibri"/>
      </rPr>
      <t xml:space="preserve">
</t>
    </r>
    <r>
      <rPr>
        <sz val="11"/>
        <color rgb="FF000000"/>
        <rFont val="Calibri"/>
      </rPr>
      <t>Authoritative sources include USSTRATCOM warning and tactical directives/orders including Fragmentary Order (FRAGO), Communications Tasking Orders (CTOs), IA Vulnerability Notices, Network Defense Tasking Message (NDTM), DOD GIG Tasking Message (DGTM), and Operations Order (OPORD).</t>
    </r>
  </si>
  <si>
    <r>
      <rPr>
        <sz val="11"/>
        <color rgb="FF000000"/>
        <rFont val="Calibri"/>
      </rPr>
      <t>Obtain the list of threats identified by authoritative sources from the ISSM or ISSO. For each threat, ensure a security policy, screen, or filter that denies or mitigates the threat includes the log or syslog option. Verify a log event, SNMP trap, or SNMP notification is generated and sent to be forwarded to, at a minimum, the ISSO and ISSM when threats identified by authoritative sources are detected.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zones</t>
    </r>
    <r>
      <rPr>
        <sz val="11"/>
        <color rgb="FF000000"/>
        <rFont val="Calibri"/>
      </rPr>
      <t xml:space="preserve">
</t>
    </r>
    <r>
      <rPr>
        <sz val="11"/>
        <color rgb="FF000000"/>
        <rFont val="Calibri"/>
      </rPr>
      <t>show security polices</t>
    </r>
    <r>
      <rPr>
        <sz val="11"/>
        <color rgb="FF000000"/>
        <rFont val="Calibri"/>
      </rPr>
      <t xml:space="preserve">
</t>
    </r>
    <r>
      <rPr>
        <sz val="11"/>
        <color rgb="FF000000"/>
        <rFont val="Calibri"/>
      </rPr>
      <t>If an alert is not generated that can be forwarded to, at a minimum, the ISSO and ISSM when threats identified by authoritative sources are detected, this is a finding.</t>
    </r>
  </si>
  <si>
    <t>V-214541</t>
  </si>
  <si>
    <r>
      <rPr>
        <sz val="11"/>
        <rFont val="Calibri"/>
      </rPr>
      <t>The Juniper SRX Services Gateway Firewall must generate an alert that can be forwarded to, at a minimum, the ISSO and ISSM when DoS incidents are detected.</t>
    </r>
  </si>
  <si>
    <r>
      <rPr>
        <sz val="11"/>
        <color rgb="FF000000"/>
        <rFont val="Calibri"/>
      </rPr>
      <t>Configure the Juniper SRX to generate for DoS attacks detected in CCI-002385. DoS attacks are detected using screens. The alert sends a notification or log message that can be forwarded via an event monitoring system (e.g., via Syslog configuration, SNMP trap, manned console message, or other events monitoring system). The NSM, Syslog, or SNMP server must then be configured to send the message.</t>
    </r>
    <r>
      <rPr>
        <sz val="11"/>
        <color rgb="FF000000"/>
        <rFont val="Calibri"/>
      </rPr>
      <t xml:space="preserve">
</t>
    </r>
    <r>
      <rPr>
        <sz val="11"/>
        <color rgb="FF000000"/>
        <rFont val="Calibri"/>
      </rPr>
      <t>The following example configures the zone security policy to include the log and/or syslog action in all terms to log packets matching each firewall term to ensure the term results are recorded in the firewall log and Syslog. To get traffic logs from permitted sessions, add "then log session-close" to each policy. To get traffic logs from denied sessions, add "then log session-init" to the policy.</t>
    </r>
    <r>
      <rPr>
        <sz val="11"/>
        <color rgb="FF000000"/>
        <rFont val="Calibri"/>
      </rPr>
      <t xml:space="preserve">
</t>
    </r>
    <r>
      <rPr>
        <sz val="11"/>
        <color rgb="FF000000"/>
        <rFont val="Calibri"/>
      </rPr>
      <t>Apply policy or screen to a zone example:</t>
    </r>
    <r>
      <rPr>
        <sz val="11"/>
        <color rgb="FF000000"/>
        <rFont val="Calibri"/>
      </rPr>
      <t xml:space="preserve">
</t>
    </r>
    <r>
      <rPr>
        <sz val="11"/>
        <color rgb="FF000000"/>
        <rFont val="Calibri"/>
      </rPr>
      <t>set security zones security-zone trust interfaces ge-0/0/2.0</t>
    </r>
    <r>
      <rPr>
        <sz val="11"/>
        <color rgb="FF000000"/>
        <rFont val="Calibri"/>
      </rPr>
      <t xml:space="preserve">
</t>
    </r>
    <r>
      <rPr>
        <sz val="11"/>
        <color rgb="FF000000"/>
        <rFont val="Calibri"/>
      </rPr>
      <t>set security zones security-zone untrust screen untrust-screen</t>
    </r>
    <r>
      <rPr>
        <sz val="11"/>
        <color rgb="FF000000"/>
        <rFont val="Calibri"/>
      </rPr>
      <t xml:space="preserve">
</t>
    </r>
    <r>
      <rPr>
        <sz val="11"/>
        <color rgb="FF000000"/>
        <rFont val="Calibri"/>
      </rPr>
      <t>set security policies from-zone untrust to-zone trust policy default-deny then log session-init</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</si>
  <si>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ALG generates an alert that notifies designated personnel of the Indicators of Compromise (IOCs) which require real-time alerts. These messages should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</si>
  <si>
    <r>
      <rPr>
        <sz val="11"/>
        <color rgb="FF000000"/>
        <rFont val="Calibri"/>
      </rPr>
      <t>Verify a security policy with an associated screen that denies or mitigates the threat of DoS attacks includes the log or syslog option. Verify a log event, SNMP trap, or SNMP notification is generated and sent to be forwarded to, at a minimum, the ISSO and ISSM when threats identified by authoritative sources are detected.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zones</t>
    </r>
    <r>
      <rPr>
        <sz val="11"/>
        <color rgb="FF000000"/>
        <rFont val="Calibri"/>
      </rPr>
      <t xml:space="preserve">
</t>
    </r>
    <r>
      <rPr>
        <sz val="11"/>
        <color rgb="FF000000"/>
        <rFont val="Calibri"/>
      </rPr>
      <t>show security polices</t>
    </r>
    <r>
      <rPr>
        <sz val="11"/>
        <color rgb="FF000000"/>
        <rFont val="Calibri"/>
      </rPr>
      <t xml:space="preserve">
</t>
    </r>
    <r>
      <rPr>
        <sz val="11"/>
        <color rgb="FF000000"/>
        <rFont val="Calibri"/>
      </rPr>
      <t>If an alert is not generated that can be forwarded to, at a minimum, the ISSO and ISSM when DoS incidents are detected, this is a finding.</t>
    </r>
  </si>
  <si>
    <t>V-214610</t>
  </si>
  <si>
    <r>
      <rPr>
        <sz val="11"/>
        <rFont val="Calibri"/>
      </rPr>
      <t>The Juniper Networks SRX Series Gateway IDPS must provide audit record generation capability for detecting events based on implementation of policy filters, rules, and signatures.</t>
    </r>
  </si>
  <si>
    <t>IDPS</t>
  </si>
  <si>
    <r>
      <rPr>
        <sz val="11"/>
        <color rgb="FF000000"/>
        <rFont val="Calibri"/>
      </rPr>
      <t>A Routing Engine configuration option allows the enabling and disabling of IDP alarms.</t>
    </r>
    <r>
      <rPr>
        <sz val="11"/>
        <color rgb="FF000000"/>
        <rFont val="Calibri"/>
      </rPr>
      <t xml:space="preserve">
</t>
    </r>
    <r>
      <rPr>
        <sz val="11"/>
        <color rgb="FF000000"/>
        <rFont val="Calibri"/>
      </rPr>
      <t>By default, the IDP attack event triggers the current logs without raising any alarms. When the option is set and the system is configured appropriately, the IDP logs on the Packet Forwarding Engine will be forwarded to Routing Engine, which then parses the IDP attack logs and raises IDP alarms as necessary.</t>
    </r>
    <r>
      <rPr>
        <sz val="11"/>
        <color rgb="FF000000"/>
        <rFont val="Calibri"/>
      </rPr>
      <t xml:space="preserve">
</t>
    </r>
    <r>
      <rPr>
        <sz val="11"/>
        <color rgb="FF000000"/>
        <rFont val="Calibri"/>
      </rPr>
      <t>To enable an IDP alarm, use the set security alarms potential-violation idp command.</t>
    </r>
    <r>
      <rPr>
        <sz val="11"/>
        <color rgb="FF000000"/>
        <rFont val="Calibri"/>
      </rPr>
      <t xml:space="preserve">
</t>
    </r>
    <r>
      <rPr>
        <sz val="11"/>
        <color rgb="FF000000"/>
        <rFont val="Calibri"/>
      </rPr>
      <t>To turn on logging, you must first turn on notification to log attacks:</t>
    </r>
    <r>
      <rPr>
        <sz val="11"/>
        <color rgb="FF000000"/>
        <rFont val="Calibri"/>
      </rPr>
      <t xml:space="preserve">
</t>
    </r>
    <r>
      <rPr>
        <sz val="11"/>
        <color rgb="FF000000"/>
        <rFont val="Calibri"/>
      </rPr>
      <t>set security idp idp-policy recommended rulebase-ips rule-1 then notification log-attacks</t>
    </r>
    <r>
      <rPr>
        <sz val="11"/>
        <color rgb="FF000000"/>
        <rFont val="Calibri"/>
      </rPr>
      <t xml:space="preserve">
</t>
    </r>
    <r>
      <rPr>
        <sz val="11"/>
        <color rgb="FF000000"/>
        <rFont val="Calibri"/>
      </rPr>
      <t>Configure Syslog (adding to the firewall stanza).</t>
    </r>
    <r>
      <rPr>
        <sz val="11"/>
        <color rgb="FF000000"/>
        <rFont val="Calibri"/>
      </rPr>
      <t xml:space="preserve">
</t>
    </r>
    <r>
      <rPr>
        <sz val="11"/>
        <color rgb="FF000000"/>
        <rFont val="Calibri"/>
      </rPr>
      <t>syslog {</t>
    </r>
    <r>
      <rPr>
        <sz val="11"/>
        <color rgb="FF000000"/>
        <rFont val="Calibri"/>
      </rPr>
      <t xml:space="preserve">
</t>
    </r>
    <r>
      <rPr>
        <sz val="11"/>
        <color rgb="FF000000"/>
        <rFont val="Calibri"/>
      </rPr>
      <t xml:space="preserve"> file IDP_Log {</t>
    </r>
    <r>
      <rPr>
        <sz val="11"/>
        <color rgb="FF000000"/>
        <rFont val="Calibri"/>
      </rPr>
      <t xml:space="preserve">
</t>
    </r>
    <r>
      <rPr>
        <sz val="11"/>
        <color rgb="FF000000"/>
        <rFont val="Calibri"/>
      </rPr>
      <t xml:space="preserve"> any any;</t>
    </r>
    <r>
      <rPr>
        <sz val="11"/>
        <color rgb="FF000000"/>
        <rFont val="Calibri"/>
      </rPr>
      <t xml:space="preserve">
</t>
    </r>
    <r>
      <rPr>
        <sz val="11"/>
        <color rgb="FF000000"/>
        <rFont val="Calibri"/>
      </rPr>
      <t xml:space="preserve"> match RT_IDP;</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</si>
  <si>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r>
      <rPr>
        <sz val="11"/>
        <color rgb="FF000000"/>
        <rFont val="Calibri"/>
      </rPr>
      <t xml:space="preserve">
</t>
    </r>
    <r>
      <rPr>
        <sz val="11"/>
        <color rgb="FF000000"/>
        <rFont val="Calibri"/>
      </rPr>
      <t>The Juniper SRX with IDP-enabled policies has the capability to capture and log detected security violations and potential security violations.</t>
    </r>
  </si>
  <si>
    <r>
      <rPr>
        <sz val="11"/>
        <color rgb="FF000000"/>
        <rFont val="Calibri"/>
      </rPr>
      <t>To verify that the configuration is working properly, use the following command:</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show security alarms </t>
    </r>
    <r>
      <rPr>
        <sz val="11"/>
        <color rgb="FF000000"/>
        <rFont val="Calibri"/>
      </rPr>
      <t xml:space="preserve">
</t>
    </r>
    <r>
      <rPr>
        <sz val="11"/>
        <color rgb="FF000000"/>
        <rFont val="Calibri"/>
      </rPr>
      <t>View the configured alarms to verify at least one option for potential-violation is set to “idp”.</t>
    </r>
    <r>
      <rPr>
        <sz val="11"/>
        <color rgb="FF000000"/>
        <rFont val="Calibri"/>
      </rPr>
      <t xml:space="preserve">
</t>
    </r>
    <r>
      <rPr>
        <sz val="11"/>
        <color rgb="FF000000"/>
        <rFont val="Calibri"/>
      </rPr>
      <t>If a potential-violation alarm is not defined for “idp”, this is a finding.</t>
    </r>
  </si>
  <si>
    <t>V-214611</t>
  </si>
  <si>
    <r>
      <rPr>
        <sz val="11"/>
        <rFont val="Calibri"/>
      </rPr>
      <t>The Juniper Networks SRX Series Gateway IDPS must enforce approved authorizations by restricting or blocking the flow of harmful or suspicious communications traffic within the network as defined in the PPSM CAL and vulnerability assessments.</t>
    </r>
  </si>
  <si>
    <r>
      <rPr>
        <sz val="11"/>
        <color rgb="FF000000"/>
        <rFont val="Calibri"/>
      </rPr>
      <t>Specify an active IDP policy prior to enabling IDP within a security policy. To configure the active IDP policy, execute the following command in configuration mode: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idp active-policy &lt;policy name&gt;</t>
    </r>
    <r>
      <rPr>
        <sz val="11"/>
        <color rgb="FF000000"/>
        <rFont val="Calibri"/>
      </rPr>
      <t xml:space="preserve">
</t>
    </r>
    <r>
      <rPr>
        <sz val="11"/>
        <color rgb="FF000000"/>
        <rFont val="Calibri"/>
      </rPr>
      <t>Configure Security Policies for IDP inspection. Once the IDP policy is configured, IDP must be enabled on a security policy in order for IDP inspection to be performed. IDP inspection will only be performed on the traffic matching the security policies where IDP is enabled.</t>
    </r>
    <r>
      <rPr>
        <sz val="11"/>
        <color rgb="FF000000"/>
        <rFont val="Calibri"/>
      </rPr>
      <t xml:space="preserve">
</t>
    </r>
    <r>
      <rPr>
        <sz val="11"/>
        <color rgb="FF000000"/>
        <rFont val="Calibri"/>
      </rPr>
      <t>To enable IDP on a security policy, enter the following command:</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policies from-zone &lt;FROM ZONE NAME&gt; to-zone &lt;TO ZONE NAME&gt; policy &lt;POLICY</t>
    </r>
    <r>
      <rPr>
        <sz val="11"/>
        <color rgb="FF000000"/>
        <rFont val="Calibri"/>
      </rPr>
      <t xml:space="preserve">
</t>
    </r>
    <r>
      <rPr>
        <sz val="11"/>
        <color rgb="FF000000"/>
        <rFont val="Calibri"/>
      </rPr>
      <t>NAME&gt; then permit application-services idp</t>
    </r>
  </si>
  <si>
    <r>
      <rPr>
        <sz val="11"/>
        <color rgb="FF000000"/>
        <rFont val="Calibri"/>
      </rPr>
      <t>The flow of all communications traffic must be monitored and controlled so it does not introduce any unacceptable risk to the network infrastructure or data.</t>
    </r>
    <r>
      <rPr>
        <sz val="11"/>
        <color rgb="FF000000"/>
        <rFont val="Calibri"/>
      </rPr>
      <t xml:space="preserve">
</t>
    </r>
    <r>
      <rPr>
        <sz val="11"/>
        <color rgb="FF000000"/>
        <rFont val="Calibri"/>
      </rPr>
      <t>Restricting the flow of communications traffic, also known as Information flow control, regulates where information is allowed to travel as opposed to who is allowed to access the information and without explicit regard to subsequent accesses to that information.</t>
    </r>
    <r>
      <rPr>
        <sz val="11"/>
        <color rgb="FF000000"/>
        <rFont val="Calibri"/>
      </rPr>
      <t xml:space="preserve">
</t>
    </r>
    <r>
      <rPr>
        <sz val="11"/>
        <color rgb="FF000000"/>
        <rFont val="Calibri"/>
      </rPr>
      <t>The IDPS will include policy filters, rules, signatures, and behavior analysis algorithms that inspects and restricts traffic based on the characteristics of the information and/or the information path as it crosses internal network boundaries. The IDPS monitors for harmful or suspicious information flows and restricts or blocks this traffic based on attribute- and content-based inspection of the source, destination, headers, and/or content of the communications traffic.</t>
    </r>
    <r>
      <rPr>
        <sz val="11"/>
        <color rgb="FF000000"/>
        <rFont val="Calibri"/>
      </rPr>
      <t xml:space="preserve">
</t>
    </r>
    <r>
      <rPr>
        <sz val="11"/>
        <color rgb="FF000000"/>
        <rFont val="Calibri"/>
      </rPr>
      <t>The PPSM CAL addresses internal network boundaries restrictions based on traffic type and content such as ports, protocols and services. The Juniper SRX denies all traffic.</t>
    </r>
    <r>
      <rPr>
        <sz val="11"/>
        <color rgb="FF000000"/>
        <rFont val="Calibri"/>
      </rPr>
      <t xml:space="preserve">
</t>
    </r>
    <r>
      <rPr>
        <sz val="11"/>
        <color rgb="FF000000"/>
        <rFont val="Calibri"/>
      </rPr>
      <t>IDPS inspection will only be performed on the traffic matching the security policies where IDPS is enabled.</t>
    </r>
  </si>
  <si>
    <r>
      <rPr>
        <sz val="11"/>
        <color rgb="FF000000"/>
        <rFont val="Calibri"/>
      </rPr>
      <t>Review the list of authorized Junos applications, endpoints, services, and protocols that are installed on the PPSM CAL.</t>
    </r>
    <r>
      <rPr>
        <sz val="11"/>
        <color rgb="FF000000"/>
        <rFont val="Calibri"/>
      </rPr>
      <t xml:space="preserve">
</t>
    </r>
    <r>
      <rPr>
        <sz val="11"/>
        <color rgb="FF000000"/>
        <rFont val="Calibri"/>
      </rPr>
      <t>Use the following command to show the IDP-specific policies: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t>
    </r>
    <r>
      <rPr>
        <sz val="11"/>
        <color rgb="FF000000"/>
        <rFont val="Calibri"/>
      </rPr>
      <t xml:space="preserve">
</t>
    </r>
    <r>
      <rPr>
        <sz val="11"/>
        <color rgb="FF000000"/>
        <rFont val="Calibri"/>
      </rPr>
      <t>Next, use the show security policies command to display a summary of all the security policies.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policies</t>
    </r>
    <r>
      <rPr>
        <sz val="11"/>
        <color rgb="FF000000"/>
        <rFont val="Calibri"/>
      </rPr>
      <t xml:space="preserve">
</t>
    </r>
    <r>
      <rPr>
        <sz val="11"/>
        <color rgb="FF000000"/>
        <rFont val="Calibri"/>
      </rPr>
      <t>Note: Also inspect the organization's central events log server (e.g., syslog server) for Deny events that match the restrictions in the PPSM CAL.</t>
    </r>
    <r>
      <rPr>
        <sz val="11"/>
        <color rgb="FF000000"/>
        <rFont val="Calibri"/>
      </rPr>
      <t xml:space="preserve">
</t>
    </r>
    <r>
      <rPr>
        <sz val="11"/>
        <color rgb="FF000000"/>
        <rFont val="Calibri"/>
      </rPr>
      <t>If security policies do not exist to block or restrict communications traffic that is identified as harmful or suspicious by the PPSM and vulnerability assessment, this is a finding.</t>
    </r>
  </si>
  <si>
    <t>V-214612</t>
  </si>
  <si>
    <r>
      <rPr>
        <sz val="11"/>
        <rFont val="Calibri"/>
      </rPr>
      <t>The Juniper Networks SRX Series Gateway IDPS must restrict or block harmful or suspicious communications traffic between interconnected networks based on attribute- and content-based inspection of the source, destination, headers, and/or content of the communications traffic.</t>
    </r>
  </si>
  <si>
    <r>
      <rPr>
        <sz val="11"/>
        <color rgb="FF000000"/>
        <rFont val="Calibri"/>
      </rPr>
      <t>Specify an active IDP policy prior to enabling IDP within a security policy. To configure the active IDP policy, execute the following command in configuration mode: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idp active-policy &lt;policy name&gt;</t>
    </r>
    <r>
      <rPr>
        <sz val="11"/>
        <color rgb="FF000000"/>
        <rFont val="Calibri"/>
      </rPr>
      <t xml:space="preserve">
</t>
    </r>
    <r>
      <rPr>
        <sz val="11"/>
        <color rgb="FF000000"/>
        <rFont val="Calibri"/>
      </rPr>
      <t>Configure Security Policies for IDP inspection. Once the IDP policy is configured, IDP must be enabled on a security policy in order for IDP inspection to be performed. IDP inspection will only be performed on the traffic matching the security policies where IDP is enabled.</t>
    </r>
    <r>
      <rPr>
        <sz val="11"/>
        <color rgb="FF000000"/>
        <rFont val="Calibri"/>
      </rPr>
      <t xml:space="preserve">
</t>
    </r>
    <r>
      <rPr>
        <sz val="11"/>
        <color rgb="FF000000"/>
        <rFont val="Calibri"/>
      </rPr>
      <t>To enable IDP on a security policy, enter the following command:</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policies from-zone &lt;FROM ZONE NAME&gt; to-zone &lt;TO ZONE NAME&gt; policy &lt;POLICY NAME&gt; then permit application-services idp</t>
    </r>
  </si>
  <si>
    <r>
      <rPr>
        <sz val="11"/>
        <color rgb="FF000000"/>
        <rFont val="Calibri"/>
      </rPr>
      <t>The IDPS enforces approved authorizations by controlling the flow of information between interconnected networks to prevent harmful or suspicious traffic does spread to these interconnected networks.</t>
    </r>
    <r>
      <rPr>
        <sz val="11"/>
        <color rgb="FF000000"/>
        <rFont val="Calibri"/>
      </rPr>
      <t xml:space="preserve">
</t>
    </r>
    <r>
      <rPr>
        <sz val="11"/>
        <color rgb="FF000000"/>
        <rFont val="Calibri"/>
      </rPr>
      <t>Information flow control policies and restrictions govern where information is allowed to travel as opposed to who is allowed to access the information. The IDPS includes policy filters, rules, signatures, and behavior analysis algorithms that inspects and restricts traffic based on the characteristics of the information and/or the information path as it crosses external/perimeter boundaries. IDPS components are installed and configured such that they restrict or block detected harmful or suspect information flows based on attribute- and content-based inspection of the source, destination, headers, and/or content of the communications traffic.</t>
    </r>
    <r>
      <rPr>
        <sz val="11"/>
        <color rgb="FF000000"/>
        <rFont val="Calibri"/>
      </rPr>
      <t xml:space="preserve">
</t>
    </r>
    <r>
      <rPr>
        <sz val="11"/>
        <color rgb="FF000000"/>
        <rFont val="Calibri"/>
      </rPr>
      <t>Once an attack object in the IPS policy is matched, the SRX can execute an action on that specific session, along with actions on future sessions. The ability to execute an action on that particular session is known as an IDPS action. IDPS actions can be one of the following: No-Action, Drop-Packet, Drop-Connection, Close-Client, Close-Server, Close-Client-and-Server, DSCP-Marking, Recommended, or Ignore. IP actions are actions that can be enforced on future sessions. These actions include IP-Close, IP-Block, and IP-Notify</t>
    </r>
    <r>
      <rPr>
        <sz val="11"/>
        <color rgb="FF000000"/>
        <rFont val="Calibri"/>
      </rPr>
      <t xml:space="preserve">
</t>
    </r>
    <r>
      <rPr>
        <sz val="11"/>
        <color rgb="FF000000"/>
        <rFont val="Calibri"/>
      </rPr>
      <t>This includes traffic between interfaces that are associated within the same security zone (intra-zone traffic). Traffic is permitted between security zones by configuring security policies from a source security zone to the destination security zone. IDPS inspection will only be performed on the traffic matching the security policies where IDPS is enabled.</t>
    </r>
  </si>
  <si>
    <r>
      <rPr>
        <sz val="11"/>
        <color rgb="FF000000"/>
        <rFont val="Calibri"/>
      </rPr>
      <t>Verify custom rules exist to drop packets or terminate sessions upon detection of malicious code.</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policy</t>
    </r>
    <r>
      <rPr>
        <sz val="11"/>
        <color rgb="FF000000"/>
        <rFont val="Calibri"/>
      </rPr>
      <t xml:space="preserve">
</t>
    </r>
    <r>
      <rPr>
        <sz val="11"/>
        <color rgb="FF000000"/>
        <rFont val="Calibri"/>
      </rPr>
      <t>View the rulebase action option for the IDP policies. View the action options of the zone configurations with the IDP option.</t>
    </r>
    <r>
      <rPr>
        <sz val="11"/>
        <color rgb="FF000000"/>
        <rFont val="Calibri"/>
      </rPr>
      <t xml:space="preserve">
</t>
    </r>
    <r>
      <rPr>
        <sz val="11"/>
        <color rgb="FF000000"/>
        <rFont val="Calibri"/>
      </rPr>
      <t>If rulebases in active policies are configured for No-Action or Ignore when harmful or suspicious content is detected by signatures, rules, or policies, this is a finding.</t>
    </r>
  </si>
  <si>
    <t>V-214613</t>
  </si>
  <si>
    <r>
      <rPr>
        <sz val="11"/>
        <rFont val="Calibri"/>
      </rPr>
      <t>The Juniper Networks SRX Series Gateway IDPS must provide audit record generation with a configurable severity and escalation level capability.</t>
    </r>
  </si>
  <si>
    <r>
      <rPr>
        <sz val="11"/>
        <color rgb="FF000000"/>
        <rFont val="Calibri"/>
      </rPr>
      <t>Example configuration to set the severity level on the IDP rules:</t>
    </r>
    <r>
      <rPr>
        <sz val="11"/>
        <color rgb="FF000000"/>
        <rFont val="Calibri"/>
      </rPr>
      <t xml:space="preserve">
</t>
    </r>
    <r>
      <rPr>
        <sz val="11"/>
        <color rgb="FF000000"/>
        <rFont val="Calibri"/>
      </rPr>
      <t>Define an attack as match criteria.</t>
    </r>
    <r>
      <rPr>
        <sz val="11"/>
        <color rgb="FF000000"/>
        <rFont val="Calibri"/>
      </rPr>
      <t xml:space="preserve">
</t>
    </r>
    <r>
      <rPr>
        <sz val="11"/>
        <color rgb="FF000000"/>
        <rFont val="Calibri"/>
      </rPr>
      <t>[edit security idp idp-policy base-policy rulebase-ips rule R1]</t>
    </r>
    <r>
      <rPr>
        <sz val="11"/>
        <color rgb="FF000000"/>
        <rFont val="Calibri"/>
      </rPr>
      <t xml:space="preserve">
</t>
    </r>
    <r>
      <rPr>
        <sz val="11"/>
        <color rgb="FF000000"/>
        <rFont val="Calibri"/>
      </rPr>
      <t>set match attacks predefined-attack-groups "TELNET-Critical"</t>
    </r>
    <r>
      <rPr>
        <sz val="11"/>
        <color rgb="FF000000"/>
        <rFont val="Calibri"/>
      </rPr>
      <t xml:space="preserve">
</t>
    </r>
    <r>
      <rPr>
        <sz val="11"/>
        <color rgb="FF000000"/>
        <rFont val="Calibri"/>
      </rPr>
      <t>Specify an action for the rule.</t>
    </r>
    <r>
      <rPr>
        <sz val="11"/>
        <color rgb="FF000000"/>
        <rFont val="Calibri"/>
      </rPr>
      <t xml:space="preserve">
</t>
    </r>
    <r>
      <rPr>
        <sz val="11"/>
        <color rgb="FF000000"/>
        <rFont val="Calibri"/>
      </rPr>
      <t>[edit security idp idp-policy base-policy rulebase-ips rule R1]</t>
    </r>
    <r>
      <rPr>
        <sz val="11"/>
        <color rgb="FF000000"/>
        <rFont val="Calibri"/>
      </rPr>
      <t xml:space="preserve">
</t>
    </r>
    <r>
      <rPr>
        <sz val="11"/>
        <color rgb="FF000000"/>
        <rFont val="Calibri"/>
      </rPr>
      <t>set then action drop-connection</t>
    </r>
    <r>
      <rPr>
        <sz val="11"/>
        <color rgb="FF000000"/>
        <rFont val="Calibri"/>
      </rPr>
      <t xml:space="preserve">
</t>
    </r>
    <r>
      <rPr>
        <sz val="11"/>
        <color rgb="FF000000"/>
        <rFont val="Calibri"/>
      </rPr>
      <t>Specify notification and logging options for the rule.</t>
    </r>
    <r>
      <rPr>
        <sz val="11"/>
        <color rgb="FF000000"/>
        <rFont val="Calibri"/>
      </rPr>
      <t xml:space="preserve">
</t>
    </r>
    <r>
      <rPr>
        <sz val="11"/>
        <color rgb="FF000000"/>
        <rFont val="Calibri"/>
      </rPr>
      <t>[edit security idp idp-policy base-policy rulebase-ips rule R1]</t>
    </r>
    <r>
      <rPr>
        <sz val="11"/>
        <color rgb="FF000000"/>
        <rFont val="Calibri"/>
      </rPr>
      <t xml:space="preserve">
</t>
    </r>
    <r>
      <rPr>
        <sz val="11"/>
        <color rgb="FF000000"/>
        <rFont val="Calibri"/>
      </rPr>
      <t>set then notification log-attacks alert</t>
    </r>
    <r>
      <rPr>
        <sz val="11"/>
        <color rgb="FF000000"/>
        <rFont val="Calibri"/>
      </rPr>
      <t xml:space="preserve">
</t>
    </r>
    <r>
      <rPr>
        <sz val="11"/>
        <color rgb="FF000000"/>
        <rFont val="Calibri"/>
      </rPr>
      <t>Set the severity level for the rule.</t>
    </r>
    <r>
      <rPr>
        <sz val="11"/>
        <color rgb="FF000000"/>
        <rFont val="Calibri"/>
      </rPr>
      <t xml:space="preserve">
</t>
    </r>
    <r>
      <rPr>
        <sz val="11"/>
        <color rgb="FF000000"/>
        <rFont val="Calibri"/>
      </rPr>
      <t xml:space="preserve">[edit security idp idp-policy base-policy rulebase-ips rule R1] </t>
    </r>
    <r>
      <rPr>
        <sz val="11"/>
        <color rgb="FF000000"/>
        <rFont val="Calibri"/>
      </rPr>
      <t xml:space="preserve">
</t>
    </r>
    <r>
      <rPr>
        <sz val="11"/>
        <color rgb="FF000000"/>
        <rFont val="Calibri"/>
      </rPr>
      <t>set then severity critical</t>
    </r>
  </si>
  <si>
    <r>
      <rPr>
        <sz val="11"/>
        <color rgb="FF000000"/>
        <rFont val="Calibri"/>
      </rPr>
      <t>Without the capability to generate audit records with a severity code it is difficult to track and handle detection events.</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r>
      <rPr>
        <sz val="11"/>
        <color rgb="FF000000"/>
        <rFont val="Calibri"/>
      </rPr>
      <t xml:space="preserve">
</t>
    </r>
    <r>
      <rPr>
        <sz val="11"/>
        <color rgb="FF000000"/>
        <rFont val="Calibri"/>
      </rPr>
      <t>The IDPS must have the capability to collect and log the severity associated with the policy, rule, or signature. IDPS products often have either pre-configured and/or a configurable method for associating an impact indicator or severity code with signatures and rules, at a minimum.</t>
    </r>
  </si>
  <si>
    <r>
      <rPr>
        <sz val="11"/>
        <color rgb="FF000000"/>
        <rFont val="Calibri"/>
      </rPr>
      <t>Use the following command to view the IDP rules: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status</t>
    </r>
    <r>
      <rPr>
        <sz val="11"/>
        <color rgb="FF000000"/>
        <rFont val="Calibri"/>
      </rPr>
      <t xml:space="preserve">
</t>
    </r>
    <r>
      <rPr>
        <sz val="11"/>
        <color rgb="FF000000"/>
        <rFont val="Calibri"/>
      </rPr>
      <t>The IDP traffic log can also be inspected to verify that IDP detection events contain a severity level in the log record.</t>
    </r>
    <r>
      <rPr>
        <sz val="11"/>
        <color rgb="FF000000"/>
        <rFont val="Calibri"/>
      </rPr>
      <t xml:space="preserve">
</t>
    </r>
    <r>
      <rPr>
        <sz val="11"/>
        <color rgb="FF000000"/>
        <rFont val="Calibri"/>
      </rPr>
      <t>If active IDP rules exist that do not include a severity level, this is a finding.</t>
    </r>
  </si>
  <si>
    <t>V-214614</t>
  </si>
  <si>
    <r>
      <rPr>
        <sz val="11"/>
        <rFont val="Calibri"/>
      </rPr>
      <t>The Juniper Networks SRX Series Gateway IDPS must block outbound traffic containing known and unknown DoS attacks by ensuring that rules are applied to outbound communications traffic.</t>
    </r>
  </si>
  <si>
    <r>
      <rPr>
        <sz val="11"/>
        <color rgb="FF000000"/>
        <rFont val="Calibri"/>
      </rPr>
      <t>To enable IDP services on outbound traffic on the device, first create a security policy for the traffic flowing in one direction, then specify the action to be taken on traffic that matches conditions specified in the policy.</t>
    </r>
    <r>
      <rPr>
        <sz val="11"/>
        <color rgb="FF000000"/>
        <rFont val="Calibri"/>
      </rPr>
      <t xml:space="preserve">
</t>
    </r>
    <r>
      <rPr>
        <sz val="11"/>
        <color rgb="FF000000"/>
        <rFont val="Calibri"/>
      </rPr>
      <t>[edit security policies from-zone &lt;trusted-zone1-name&gt; to-zone &lt;untrusted-zone-name&gt; policy idp-app-policy-1]</t>
    </r>
    <r>
      <rPr>
        <sz val="11"/>
        <color rgb="FF000000"/>
        <rFont val="Calibri"/>
      </rPr>
      <t xml:space="preserve">
</t>
    </r>
    <r>
      <rPr>
        <sz val="11"/>
        <color rgb="FF000000"/>
        <rFont val="Calibri"/>
      </rPr>
      <t>set match source-address any destination-address any application any</t>
    </r>
    <r>
      <rPr>
        <sz val="11"/>
        <color rgb="FF000000"/>
        <rFont val="Calibri"/>
      </rPr>
      <t xml:space="preserve">
</t>
    </r>
    <r>
      <rPr>
        <sz val="11"/>
        <color rgb="FF000000"/>
        <rFont val="Calibri"/>
      </rPr>
      <t>[edit security policies from-zone &lt;trusted-zone-name&gt; to-zone untrusted-zone-name&gt; policy &lt;idp-app-policy-name&gt;]</t>
    </r>
    <r>
      <rPr>
        <sz val="11"/>
        <color rgb="FF000000"/>
        <rFont val="Calibri"/>
      </rPr>
      <t xml:space="preserve">
</t>
    </r>
    <r>
      <rPr>
        <sz val="11"/>
        <color rgb="FF000000"/>
        <rFont val="Calibri"/>
      </rPr>
      <t>set then permit application-services idp</t>
    </r>
  </si>
  <si>
    <r>
      <rPr>
        <sz val="11"/>
        <color rgb="FF000000"/>
        <rFont val="Calibri"/>
      </rPr>
      <t xml:space="preserve">The IDPS must include protection against DoS attacks that originate from inside the enclave which can affect either internal or external systems. These attacks may use legitimate or rogue endpoints from inside the enclave. </t>
    </r>
    <r>
      <rPr>
        <sz val="11"/>
        <color rgb="FF000000"/>
        <rFont val="Calibri"/>
      </rPr>
      <t xml:space="preserve">
</t>
    </r>
    <r>
      <rPr>
        <sz val="11"/>
        <color rgb="FF000000"/>
        <rFont val="Calibri"/>
      </rPr>
      <t>Installation of IDPS detection and prevention components (i.e., sensors)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To comply with this requirement, the IDPS must inspect outbound traffic for indications of known and unknown DoS attacks. Sensor log capacity management along with techniques which prevent the logging of redundant information during an attack also guard against DoS attacks. This requirement is used in conjunction with other requirements which require configuration of security policies, signatures, rules, and anomaly detection techniques and are applicable to both inbound and outbound traffic.</t>
    </r>
  </si>
  <si>
    <r>
      <rPr>
        <sz val="11"/>
        <color rgb="FF000000"/>
        <rFont val="Calibri"/>
      </rPr>
      <t xml:space="preserve">Determine the names of the IDP policies by asking the site representative. From operational mode, enter the following command to verify outbound zones are configured with an IDP policy. </t>
    </r>
    <r>
      <rPr>
        <sz val="11"/>
        <color rgb="FF000000"/>
        <rFont val="Calibri"/>
      </rPr>
      <t xml:space="preserve">
</t>
    </r>
    <r>
      <rPr>
        <sz val="11"/>
        <color rgb="FF000000"/>
        <rFont val="Calibri"/>
      </rPr>
      <t>show security policies</t>
    </r>
    <r>
      <rPr>
        <sz val="11"/>
        <color rgb="FF000000"/>
        <rFont val="Calibri"/>
      </rPr>
      <t xml:space="preserve">
</t>
    </r>
    <r>
      <rPr>
        <sz val="11"/>
        <color rgb="FF000000"/>
        <rFont val="Calibri"/>
      </rPr>
      <t>If zones bound to the outbound interfaces, including VPN zones, are not configured with an IDP policy, this is a finding.</t>
    </r>
  </si>
  <si>
    <t>V-214615</t>
  </si>
  <si>
    <r>
      <rPr>
        <sz val="11"/>
        <rFont val="Calibri"/>
      </rPr>
      <t>The Juniper Networks SRX Series Gateway IDPS must block outbound traffic containing known and unknown DoS attacks by ensuring that signature-based objects are applied to outbound communications traffic.</t>
    </r>
  </si>
  <si>
    <r>
      <rPr>
        <sz val="11"/>
        <color rgb="FF000000"/>
        <rFont val="Calibri"/>
      </rPr>
      <t>Specify a name for the attack. Specify common properties for the attack. Specify the attack type and context. Specify the attack direction and the shellcode flag. Set the protocol and its fields. Specify the protocol binding and ports. Specify the direction.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edit security idp custom-attack sig1</t>
    </r>
    <r>
      <rPr>
        <sz val="11"/>
        <color rgb="FF000000"/>
        <rFont val="Calibri"/>
      </rPr>
      <t xml:space="preserve">
</t>
    </r>
    <r>
      <rPr>
        <sz val="11"/>
        <color rgb="FF000000"/>
        <rFont val="Calibri"/>
      </rPr>
      <t>set severity major</t>
    </r>
    <r>
      <rPr>
        <sz val="11"/>
        <color rgb="FF000000"/>
        <rFont val="Calibri"/>
      </rPr>
      <t xml:space="preserve">
</t>
    </r>
    <r>
      <rPr>
        <sz val="11"/>
        <color rgb="FF000000"/>
        <rFont val="Calibri"/>
      </rPr>
      <t>set recommended-action drop-packet</t>
    </r>
    <r>
      <rPr>
        <sz val="11"/>
        <color rgb="FF000000"/>
        <rFont val="Calibri"/>
      </rPr>
      <t xml:space="preserve">
</t>
    </r>
    <r>
      <rPr>
        <sz val="11"/>
        <color rgb="FF000000"/>
        <rFont val="Calibri"/>
      </rPr>
      <t>set time-binding scope source count 10</t>
    </r>
    <r>
      <rPr>
        <sz val="11"/>
        <color rgb="FF000000"/>
        <rFont val="Calibri"/>
      </rPr>
      <t xml:space="preserve">
</t>
    </r>
    <r>
      <rPr>
        <sz val="11"/>
        <color rgb="FF000000"/>
        <rFont val="Calibri"/>
      </rPr>
      <t>set attack-type signature context packet</t>
    </r>
    <r>
      <rPr>
        <sz val="11"/>
        <color rgb="FF000000"/>
        <rFont val="Calibri"/>
      </rPr>
      <t xml:space="preserve">
</t>
    </r>
    <r>
      <rPr>
        <sz val="11"/>
        <color rgb="FF000000"/>
        <rFont val="Calibri"/>
      </rPr>
      <t>set attack-type signature &lt;signature object name&gt;</t>
    </r>
    <r>
      <rPr>
        <sz val="11"/>
        <color rgb="FF000000"/>
        <rFont val="Calibri"/>
      </rPr>
      <t xml:space="preserve">
</t>
    </r>
    <r>
      <rPr>
        <sz val="11"/>
        <color rgb="FF000000"/>
        <rFont val="Calibri"/>
      </rPr>
      <t>set attack-type signature protocol ip ttl value 128 match equal</t>
    </r>
    <r>
      <rPr>
        <sz val="11"/>
        <color rgb="FF000000"/>
        <rFont val="Calibri"/>
      </rPr>
      <t xml:space="preserve">
</t>
    </r>
    <r>
      <rPr>
        <sz val="11"/>
        <color rgb="FF000000"/>
        <rFont val="Calibri"/>
      </rPr>
      <t>set attack-type signature protocol-binding tcp minimum-port 50 maximum-port 100</t>
    </r>
    <r>
      <rPr>
        <sz val="11"/>
        <color rgb="FF000000"/>
        <rFont val="Calibri"/>
      </rPr>
      <t xml:space="preserve">
</t>
    </r>
    <r>
      <rPr>
        <sz val="11"/>
        <color rgb="FF000000"/>
        <rFont val="Calibri"/>
      </rPr>
      <t>set attack-type signature direction any</t>
    </r>
  </si>
  <si>
    <r>
      <rPr>
        <sz val="11"/>
        <color rgb="FF000000"/>
        <rFont val="Calibri"/>
      </rPr>
      <t xml:space="preserve">The IDPS must include protection against DoS attacks that originate from inside the enclave which can affect either internal or external systems. These attacks may use legitimate or rogue endpoints from inside the enclave. </t>
    </r>
    <r>
      <rPr>
        <sz val="11"/>
        <color rgb="FF000000"/>
        <rFont val="Calibri"/>
      </rPr>
      <t xml:space="preserve">
</t>
    </r>
    <r>
      <rPr>
        <sz val="11"/>
        <color rgb="FF000000"/>
        <rFont val="Calibri"/>
      </rPr>
      <t>To perform signature-based attacks on the Juniper SRX IDPS device, create a signature-based attack object.</t>
    </r>
  </si>
  <si>
    <r>
      <rPr>
        <sz val="11"/>
        <color rgb="FF000000"/>
        <rFont val="Calibri"/>
      </rPr>
      <t xml:space="preserve">From operational mode, enter the following command to verify that the signature-based attack object was created: </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signature-based attack objects are not created, bound to a zone, and active, this is a finding.</t>
    </r>
  </si>
  <si>
    <t>V-214616</t>
  </si>
  <si>
    <r>
      <rPr>
        <sz val="11"/>
        <rFont val="Calibri"/>
      </rPr>
      <t>The Juniper Networks SRX Series Gateway IDPS must block outbound traffic containing known and unknown DoS attacks by ensuring that anomaly-based attack objects are applied to outbound communications traffic.</t>
    </r>
  </si>
  <si>
    <r>
      <rPr>
        <sz val="11"/>
        <color rgb="FF000000"/>
        <rFont val="Calibri"/>
      </rPr>
      <t>Create a protocol anomaly-based attack object:</t>
    </r>
    <r>
      <rPr>
        <sz val="11"/>
        <color rgb="FF000000"/>
        <rFont val="Calibri"/>
      </rPr>
      <t xml:space="preserve">
</t>
    </r>
    <r>
      <rPr>
        <sz val="11"/>
        <color rgb="FF000000"/>
        <rFont val="Calibri"/>
      </rPr>
      <t>Specify a name for the attack.</t>
    </r>
    <r>
      <rPr>
        <sz val="11"/>
        <color rgb="FF000000"/>
        <rFont val="Calibri"/>
      </rPr>
      <t xml:space="preserve">
</t>
    </r>
    <r>
      <rPr>
        <sz val="11"/>
        <color rgb="FF000000"/>
        <rFont val="Calibri"/>
      </rPr>
      <t>[edit]</t>
    </r>
    <r>
      <rPr>
        <sz val="11"/>
        <color rgb="FF000000"/>
        <rFont val="Calibri"/>
      </rPr>
      <t xml:space="preserve">
</t>
    </r>
    <r>
      <rPr>
        <sz val="11"/>
        <color rgb="FF000000"/>
        <rFont val="Calibri"/>
      </rPr>
      <t>security idp custom-attack anomaly1</t>
    </r>
    <r>
      <rPr>
        <sz val="11"/>
        <color rgb="FF000000"/>
        <rFont val="Calibri"/>
      </rPr>
      <t xml:space="preserve">
</t>
    </r>
    <r>
      <rPr>
        <sz val="11"/>
        <color rgb="FF000000"/>
        <rFont val="Calibri"/>
      </rPr>
      <t>Specify common properties for the attack.</t>
    </r>
    <r>
      <rPr>
        <sz val="11"/>
        <color rgb="FF000000"/>
        <rFont val="Calibri"/>
      </rPr>
      <t xml:space="preserve">
</t>
    </r>
    <r>
      <rPr>
        <sz val="11"/>
        <color rgb="FF000000"/>
        <rFont val="Calibri"/>
      </rPr>
      <t>[edit security idp custom-attack anomaly1]</t>
    </r>
    <r>
      <rPr>
        <sz val="11"/>
        <color rgb="FF000000"/>
        <rFont val="Calibri"/>
      </rPr>
      <t xml:space="preserve">
</t>
    </r>
    <r>
      <rPr>
        <sz val="11"/>
        <color rgb="FF000000"/>
        <rFont val="Calibri"/>
      </rPr>
      <t>set severity info</t>
    </r>
    <r>
      <rPr>
        <sz val="11"/>
        <color rgb="FF000000"/>
        <rFont val="Calibri"/>
      </rPr>
      <t xml:space="preserve">
</t>
    </r>
    <r>
      <rPr>
        <sz val="11"/>
        <color rgb="FF000000"/>
        <rFont val="Calibri"/>
      </rPr>
      <t>set time-binding scope peer count 2</t>
    </r>
    <r>
      <rPr>
        <sz val="11"/>
        <color rgb="FF000000"/>
        <rFont val="Calibri"/>
      </rPr>
      <t xml:space="preserve">
</t>
    </r>
    <r>
      <rPr>
        <sz val="11"/>
        <color rgb="FF000000"/>
        <rFont val="Calibri"/>
      </rPr>
      <t>Specify the attack type and test condition.</t>
    </r>
    <r>
      <rPr>
        <sz val="11"/>
        <color rgb="FF000000"/>
        <rFont val="Calibri"/>
      </rPr>
      <t xml:space="preserve">
</t>
    </r>
    <r>
      <rPr>
        <sz val="11"/>
        <color rgb="FF000000"/>
        <rFont val="Calibri"/>
      </rPr>
      <t xml:space="preserve">[edit] </t>
    </r>
    <r>
      <rPr>
        <sz val="11"/>
        <color rgb="FF000000"/>
        <rFont val="Calibri"/>
      </rPr>
      <t xml:space="preserve">
</t>
    </r>
    <r>
      <rPr>
        <sz val="11"/>
        <color rgb="FF000000"/>
        <rFont val="Calibri"/>
      </rPr>
      <t>security idp custom-attack anomaly1</t>
    </r>
    <r>
      <rPr>
        <sz val="11"/>
        <color rgb="FF000000"/>
        <rFont val="Calibri"/>
      </rPr>
      <t xml:space="preserve">
</t>
    </r>
    <r>
      <rPr>
        <sz val="11"/>
        <color rgb="FF000000"/>
        <rFont val="Calibri"/>
      </rPr>
      <t>set attack-type anomaly test OPTIONS_UNSUPPORTED</t>
    </r>
    <r>
      <rPr>
        <sz val="11"/>
        <color rgb="FF000000"/>
        <rFont val="Calibri"/>
      </rPr>
      <t xml:space="preserve">
</t>
    </r>
    <r>
      <rPr>
        <sz val="11"/>
        <color rgb="FF000000"/>
        <rFont val="Calibri"/>
      </rPr>
      <t>Specify other properties for the anomaly attack.</t>
    </r>
    <r>
      <rPr>
        <sz val="11"/>
        <color rgb="FF000000"/>
        <rFont val="Calibri"/>
      </rPr>
      <t xml:space="preserve">
</t>
    </r>
    <r>
      <rPr>
        <sz val="11"/>
        <color rgb="FF000000"/>
        <rFont val="Calibri"/>
      </rPr>
      <t>[edit]</t>
    </r>
    <r>
      <rPr>
        <sz val="11"/>
        <color rgb="FF000000"/>
        <rFont val="Calibri"/>
      </rPr>
      <t xml:space="preserve">
</t>
    </r>
    <r>
      <rPr>
        <sz val="11"/>
        <color rgb="FF000000"/>
        <rFont val="Calibri"/>
      </rPr>
      <t>security idp custom-attack anomaly1</t>
    </r>
    <r>
      <rPr>
        <sz val="11"/>
        <color rgb="FF000000"/>
        <rFont val="Calibri"/>
      </rPr>
      <t xml:space="preserve">
</t>
    </r>
    <r>
      <rPr>
        <sz val="11"/>
        <color rgb="FF000000"/>
        <rFont val="Calibri"/>
      </rPr>
      <t>set attack-type anomaly service TCP</t>
    </r>
    <r>
      <rPr>
        <sz val="11"/>
        <color rgb="FF000000"/>
        <rFont val="Calibri"/>
      </rPr>
      <t xml:space="preserve">
</t>
    </r>
    <r>
      <rPr>
        <sz val="11"/>
        <color rgb="FF000000"/>
        <rFont val="Calibri"/>
      </rPr>
      <t>u set attack-type anomaly direction any</t>
    </r>
    <r>
      <rPr>
        <sz val="11"/>
        <color rgb="FF000000"/>
        <rFont val="Calibri"/>
      </rPr>
      <t xml:space="preserve">
</t>
    </r>
    <r>
      <rPr>
        <sz val="11"/>
        <color rgb="FF000000"/>
        <rFont val="Calibri"/>
      </rPr>
      <t>attack-type anomaly shellcode spark</t>
    </r>
  </si>
  <si>
    <r>
      <rPr>
        <sz val="11"/>
        <color rgb="FF000000"/>
        <rFont val="Calibri"/>
      </rPr>
      <t xml:space="preserve">The IDPS must include protection against DoS attacks that originate from inside the enclave which can affect either internal or external systems. These attacks may use legitimate or rogue endpoints from inside the enclave. </t>
    </r>
    <r>
      <rPr>
        <sz val="11"/>
        <color rgb="FF000000"/>
        <rFont val="Calibri"/>
      </rPr>
      <t xml:space="preserve">
</t>
    </r>
    <r>
      <rPr>
        <sz val="11"/>
        <color rgb="FF000000"/>
        <rFont val="Calibri"/>
      </rPr>
      <t>To perform anomaly-based attacks on the Juniper SRX IDPS device, create an anomaly-based attack object.</t>
    </r>
  </si>
  <si>
    <r>
      <rPr>
        <sz val="11"/>
        <color rgb="FF000000"/>
        <rFont val="Calibri"/>
      </rPr>
      <t xml:space="preserve">From operational mode, enter the following command to verify that the anomaly-based attack object was created. </t>
    </r>
    <r>
      <rPr>
        <sz val="11"/>
        <color rgb="FF000000"/>
        <rFont val="Calibri"/>
      </rPr>
      <t xml:space="preserve">
</t>
    </r>
    <r>
      <rPr>
        <sz val="11"/>
        <color rgb="FF000000"/>
        <rFont val="Calibri"/>
      </rPr>
      <t>show idp security policies</t>
    </r>
    <r>
      <rPr>
        <sz val="11"/>
        <color rgb="FF000000"/>
        <rFont val="Calibri"/>
      </rPr>
      <t xml:space="preserve">
</t>
    </r>
    <r>
      <rPr>
        <sz val="11"/>
        <color rgb="FF000000"/>
        <rFont val="Calibri"/>
      </rPr>
      <t>If anomaly-based attack objects are not created, bound to a zone, and active, this is a finding.</t>
    </r>
  </si>
  <si>
    <t>V-214617</t>
  </si>
  <si>
    <r>
      <rPr>
        <sz val="11"/>
        <rFont val="Calibri"/>
      </rPr>
      <t>The Juniper Networks SRX Series Gateway IDPS must detect, at a minimum, mobile code that is unsigned or exhibiting unusual behavior, has not undergone a risk assessment, or is prohibited for use based on a risk assessment.</t>
    </r>
  </si>
  <si>
    <r>
      <rPr>
        <sz val="11"/>
        <color rgb="FF000000"/>
        <rFont val="Calibri"/>
      </rPr>
      <t>Specify a name for the attack. Specify common properties for the attack. Specify the attack type and context. Specify the attack direction and the shellcode flag. Set the protocol and its fields. Specify the protocol binding and ports. Specify the direction.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edit security idp custom-attack &lt;signature-name&gt;</t>
    </r>
    <r>
      <rPr>
        <sz val="11"/>
        <color rgb="FF000000"/>
        <rFont val="Calibri"/>
      </rPr>
      <t xml:space="preserve">
</t>
    </r>
    <r>
      <rPr>
        <sz val="11"/>
        <color rgb="FF000000"/>
        <rFont val="Calibri"/>
      </rPr>
      <t>set severity major</t>
    </r>
    <r>
      <rPr>
        <sz val="11"/>
        <color rgb="FF000000"/>
        <rFont val="Calibri"/>
      </rPr>
      <t xml:space="preserve">
</t>
    </r>
    <r>
      <rPr>
        <sz val="11"/>
        <color rgb="FF000000"/>
        <rFont val="Calibri"/>
      </rPr>
      <t>set recommended-action drop-packet</t>
    </r>
    <r>
      <rPr>
        <sz val="11"/>
        <color rgb="FF000000"/>
        <rFont val="Calibri"/>
      </rPr>
      <t xml:space="preserve">
</t>
    </r>
    <r>
      <rPr>
        <sz val="11"/>
        <color rgb="FF000000"/>
        <rFont val="Calibri"/>
      </rPr>
      <t>set time-binding scope source count 10</t>
    </r>
    <r>
      <rPr>
        <sz val="11"/>
        <color rgb="FF000000"/>
        <rFont val="Calibri"/>
      </rPr>
      <t xml:space="preserve">
</t>
    </r>
    <r>
      <rPr>
        <sz val="11"/>
        <color rgb="FF000000"/>
        <rFont val="Calibri"/>
      </rPr>
      <t>set attack-type signature context packet</t>
    </r>
    <r>
      <rPr>
        <sz val="11"/>
        <color rgb="FF000000"/>
        <rFont val="Calibri"/>
      </rPr>
      <t xml:space="preserve">
</t>
    </r>
    <r>
      <rPr>
        <sz val="11"/>
        <color rgb="FF000000"/>
        <rFont val="Calibri"/>
      </rPr>
      <t>set attack-type signature shellcode intel</t>
    </r>
    <r>
      <rPr>
        <sz val="11"/>
        <color rgb="FF000000"/>
        <rFont val="Calibri"/>
      </rPr>
      <t xml:space="preserve">
</t>
    </r>
    <r>
      <rPr>
        <sz val="11"/>
        <color rgb="FF000000"/>
        <rFont val="Calibri"/>
      </rPr>
      <t>set attack-type signature protocol ip ttl value 128 match equal</t>
    </r>
    <r>
      <rPr>
        <sz val="11"/>
        <color rgb="FF000000"/>
        <rFont val="Calibri"/>
      </rPr>
      <t xml:space="preserve">
</t>
    </r>
    <r>
      <rPr>
        <sz val="11"/>
        <color rgb="FF000000"/>
        <rFont val="Calibri"/>
      </rPr>
      <t>set attack-type signature protocol-binding tcp minimum-port 50 maximum-port 100</t>
    </r>
    <r>
      <rPr>
        <sz val="11"/>
        <color rgb="FF000000"/>
        <rFont val="Calibri"/>
      </rPr>
      <t xml:space="preserve">
</t>
    </r>
    <r>
      <rPr>
        <sz val="11"/>
        <color rgb="FF000000"/>
        <rFont val="Calibri"/>
      </rPr>
      <t>set attack-type signature direction any</t>
    </r>
  </si>
  <si>
    <r>
      <rPr>
        <sz val="11"/>
        <color rgb="FF000000"/>
        <rFont val="Calibri"/>
      </rPr>
      <t xml:space="preserve">Mobile code is defined as software modules obtained from remote systems, transferred across a network, and then downloaded and executed on a local system without explicit installation or execution by the recipient. Examples of mobile code include JavaScript, VBScript, Java applets, ActiveX controls, Flash animations, Shockwave videos, and macros embedded within Microsoft Office documents. Mobile code can be exploited to attack a host. It can be sent as an email attachment or embedded in other file formats not traditionally associated with executable code. </t>
    </r>
    <r>
      <rPr>
        <sz val="11"/>
        <color rgb="FF000000"/>
        <rFont val="Calibri"/>
      </rPr>
      <t xml:space="preserve">
</t>
    </r>
    <r>
      <rPr>
        <sz val="11"/>
        <color rgb="FF000000"/>
        <rFont val="Calibri"/>
      </rPr>
      <t>While the IDPS cannot replace the anti-virus and host-based IDS (HIDS) protection installed on the network's endpoints, vendor or locally created sensor rules can be implemented, which provide preemptive defense against both known and zero-day vulnerabilities. Many of the protections may provide defenses before vulnerabilities are discovered and rules or blacklist updates are distributed by anti-virus or malicious code solution vendors.</t>
    </r>
    <r>
      <rPr>
        <sz val="11"/>
        <color rgb="FF000000"/>
        <rFont val="Calibri"/>
      </rPr>
      <t xml:space="preserve">
</t>
    </r>
    <r>
      <rPr>
        <sz val="11"/>
        <color rgb="FF000000"/>
        <rFont val="Calibri"/>
      </rPr>
      <t>To monitor for and detect known prohibited mobile code or approved mobile code that violates permitted usage requirements, the IDPS must implement policy filters, rules, signatures, and anomaly analysis.</t>
    </r>
  </si>
  <si>
    <r>
      <rPr>
        <sz val="11"/>
        <color rgb="FF000000"/>
        <rFont val="Calibri"/>
      </rPr>
      <t>From operational mode, enter the following command to verify that the signature-based attack object was created:</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signature-based attack objects are not created and used, this is a finding.</t>
    </r>
  </si>
  <si>
    <t>V-214618</t>
  </si>
  <si>
    <r>
      <rPr>
        <sz val="11"/>
        <rFont val="Calibri"/>
      </rPr>
      <t>The Juniper Networks SRX Series Gateway IDPS must block any prohibited mobile code at the enclave boundary when it is detected.</t>
    </r>
  </si>
  <si>
    <r>
      <rPr>
        <sz val="11"/>
        <color rgb="FF000000"/>
        <rFont val="Calibri"/>
      </rPr>
      <t>To enable IDP services to drop traffic when there is a detection event on a zone based on the IDP policy:</t>
    </r>
    <r>
      <rPr>
        <sz val="11"/>
        <color rgb="FF000000"/>
        <rFont val="Calibri"/>
      </rPr>
      <t xml:space="preserve">
</t>
    </r>
    <r>
      <rPr>
        <sz val="11"/>
        <color rgb="FF000000"/>
        <rFont val="Calibri"/>
      </rPr>
      <t>Once the IDP policy is configured, IDP must be enabled on a security policy in order for IDP inspection to be performed.</t>
    </r>
    <r>
      <rPr>
        <sz val="11"/>
        <color rgb="FF000000"/>
        <rFont val="Calibri"/>
      </rPr>
      <t xml:space="preserve">
</t>
    </r>
    <r>
      <rPr>
        <sz val="11"/>
        <color rgb="FF000000"/>
        <rFont val="Calibri"/>
      </rPr>
      <t>Keep in mind that IDP inspection will only be performed on the traffic matching the security policies where IDP is enabled.</t>
    </r>
    <r>
      <rPr>
        <sz val="11"/>
        <color rgb="FF000000"/>
        <rFont val="Calibri"/>
      </rPr>
      <t xml:space="preserve">
</t>
    </r>
    <r>
      <rPr>
        <sz val="11"/>
        <color rgb="FF000000"/>
        <rFont val="Calibri"/>
      </rPr>
      <t>To enable IDP on a security policy, enter the following command:</t>
    </r>
    <r>
      <rPr>
        <sz val="11"/>
        <color rgb="FF000000"/>
        <rFont val="Calibri"/>
      </rPr>
      <t xml:space="preserve">
</t>
    </r>
    <r>
      <rPr>
        <sz val="11"/>
        <color rgb="FF000000"/>
        <rFont val="Calibri"/>
      </rPr>
      <t>set security policies from-zone &lt;FROM ZONE NAME&gt; to-zone &lt;TO ZONE NAME&gt; policy &lt;POLICY</t>
    </r>
    <r>
      <rPr>
        <sz val="11"/>
        <color rgb="FF000000"/>
        <rFont val="Calibri"/>
      </rPr>
      <t xml:space="preserve">
</t>
    </r>
    <r>
      <rPr>
        <sz val="11"/>
        <color rgb="FF000000"/>
        <rFont val="Calibri"/>
      </rPr>
      <t>NAME&gt; then permit application-services idp</t>
    </r>
  </si>
  <si>
    <r>
      <rPr>
        <sz val="11"/>
        <color rgb="FF000000"/>
        <rFont val="Calibri"/>
      </rPr>
      <t xml:space="preserve">Mobile code is defined as software modules obtained from remote systems, transferred across a network, and then downloaded and executed on a local system without explicit installation or execution by the recipient. Examples of mobile code include JavaScript, VBScript, Java applets, ActiveX controls, Flash animations, Shockwave videos, and macros embedded within Microsoft Office documents. Mobile code can be exploited to attack a host. It can be sent as an email attachment or embedded in other file formats not traditionally associated with executable code. </t>
    </r>
    <r>
      <rPr>
        <sz val="11"/>
        <color rgb="FF000000"/>
        <rFont val="Calibri"/>
      </rPr>
      <t xml:space="preserve">
</t>
    </r>
    <r>
      <rPr>
        <sz val="11"/>
        <color rgb="FF000000"/>
        <rFont val="Calibri"/>
      </rPr>
      <t>While the IDPS cannot replace the anti-virus and host-based IDS (HIDS) protection installed on the network's endpoints, vendor or locally created sensor rules can be implemented, which provide preemptive defense against both known and zero-day vulnerabilities. Many of the protections may provide defenses before vulnerabilities are discovered and rules or blacklist updates are distributed by anti-virus or malicious code solution vendors.</t>
    </r>
    <r>
      <rPr>
        <sz val="11"/>
        <color rgb="FF000000"/>
        <rFont val="Calibri"/>
      </rPr>
      <t xml:space="preserve">
</t>
    </r>
    <r>
      <rPr>
        <sz val="11"/>
        <color rgb="FF000000"/>
        <rFont val="Calibri"/>
      </rPr>
      <t>To block known prohibited mobile code or approved mobile code that violates permitted usage requirements, the IDPS must implement policy filters, rules, signatures, and anomaly analysis.</t>
    </r>
  </si>
  <si>
    <r>
      <rPr>
        <sz val="11"/>
        <color rgb="FF000000"/>
        <rFont val="Calibri"/>
      </rPr>
      <t xml:space="preserve">From operational mode, enter the following command to verify outbound zones are configured with an IDP policy: </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zones bound to the outbound interfaces, including VPN zones, are not configured with policy filters, rules, signatures, and anomaly analysis, this is a finding.</t>
    </r>
  </si>
  <si>
    <t>V-214619</t>
  </si>
  <si>
    <r>
      <rPr>
        <sz val="11"/>
        <rFont val="Calibri"/>
      </rPr>
      <t>The Juniper Networks SRX Series Gateway IDPS must install updates for predefined signature objects, applications signatures, IDPS policy templates, and device software when new releases are available in accordance with organizational configuration management policy and procedures.</t>
    </r>
  </si>
  <si>
    <r>
      <rPr>
        <sz val="11"/>
        <color rgb="FF000000"/>
        <rFont val="Calibri"/>
      </rPr>
      <t>Since DoD does not allow the management port of security devices to be connected directly to the Internet, the required security package must be uploaded using the Juniper SRX offline process.</t>
    </r>
    <r>
      <rPr>
        <sz val="11"/>
        <color rgb="FF000000"/>
        <rFont val="Calibri"/>
      </rPr>
      <t xml:space="preserve">
</t>
    </r>
    <r>
      <rPr>
        <sz val="11"/>
        <color rgb="FF000000"/>
        <rFont val="Calibri"/>
      </rPr>
      <t>Directions are available in the document “How to perform offline IDP and Application signature database update in SRX” on the Juniper Networks support site. DoD network policy requires a local file repository be used to automate the update for network devices.</t>
    </r>
    <r>
      <rPr>
        <sz val="11"/>
        <color rgb="FF000000"/>
        <rFont val="Calibri"/>
      </rPr>
      <t xml:space="preserve">
</t>
    </r>
    <r>
      <rPr>
        <sz val="11"/>
        <color rgb="FF000000"/>
        <rFont val="Calibri"/>
      </rPr>
      <t>Before uploading updates, the IDP administrator must verify the updates are approved by the site's CCB procedures and are authorized for installation. Once all files have been downloaded and approved, install the security package on SRX from root.</t>
    </r>
    <r>
      <rPr>
        <sz val="11"/>
        <color rgb="FF000000"/>
        <rFont val="Calibri"/>
      </rPr>
      <t xml:space="preserve">
</t>
    </r>
    <r>
      <rPr>
        <sz val="11"/>
        <color rgb="FF000000"/>
        <rFont val="Calibri"/>
      </rPr>
      <t>Request security idp security-package install source-path /var/db/idpd/sec-download</t>
    </r>
  </si>
  <si>
    <r>
      <rPr>
        <sz val="11"/>
        <color rgb="FF000000"/>
        <rFont val="Calibri"/>
      </rPr>
      <t xml:space="preserve">Failing to update malicious code protection mechanisms, including application software files, signature definitions, and vendor-provided rules, leaves the system vulnerable to exploitation by recently developed attack methods and programs. </t>
    </r>
    <r>
      <rPr>
        <sz val="11"/>
        <color rgb="FF000000"/>
        <rFont val="Calibri"/>
      </rPr>
      <t xml:space="preserve">
</t>
    </r>
    <r>
      <rPr>
        <sz val="11"/>
        <color rgb="FF000000"/>
        <rFont val="Calibri"/>
      </rPr>
      <t>The IDPS is a key malicious code protection mechanism in the enclave infrastructure. To ensure this protection is responsive to changes in malicious code threats, IDPS components must be updated, including application software files, anti-virus signatures, detection heuristics, vendor-provided rules, and vendor-provided signatures.</t>
    </r>
    <r>
      <rPr>
        <sz val="11"/>
        <color rgb="FF000000"/>
        <rFont val="Calibri"/>
      </rPr>
      <t xml:space="preserve">
</t>
    </r>
    <r>
      <rPr>
        <sz val="11"/>
        <color rgb="FF000000"/>
        <rFont val="Calibri"/>
      </rPr>
      <t xml:space="preserve">Updates must be installed in accordance with the CCB procedures for the local organization. However, at a minimum: </t>
    </r>
    <r>
      <rPr>
        <sz val="11"/>
        <color rgb="FF000000"/>
        <rFont val="Calibri"/>
      </rPr>
      <t xml:space="preserve">
</t>
    </r>
    <r>
      <rPr>
        <sz val="11"/>
        <color rgb="FF000000"/>
        <rFont val="Calibri"/>
      </rPr>
      <t>1. Updates designated as critical security updates by the vendor must be installed immediately.</t>
    </r>
    <r>
      <rPr>
        <sz val="11"/>
        <color rgb="FF000000"/>
        <rFont val="Calibri"/>
      </rPr>
      <t xml:space="preserve">
</t>
    </r>
    <r>
      <rPr>
        <sz val="11"/>
        <color rgb="FF000000"/>
        <rFont val="Calibri"/>
      </rPr>
      <t>2. Updates for predefined signature objects, applications signatures, IDPS policy templates, and device software must be installed immediately.</t>
    </r>
    <r>
      <rPr>
        <sz val="11"/>
        <color rgb="FF000000"/>
        <rFont val="Calibri"/>
      </rPr>
      <t xml:space="preserve">
</t>
    </r>
    <r>
      <rPr>
        <sz val="11"/>
        <color rgb="FF000000"/>
        <rFont val="Calibri"/>
      </rPr>
      <t>3. Updates for application software are installed in accordance with the CCB procedures.</t>
    </r>
    <r>
      <rPr>
        <sz val="11"/>
        <color rgb="FF000000"/>
        <rFont val="Calibri"/>
      </rPr>
      <t xml:space="preserve">
</t>
    </r>
    <r>
      <rPr>
        <sz val="11"/>
        <color rgb="FF000000"/>
        <rFont val="Calibri"/>
      </rPr>
      <t>4. Prior to automatically installing updates, either manual or automated integrity and authentication checking is required, at a minimum, for application software updates.</t>
    </r>
  </si>
  <si>
    <r>
      <rPr>
        <sz val="11"/>
        <color rgb="FF000000"/>
        <rFont val="Calibri"/>
      </rPr>
      <t>To check the version of the security package installed, enter the following command from the root on the device:</t>
    </r>
    <r>
      <rPr>
        <sz val="11"/>
        <color rgb="FF000000"/>
        <rFont val="Calibri"/>
      </rPr>
      <t xml:space="preserve">
</t>
    </r>
    <r>
      <rPr>
        <sz val="11"/>
        <color rgb="FF000000"/>
        <rFont val="Calibri"/>
      </rPr>
      <t>show security idp security-package-version</t>
    </r>
    <r>
      <rPr>
        <sz val="11"/>
        <color rgb="FF000000"/>
        <rFont val="Calibri"/>
      </rPr>
      <t xml:space="preserve">
</t>
    </r>
    <r>
      <rPr>
        <sz val="11"/>
        <color rgb="FF000000"/>
        <rFont val="Calibri"/>
      </rPr>
      <t>Compare the installed release with the latest available and approved release.</t>
    </r>
    <r>
      <rPr>
        <sz val="11"/>
        <color rgb="FF000000"/>
        <rFont val="Calibri"/>
      </rPr>
      <t xml:space="preserve">
</t>
    </r>
    <r>
      <rPr>
        <sz val="11"/>
        <color rgb="FF000000"/>
        <rFont val="Calibri"/>
      </rPr>
      <t>If a new release is available and not installed, this is a finding.</t>
    </r>
  </si>
  <si>
    <t>V-214620</t>
  </si>
  <si>
    <r>
      <rPr>
        <sz val="11"/>
        <rFont val="Calibri"/>
      </rPr>
      <t>To protect against unauthorized data mining, the Juniper Networks SRX Series Gateway IDPS must prevent code injection attacks launched against data storage objects, including, at a minimum, databases, database records, queries, and fields.</t>
    </r>
  </si>
  <si>
    <r>
      <rPr>
        <sz val="11"/>
        <color rgb="FF000000"/>
        <rFont val="Calibri"/>
      </rPr>
      <t>Configure an attack group for "INJ" and "CMDEXEC" attacks in the signature database which are recommended. Consult the Junos Security Intelligence Center IDP signatures website for a list and details of each attack, along with recommended action upon detection. Then add the attack group to a policy.</t>
    </r>
    <r>
      <rPr>
        <sz val="11"/>
        <color rgb="FF000000"/>
        <rFont val="Calibri"/>
      </rPr>
      <t xml:space="preserve">
</t>
    </r>
    <r>
      <rPr>
        <sz val="11"/>
        <color rgb="FF000000"/>
        <rFont val="Calibri"/>
      </rPr>
      <t>Specify the attack group as match criteria in an IDP policy rule. Specify a match criteria and IDP action to block the IP packet or terminate the connection.</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</si>
  <si>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 xml:space="preserve">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 </t>
    </r>
    <r>
      <rPr>
        <sz val="11"/>
        <color rgb="FF000000"/>
        <rFont val="Calibri"/>
      </rPr>
      <t xml:space="preserve">
</t>
    </r>
    <r>
      <rPr>
        <sz val="11"/>
        <color rgb="FF000000"/>
        <rFont val="Calibri"/>
      </rPr>
      <t>IDPS component(s) with the capability to prevent code injections must be included in the IDPS implementation to protect against unauthorized data mining. These components must include rules and anomaly detection algorithms to monitor for atypical database queries or accesses.</t>
    </r>
  </si>
  <si>
    <r>
      <rPr>
        <sz val="11"/>
        <color rgb="FF000000"/>
        <rFont val="Calibri"/>
      </rPr>
      <t>Verify attack group is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an attack group or rule(s) is not implemented to block the packets or terminate the session associated with code injection attacks that could be launched against databases, this is a finding.</t>
    </r>
  </si>
  <si>
    <t>V-214621</t>
  </si>
  <si>
    <r>
      <rPr>
        <sz val="11"/>
        <rFont val="Calibri"/>
      </rPr>
      <t>To protect against unauthorized data mining, the Juniper Networks SRX Series Gateway IDPS must prevent code injection attacks launched against application objects, including, at a minimum, application URLs and application code.</t>
    </r>
  </si>
  <si>
    <r>
      <rPr>
        <sz val="11"/>
        <color rgb="FF000000"/>
        <rFont val="Calibri"/>
      </rPr>
      <t>Data mining is the analysis of large quantities of data to discover patterns and is used in intelligence gathering. Failure to detect attacks that use unauthorized data mining techniques to attack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IDPS component(s) with the capability to prevent code injections must be included in the IDPS implementation to protect against unauthorized data mining. These components must include rules and anomaly detection algorithms to monitor for atypical database queries or accesses.</t>
    </r>
  </si>
  <si>
    <r>
      <rPr>
        <sz val="11"/>
        <color rgb="FF000000"/>
        <rFont val="Calibri"/>
      </rPr>
      <t>Verify attack group is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an attack group or rule(s) is not implemented to block the packets or terminate the session associated with code injection attacks that could be launched against applications, this is a finding.</t>
    </r>
  </si>
  <si>
    <t>V-214622</t>
  </si>
  <si>
    <r>
      <rPr>
        <sz val="11"/>
        <rFont val="Calibri"/>
      </rPr>
      <t>To protect against unauthorized data mining, the Juniper Networks SRX Series Gateway IDPS must prevent SQL injection attacks launched against data storage objects, including, at a minimum, databases, database records, and database fields.</t>
    </r>
  </si>
  <si>
    <r>
      <rPr>
        <sz val="11"/>
        <color rgb="FF000000"/>
        <rFont val="Calibri"/>
      </rPr>
      <t>Configure an attack group for "SQL" attacks in the signature database which are recommended. Consult the Junos Security Intelligence Center IDP signatures website for a list and details of each attack, along with recommended action upon detection. Then add the attack group to a policy.</t>
    </r>
    <r>
      <rPr>
        <sz val="11"/>
        <color rgb="FF000000"/>
        <rFont val="Calibri"/>
      </rPr>
      <t xml:space="preserve">
</t>
    </r>
    <r>
      <rPr>
        <sz val="11"/>
        <color rgb="FF000000"/>
        <rFont val="Calibri"/>
      </rPr>
      <t>Specify the attack group as match criteria in an IDP policy rule. Specify a match criteria and IDP action to block the IP packet or terminate the connection.</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</si>
  <si>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IDPS component(s) with the capability to prevent SQL code injections must be included in the IDPS implementation to protect against unauthorized data mining. These components must include rules and anomaly detection algorithms to monitor for SQL injection attacks.</t>
    </r>
  </si>
  <si>
    <r>
      <rPr>
        <sz val="11"/>
        <color rgb="FF000000"/>
        <rFont val="Calibri"/>
      </rPr>
      <t>Verify an attack group is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an attack group or rule(s) is not implemented to block the packets or terminate the session associated with SQL injection attacks that could be launched against data storage objects, this is a finding.</t>
    </r>
  </si>
  <si>
    <t>V-214623</t>
  </si>
  <si>
    <r>
      <rPr>
        <sz val="11"/>
        <rFont val="Calibri"/>
      </rPr>
      <t>To protect against unauthorized data mining, the Juniper Networks SRX Series Gateway IDPS must detect code injection attacks launched against data storage objects, including, at a minimum, databases, database records, queries, and fields.</t>
    </r>
  </si>
  <si>
    <r>
      <rPr>
        <sz val="11"/>
        <color rgb="FF000000"/>
        <rFont val="Calibri"/>
      </rPr>
      <t>Configure an attack group for "INJ" and "CMDEXEC" attacks in the signature database which are recommended. Consult the Junos Security Intelligence Center IDP signatures website for a list and details of each attack, along with recommended action upon detection. Then add the attack group to a policy.</t>
    </r>
    <r>
      <rPr>
        <sz val="11"/>
        <color rgb="FF000000"/>
        <rFont val="Calibri"/>
      </rPr>
      <t xml:space="preserve">
</t>
    </r>
    <r>
      <rPr>
        <sz val="11"/>
        <color rgb="FF000000"/>
        <rFont val="Calibri"/>
      </rPr>
      <t>Specify the attack group as match criteria in an IDP policy rule.</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</si>
  <si>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IDPS component(s) with anomaly detection must be included in the IDPS implementation to protect against unauthorized data mining. These components must include rules and anomaly detection algorithms to monitor for atypical database queries or accesses.</t>
    </r>
  </si>
  <si>
    <r>
      <rPr>
        <sz val="11"/>
        <color rgb="FF000000"/>
        <rFont val="Calibri"/>
      </rPr>
      <t>Verify an attack group is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an attack group or rule(s) is not implemented to monitor for code injection attacks that could be launched against data storage objects, this is a finding.</t>
    </r>
  </si>
  <si>
    <t>V-214624</t>
  </si>
  <si>
    <r>
      <rPr>
        <sz val="11"/>
        <rFont val="Calibri"/>
      </rPr>
      <t>To protect against unauthorized data mining, the Juniper Networks SRX Series Gateway IDPS must detect code injection attacks launched against application objects, including, at a minimum, application URLs and application code.</t>
    </r>
  </si>
  <si>
    <r>
      <rPr>
        <sz val="11"/>
        <color rgb="FF000000"/>
        <rFont val="Calibri"/>
      </rPr>
      <t>Configure an attack group for "INJ", "SQL", and "CMDEXEC" attacks in the signature database which are recommended. Consult the Junos Security Intelligence Center IDP signatures website for a list and details of each attack, along with recommended action upon detection. Then add the attack group to a policy.</t>
    </r>
    <r>
      <rPr>
        <sz val="11"/>
        <color rgb="FF000000"/>
        <rFont val="Calibri"/>
      </rPr>
      <t xml:space="preserve">
</t>
    </r>
    <r>
      <rPr>
        <sz val="11"/>
        <color rgb="FF000000"/>
        <rFont val="Calibri"/>
      </rPr>
      <t>Specify the attack group as match criteria in an IDP policy rule.</t>
    </r>
  </si>
  <si>
    <r>
      <rPr>
        <sz val="11"/>
        <color rgb="FF000000"/>
        <rFont val="Calibri"/>
      </rPr>
      <t>Data mining is the analysis of large quantities of data to discover patterns and is used in intelligence gathering. Failure to detect attacks that use unauthorized data mining techniques to attack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IDPS component(s) with anomaly detection must be included in the IDPS implementation. These components must include rules and anomaly detection algorithms to monitor for atypical application behavior, commands, and accesses.</t>
    </r>
  </si>
  <si>
    <r>
      <rPr>
        <sz val="11"/>
        <color rgb="FF000000"/>
        <rFont val="Calibri"/>
      </rPr>
      <t>Verify an attack group or rule is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an attack group or rule(s) is not implemented to monitor for code injection attacks that could be launched against application objects, this is a finding.</t>
    </r>
  </si>
  <si>
    <t>V-214625</t>
  </si>
  <si>
    <r>
      <rPr>
        <sz val="11"/>
        <rFont val="Calibri"/>
      </rPr>
      <t>To protect against unauthorized data mining, the Juniper Networks SRX Series Gateway IDPS must detect SQL injection attacks launched against data storage objects, including, at a minimum, databases, database records, and database fields.</t>
    </r>
  </si>
  <si>
    <r>
      <rPr>
        <sz val="11"/>
        <color rgb="FF000000"/>
        <rFont val="Calibri"/>
      </rPr>
      <t>Configure an attack group for "SQL" attacks in the signature database which are recommended. Consult the Junos Security Intelligence Center IDP signatures website for a list and details of each attack, along with recommended action upon detection. Then add the attack group to a policy.</t>
    </r>
    <r>
      <rPr>
        <sz val="11"/>
        <color rgb="FF000000"/>
        <rFont val="Calibri"/>
      </rPr>
      <t xml:space="preserve">
</t>
    </r>
    <r>
      <rPr>
        <sz val="11"/>
        <color rgb="FF000000"/>
        <rFont val="Calibri"/>
      </rPr>
      <t>Specify the attack group as match criteria in an IDP policy rule.</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</si>
  <si>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IDPS component(s) with anomaly detection must be included in the IDPS implementation to monitor for and detect unauthorized data mining. These components must include rules and anomaly detection algorithms to monitor for SQL injection attacks.</t>
    </r>
  </si>
  <si>
    <r>
      <rPr>
        <sz val="11"/>
        <color rgb="FF000000"/>
        <rFont val="Calibri"/>
      </rPr>
      <t>Verify an attack group or rule is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an attack group or rule(s) is not implemented to monitor for SQL injection attacks that could be launched against data storage objects, this is a finding.</t>
    </r>
  </si>
  <si>
    <t>V-214626</t>
  </si>
  <si>
    <r>
      <rPr>
        <sz val="11"/>
        <rFont val="Calibri"/>
      </rPr>
      <t>The Juniper Networks SRX Series Gateway IDPS must protect against or limit the effects of known and unknown types of Denial of Service (DoS) attacks by employing rate-based attack prevention behavior analysis.</t>
    </r>
  </si>
  <si>
    <r>
      <rPr>
        <sz val="11"/>
        <color rgb="FF000000"/>
        <rFont val="Calibri"/>
      </rPr>
      <t>Create a protocol anomaly-based attack object:</t>
    </r>
    <r>
      <rPr>
        <sz val="11"/>
        <color rgb="FF000000"/>
        <rFont val="Calibri"/>
      </rPr>
      <t xml:space="preserve">
</t>
    </r>
    <r>
      <rPr>
        <sz val="11"/>
        <color rgb="FF000000"/>
        <rFont val="Calibri"/>
      </rPr>
      <t>Specify a name for the attack.</t>
    </r>
    <r>
      <rPr>
        <sz val="11"/>
        <color rgb="FF000000"/>
        <rFont val="Calibri"/>
      </rPr>
      <t xml:space="preserve">
</t>
    </r>
    <r>
      <rPr>
        <sz val="11"/>
        <color rgb="FF000000"/>
        <rFont val="Calibri"/>
      </rPr>
      <t>[edit]</t>
    </r>
    <r>
      <rPr>
        <sz val="11"/>
        <color rgb="FF000000"/>
        <rFont val="Calibri"/>
      </rPr>
      <t xml:space="preserve">
</t>
    </r>
    <r>
      <rPr>
        <sz val="11"/>
        <color rgb="FF000000"/>
        <rFont val="Calibri"/>
      </rPr>
      <t>security idp custom-attack anomaly1</t>
    </r>
    <r>
      <rPr>
        <sz val="11"/>
        <color rgb="FF000000"/>
        <rFont val="Calibri"/>
      </rPr>
      <t xml:space="preserve">
</t>
    </r>
    <r>
      <rPr>
        <sz val="11"/>
        <color rgb="FF000000"/>
        <rFont val="Calibri"/>
      </rPr>
      <t>Specify common properties for the attack.</t>
    </r>
    <r>
      <rPr>
        <sz val="11"/>
        <color rgb="FF000000"/>
        <rFont val="Calibri"/>
      </rPr>
      <t xml:space="preserve">
</t>
    </r>
    <r>
      <rPr>
        <sz val="11"/>
        <color rgb="FF000000"/>
        <rFont val="Calibri"/>
      </rPr>
      <t>[edit security idp custom-attack anomaly1]</t>
    </r>
    <r>
      <rPr>
        <sz val="11"/>
        <color rgb="FF000000"/>
        <rFont val="Calibri"/>
      </rPr>
      <t xml:space="preserve">
</t>
    </r>
    <r>
      <rPr>
        <sz val="11"/>
        <color rgb="FF000000"/>
        <rFont val="Calibri"/>
      </rPr>
      <t>set severity info</t>
    </r>
    <r>
      <rPr>
        <sz val="11"/>
        <color rgb="FF000000"/>
        <rFont val="Calibri"/>
      </rPr>
      <t xml:space="preserve">
</t>
    </r>
    <r>
      <rPr>
        <sz val="11"/>
        <color rgb="FF000000"/>
        <rFont val="Calibri"/>
      </rPr>
      <t>set time-binding scope peer count 2</t>
    </r>
    <r>
      <rPr>
        <sz val="11"/>
        <color rgb="FF000000"/>
        <rFont val="Calibri"/>
      </rPr>
      <t xml:space="preserve">
</t>
    </r>
    <r>
      <rPr>
        <sz val="11"/>
        <color rgb="FF000000"/>
        <rFont val="Calibri"/>
      </rPr>
      <t>Specify the attack type and test condition.</t>
    </r>
    <r>
      <rPr>
        <sz val="11"/>
        <color rgb="FF000000"/>
        <rFont val="Calibri"/>
      </rPr>
      <t xml:space="preserve">
</t>
    </r>
    <r>
      <rPr>
        <sz val="11"/>
        <color rgb="FF000000"/>
        <rFont val="Calibri"/>
      </rPr>
      <t xml:space="preserve">[edit] </t>
    </r>
    <r>
      <rPr>
        <sz val="11"/>
        <color rgb="FF000000"/>
        <rFont val="Calibri"/>
      </rPr>
      <t xml:space="preserve">
</t>
    </r>
    <r>
      <rPr>
        <sz val="11"/>
        <color rgb="FF000000"/>
        <rFont val="Calibri"/>
      </rPr>
      <t>security idp custom-attack anomaly1set attack-type anomaly test OPTIONS_UNSUPPORTED</t>
    </r>
    <r>
      <rPr>
        <sz val="11"/>
        <color rgb="FF000000"/>
        <rFont val="Calibri"/>
      </rPr>
      <t xml:space="preserve">
</t>
    </r>
    <r>
      <rPr>
        <sz val="11"/>
        <color rgb="FF000000"/>
        <rFont val="Calibri"/>
      </rPr>
      <t>Specify other properties for the anomaly attack.</t>
    </r>
    <r>
      <rPr>
        <sz val="11"/>
        <color rgb="FF000000"/>
        <rFont val="Calibri"/>
      </rPr>
      <t xml:space="preserve">
</t>
    </r>
    <r>
      <rPr>
        <sz val="11"/>
        <color rgb="FF000000"/>
        <rFont val="Calibri"/>
      </rPr>
      <t>[edit]</t>
    </r>
    <r>
      <rPr>
        <sz val="11"/>
        <color rgb="FF000000"/>
        <rFont val="Calibri"/>
      </rPr>
      <t xml:space="preserve">
</t>
    </r>
    <r>
      <rPr>
        <sz val="11"/>
        <color rgb="FF000000"/>
        <rFont val="Calibri"/>
      </rPr>
      <t>security idp custom-attack anomaly1]</t>
    </r>
    <r>
      <rPr>
        <sz val="11"/>
        <color rgb="FF000000"/>
        <rFont val="Calibri"/>
      </rPr>
      <t xml:space="preserve">
</t>
    </r>
    <r>
      <rPr>
        <sz val="11"/>
        <color rgb="FF000000"/>
        <rFont val="Calibri"/>
      </rPr>
      <t>set attack-type anomaly service TCP</t>
    </r>
    <r>
      <rPr>
        <sz val="11"/>
        <color rgb="FF000000"/>
        <rFont val="Calibri"/>
      </rPr>
      <t xml:space="preserve">
</t>
    </r>
    <r>
      <rPr>
        <sz val="11"/>
        <color rgb="FF000000"/>
        <rFont val="Calibri"/>
      </rPr>
      <t>u set attack-type anomaly direction any</t>
    </r>
    <r>
      <rPr>
        <sz val="11"/>
        <color rgb="FF000000"/>
        <rFont val="Calibri"/>
      </rPr>
      <t xml:space="preserve">
</t>
    </r>
    <r>
      <rPr>
        <sz val="11"/>
        <color rgb="FF000000"/>
        <rFont val="Calibri"/>
      </rPr>
      <t>attack-type anomaly shellcode spark</t>
    </r>
  </si>
  <si>
    <r>
      <rPr>
        <sz val="11"/>
        <color rgb="FF000000"/>
        <rFont val="Calibri"/>
      </rPr>
      <t>If the network does not provide safeguards against DoS attack, network resources will be unavailable to users.</t>
    </r>
    <r>
      <rPr>
        <sz val="11"/>
        <color rgb="FF000000"/>
        <rFont val="Calibri"/>
      </rPr>
      <t xml:space="preserve">
</t>
    </r>
    <r>
      <rPr>
        <sz val="11"/>
        <color rgb="FF000000"/>
        <rFont val="Calibri"/>
      </rPr>
      <t>Installation of IDPS detection and prevention components (i.e., sensors)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Detection components that use rate-based behavior analysis can detect attacks when signatures for the attack do not exist or are not installed. These attacks include zero-day attacks which are new attacks for which vendors have not yet developed signatures. Rate-based behavior analysis can detect sophisticated, Distributed DoS (DDoS) attacks by correlating traffic information from multiple network segments or components.</t>
    </r>
    <r>
      <rPr>
        <sz val="11"/>
        <color rgb="FF000000"/>
        <rFont val="Calibri"/>
      </rPr>
      <t xml:space="preserve">
</t>
    </r>
    <r>
      <rPr>
        <sz val="11"/>
        <color rgb="FF000000"/>
        <rFont val="Calibri"/>
      </rPr>
      <t>The Juniper SRX must be configured with screens using the Firewall STIG, but must also be configured for anomaly-based protection using various locally developed anomaly-based attack objects.</t>
    </r>
  </si>
  <si>
    <r>
      <rPr>
        <sz val="11"/>
        <color rgb="FF000000"/>
        <rFont val="Calibri"/>
      </rPr>
      <t xml:space="preserve">From operational mode, enter the following command to verify that the anomaly-based attack object was created: </t>
    </r>
    <r>
      <rPr>
        <sz val="11"/>
        <color rgb="FF000000"/>
        <rFont val="Calibri"/>
      </rPr>
      <t xml:space="preserve">
</t>
    </r>
    <r>
      <rPr>
        <sz val="11"/>
        <color rgb="FF000000"/>
        <rFont val="Calibri"/>
      </rPr>
      <t>show idp security policies</t>
    </r>
    <r>
      <rPr>
        <sz val="11"/>
        <color rgb="FF000000"/>
        <rFont val="Calibri"/>
      </rPr>
      <t xml:space="preserve">
</t>
    </r>
    <r>
      <rPr>
        <sz val="11"/>
        <color rgb="FF000000"/>
        <rFont val="Calibri"/>
      </rPr>
      <t>If anomaly-based attack objects are not created, bound to a zone, and active, this is a finding.</t>
    </r>
  </si>
  <si>
    <t>V-214627</t>
  </si>
  <si>
    <r>
      <rPr>
        <sz val="11"/>
        <rFont val="Calibri"/>
      </rPr>
      <t>The Juniper Networks SRX Series Gateway IDPS must protect against or limit the effects of known and unknown types of Denial of Service (DoS) attacks by employing anomaly-based detection.</t>
    </r>
  </si>
  <si>
    <r>
      <rPr>
        <sz val="11"/>
        <color rgb="FF000000"/>
        <rFont val="Calibri"/>
      </rPr>
      <t>If the network does not provide safeguards against DoS attack, network resources will be unavailable to users.</t>
    </r>
    <r>
      <rPr>
        <sz val="11"/>
        <color rgb="FF000000"/>
        <rFont val="Calibri"/>
      </rPr>
      <t xml:space="preserve">
</t>
    </r>
    <r>
      <rPr>
        <sz val="11"/>
        <color rgb="FF000000"/>
        <rFont val="Calibri"/>
      </rPr>
      <t>Installation of IDPS components (i.e., sensors) at key boundaries in the architecture mitigates the risk of DoS attacks. These attacks can be detected by matching observed communications traffic with patterns of known attacks.</t>
    </r>
    <r>
      <rPr>
        <sz val="11"/>
        <color rgb="FF000000"/>
        <rFont val="Calibri"/>
      </rPr>
      <t xml:space="preserve">
</t>
    </r>
    <r>
      <rPr>
        <sz val="11"/>
        <color rgb="FF000000"/>
        <rFont val="Calibri"/>
      </rPr>
      <t>Detection components that use pattern recognition pre-processors can detect attacks when signatures for the attack do not exist or are not installed. These attacks include zero-day attacks which are new attacks for which vendors have not yet developed signatures.</t>
    </r>
    <r>
      <rPr>
        <sz val="11"/>
        <color rgb="FF000000"/>
        <rFont val="Calibri"/>
      </rPr>
      <t xml:space="preserve">
</t>
    </r>
    <r>
      <rPr>
        <sz val="11"/>
        <color rgb="FF000000"/>
        <rFont val="Calibri"/>
      </rPr>
      <t>This requirement applies to the communications traffic functionality of the IDPS as it pertains to handling communications traffic, rather than to the IDPS device itself. The Juniper SRX must be configured with screens using the Firewall STIG, but must also be configured for anomaly-based protection using various locally developed anomaly-based attack objects.</t>
    </r>
  </si>
  <si>
    <r>
      <rPr>
        <sz val="11"/>
        <color rgb="FF000000"/>
        <rFont val="Calibri"/>
      </rPr>
      <t>Verify that the anomaly-based attack object was created.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idp security policies</t>
    </r>
    <r>
      <rPr>
        <sz val="11"/>
        <color rgb="FF000000"/>
        <rFont val="Calibri"/>
      </rPr>
      <t xml:space="preserve">
</t>
    </r>
    <r>
      <rPr>
        <sz val="11"/>
        <color rgb="FF000000"/>
        <rFont val="Calibri"/>
      </rPr>
      <t>If anomaly-based attack objects are not created, bound to a zone, and active, this is a finding.</t>
    </r>
  </si>
  <si>
    <t>V-214628</t>
  </si>
  <si>
    <r>
      <rPr>
        <sz val="11"/>
        <rFont val="Calibri"/>
      </rPr>
      <t>The Juniper Networks SRX Series Gateway IDPS must protect against or limit the effects of known types of Denial of Service (DoS) attacks by employing signatures.</t>
    </r>
  </si>
  <si>
    <r>
      <rPr>
        <sz val="11"/>
        <color rgb="FF000000"/>
        <rFont val="Calibri"/>
      </rPr>
      <t>Configure an attack group for "FLOOD" and "DOS" attacks in the signature database which are recommended. Consult the Junos Security Intelligence Center IDP signatures website for a list and details of each attack, along with recommended action upon detection. Then add the attack group to a policy.</t>
    </r>
    <r>
      <rPr>
        <sz val="11"/>
        <color rgb="FF000000"/>
        <rFont val="Calibri"/>
      </rPr>
      <t xml:space="preserve">
</t>
    </r>
    <r>
      <rPr>
        <sz val="11"/>
        <color rgb="FF000000"/>
        <rFont val="Calibri"/>
      </rPr>
      <t>Specify the attack group as match criteria in an IDP policy rule.</t>
    </r>
  </si>
  <si>
    <r>
      <rPr>
        <sz val="11"/>
        <color rgb="FF000000"/>
        <rFont val="Calibri"/>
      </rPr>
      <t xml:space="preserve">If the network does not provide safeguards against DoS attack, network resources will be unavailable to users. </t>
    </r>
    <r>
      <rPr>
        <sz val="11"/>
        <color rgb="FF000000"/>
        <rFont val="Calibri"/>
      </rPr>
      <t xml:space="preserve">
</t>
    </r>
    <r>
      <rPr>
        <sz val="11"/>
        <color rgb="FF000000"/>
        <rFont val="Calibri"/>
      </rPr>
      <t>Installation of IDPS detection and prevention components (i.e., sensors) at key boundaries in the architecture mitigates the risk of DoS attacks. These attacks can be detected by matching observed communications traffic with patterns of known attacks and monitoring for anomalies in traffic volume, type, or protocol usage.</t>
    </r>
    <r>
      <rPr>
        <sz val="11"/>
        <color rgb="FF000000"/>
        <rFont val="Calibri"/>
      </rPr>
      <t xml:space="preserve">
</t>
    </r>
    <r>
      <rPr>
        <sz val="11"/>
        <color rgb="FF000000"/>
        <rFont val="Calibri"/>
      </rPr>
      <t>Detection components that use signatures can detect known attacks by using known attack signatures. Signatures are usually obtained from and updated by the IDPS component vendor. These attacks include SYN-flood, ICMP-flood, and Land Attacks.</t>
    </r>
    <r>
      <rPr>
        <sz val="11"/>
        <color rgb="FF000000"/>
        <rFont val="Calibri"/>
      </rPr>
      <t xml:space="preserve">
</t>
    </r>
    <r>
      <rPr>
        <sz val="11"/>
        <color rgb="FF000000"/>
        <rFont val="Calibri"/>
      </rPr>
      <t>This requirement applies to the communications traffic functionality of the IDPS as it pertains to handling communications traffic, rather than to the IDPS device itself. The Juniper SRX must be configured with screens using the Firewall STIG to protect against flood and DOS attacks type attacks, but must also be configured for anomaly-based protection</t>
    </r>
  </si>
  <si>
    <r>
      <rPr>
        <sz val="11"/>
        <color rgb="FF000000"/>
        <rFont val="Calibri"/>
      </rPr>
      <t>Verify an attack group or rule is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an attack group(s) or rules are not implemented to detect flood and DOS attacks, this is a finding.</t>
    </r>
  </si>
  <si>
    <t>V-214629</t>
  </si>
  <si>
    <r>
      <rPr>
        <sz val="11"/>
        <rFont val="Calibri"/>
      </rPr>
      <t>The IDPS must send an alert to, at a minimum, the ISSO and ISSM when intrusion detection events are detected that indicate a compromise or potential for compromise.</t>
    </r>
  </si>
  <si>
    <r>
      <rPr>
        <sz val="11"/>
        <color rgb="FF000000"/>
        <rFont val="Calibri"/>
      </rPr>
      <t xml:space="preserve">Create a custom rule that identifies the Junos application which is prohibited on the network. </t>
    </r>
    <r>
      <rPr>
        <sz val="11"/>
        <color rgb="FF000000"/>
        <rFont val="Calibri"/>
      </rPr>
      <t xml:space="preserve">
</t>
    </r>
    <r>
      <rPr>
        <sz val="11"/>
        <color rgb="FF000000"/>
        <rFont val="Calibri"/>
      </rPr>
      <t>Add the option "alert" onto the rule to send an alert when that rule is invoked. Alerts should be sent only on critical and other site-selected items to prevent an excess of alerts.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idp idp-policy recommended rulebase-ips rule-1 then notification log-attacks alert</t>
    </r>
  </si>
  <si>
    <r>
      <rPr>
        <sz val="11"/>
        <color rgb="FF000000"/>
        <rFont val="Calibri"/>
      </rPr>
      <t>Without an alert, security personnel may be unaware of intrusion detection incidents that require immediate action and this delay may result in the loss or compromise of information.</t>
    </r>
    <r>
      <rPr>
        <sz val="11"/>
        <color rgb="FF000000"/>
        <rFont val="Calibri"/>
      </rPr>
      <t xml:space="preserve">
</t>
    </r>
    <r>
      <rPr>
        <sz val="11"/>
        <color rgb="FF000000"/>
        <rFont val="Calibri"/>
      </rPr>
      <t>In accordance with CCI-001242, the IDPS is a real-time intrusion detection system. These systems must generate an alert when detection events from real-time monitoring occur. Alerts may be transmitted, for example, telephonically, by electronic mail messages, or by text messaging. The IDPS must either send the alert to a management console that is actively monitored by authorized personnel or use a messaging capability to send the alert directly to designated personnel. The Juniper SRX IDPS can be configured for email alerts.</t>
    </r>
  </si>
  <si>
    <r>
      <rPr>
        <sz val="11"/>
        <color rgb="FF000000"/>
        <rFont val="Calibri"/>
      </rPr>
      <t>Verify an attack group or rule is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an attack group or rule is not implemented to detect root-level intrusion attacks or the match condition is not configured for an alert, this is a finding.</t>
    </r>
  </si>
  <si>
    <t>V-214630</t>
  </si>
  <si>
    <r>
      <rPr>
        <sz val="11"/>
        <rFont val="Calibri"/>
      </rPr>
      <t>The Juniper Networks SRX Series Gateway IDPS must generate an alert to, at a minimum, the ISSO and ISSM when root-level intrusion events that provide unauthorized privileged access are detected.</t>
    </r>
  </si>
  <si>
    <r>
      <rPr>
        <sz val="11"/>
        <color rgb="FF000000"/>
        <rFont val="Calibri"/>
      </rPr>
      <t>Configure an attack group for "ROOT" attacks in the signature database which are recommended. Consult the Junos Security Intelligence Center IDP signatures website for a list and details of each attack, along with recommended action upon detection. Then add the attack group to a policy.</t>
    </r>
    <r>
      <rPr>
        <sz val="11"/>
        <color rgb="FF000000"/>
        <rFont val="Calibri"/>
      </rPr>
      <t xml:space="preserve">
</t>
    </r>
    <r>
      <rPr>
        <sz val="11"/>
        <color rgb="FF000000"/>
        <rFont val="Calibri"/>
      </rPr>
      <t>Specify the attack group as match criteria in an IDP policy rule.</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</si>
  <si>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I, II, IV, and VII detection events) will require an alert when an event is detected.</t>
    </r>
    <r>
      <rPr>
        <sz val="11"/>
        <color rgb="FF000000"/>
        <rFont val="Calibri"/>
      </rPr>
      <t xml:space="preserve">
</t>
    </r>
    <r>
      <rPr>
        <sz val="11"/>
        <color rgb="FF000000"/>
        <rFont val="Calibri"/>
      </rPr>
      <t>Alerts messages must include a severity level indicator or code as an indicator of the criticality of the incident. 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Alerts may be transmitted, for example, telephonically, by electronic mail messages, or by text messaging. The IDPS must either send the alert to a management console that is actively monitored by authorized personnel or use a messaging capability to send the alert directly to designated personnel. The Juniper SRX IDPS can be configured for email alerts.</t>
    </r>
  </si>
  <si>
    <r>
      <rPr>
        <sz val="11"/>
        <color rgb="FF000000"/>
        <rFont val="Calibri"/>
      </rPr>
      <t>Verify an attack group or rule is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policies</t>
    </r>
    <r>
      <rPr>
        <sz val="11"/>
        <color rgb="FF000000"/>
        <rFont val="Calibri"/>
      </rPr>
      <t xml:space="preserve">
</t>
    </r>
    <r>
      <rPr>
        <sz val="11"/>
        <color rgb="FF000000"/>
        <rFont val="Calibri"/>
      </rPr>
      <t>If an attack group or rules are not configured to detect root-level intrusion attacks or the match condition is not configured for an alert, this is a finding.</t>
    </r>
  </si>
  <si>
    <t>V-214631</t>
  </si>
  <si>
    <r>
      <rPr>
        <sz val="11"/>
        <rFont val="Calibri"/>
      </rPr>
      <t>The IDPS must send an alert to, at a minimum, the ISSO and ISSM when DoS incidents are detected.</t>
    </r>
  </si>
  <si>
    <r>
      <rPr>
        <sz val="11"/>
        <color rgb="FF000000"/>
        <rFont val="Calibri"/>
      </rPr>
      <t>Configure alerts for IDP attack by using the [edit security alarms potential-violation] command.</t>
    </r>
    <r>
      <rPr>
        <sz val="11"/>
        <color rgb="FF000000"/>
        <rFont val="Calibri"/>
      </rPr>
      <t xml:space="preserve">
</t>
    </r>
    <r>
      <rPr>
        <sz val="11"/>
        <color rgb="FF000000"/>
        <rFont val="Calibri"/>
      </rPr>
      <t>Add the option "alert" onto the rule to send an alert when that rule is invoked. Alerts should be sent only on critical and other site-selected items to prevent an excess of alerts.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idp idp-policy recommended rulebase-ips rule-1 then notification log-attacks alert</t>
    </r>
  </si>
  <si>
    <r>
      <rPr>
        <sz val="11"/>
        <color rgb="FF000000"/>
        <rFont val="Calibri"/>
      </rPr>
      <t>Verify alerts are configured to implement this requirement.</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alarms potential-violation</t>
    </r>
    <r>
      <rPr>
        <sz val="11"/>
        <color rgb="FF000000"/>
        <rFont val="Calibri"/>
      </rPr>
      <t xml:space="preserve">
</t>
    </r>
    <r>
      <rPr>
        <sz val="11"/>
        <color rgb="FF000000"/>
        <rFont val="Calibri"/>
      </rPr>
      <t>If alerts are not configured to notify the ISSO and ISSM of potential-violation IDP events, this is a finding.</t>
    </r>
  </si>
  <si>
    <t>V-214632</t>
  </si>
  <si>
    <r>
      <rPr>
        <sz val="11"/>
        <rFont val="Calibri"/>
      </rPr>
      <t>The Juniper Networks SRX Series Gateway IDPS must automatically install updates to signature definitions.</t>
    </r>
  </si>
  <si>
    <r>
      <rPr>
        <sz val="11"/>
        <color rgb="FF000000"/>
        <rFont val="Calibri"/>
      </rPr>
      <t>The following example configures automatic updates of the IDP signature database:</t>
    </r>
    <r>
      <rPr>
        <sz val="11"/>
        <color rgb="FF000000"/>
        <rFont val="Calibri"/>
      </rPr>
      <t xml:space="preserve">
</t>
    </r>
    <r>
      <rPr>
        <sz val="11"/>
        <color rgb="FF000000"/>
        <rFont val="Calibri"/>
      </rPr>
      <t>Specify the URL to use.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idp security-package url &lt;DoD repository&gt;</t>
    </r>
    <r>
      <rPr>
        <sz val="11"/>
        <color rgb="FF000000"/>
        <rFont val="Calibri"/>
      </rPr>
      <t xml:space="preserve">
</t>
    </r>
    <r>
      <rPr>
        <sz val="11"/>
        <color rgb="FF000000"/>
        <rFont val="Calibri"/>
      </rPr>
      <t>Create a schedule for the automatic downloads.</t>
    </r>
    <r>
      <rPr>
        <sz val="11"/>
        <color rgb="FF000000"/>
        <rFont val="Calibri"/>
      </rPr>
      <t xml:space="preserve">
</t>
    </r>
    <r>
      <rPr>
        <sz val="11"/>
        <color rgb="FF000000"/>
        <rFont val="Calibri"/>
      </rPr>
      <t>set security idp security-package automatic interval &lt;interval&gt;</t>
    </r>
    <r>
      <rPr>
        <sz val="11"/>
        <color rgb="FF000000"/>
        <rFont val="Calibri"/>
      </rPr>
      <t xml:space="preserve">
</t>
    </r>
    <r>
      <rPr>
        <sz val="11"/>
        <color rgb="FF000000"/>
        <rFont val="Calibri"/>
      </rPr>
      <t>set security idp security-package automatic enable</t>
    </r>
    <r>
      <rPr>
        <sz val="11"/>
        <color rgb="FF000000"/>
        <rFont val="Calibri"/>
      </rPr>
      <t xml:space="preserve">
</t>
    </r>
    <r>
      <rPr>
        <sz val="11"/>
        <color rgb="FF000000"/>
        <rFont val="Calibri"/>
      </rPr>
      <t>Also, recommend a local log be created to track when automated updates are performed for troubleshooting purposes.</t>
    </r>
    <r>
      <rPr>
        <sz val="11"/>
        <color rgb="FF000000"/>
        <rFont val="Calibri"/>
      </rPr>
      <t xml:space="preserve">
</t>
    </r>
    <r>
      <rPr>
        <sz val="11"/>
        <color rgb="FF000000"/>
        <rFont val="Calibri"/>
      </rPr>
      <t>set system syslog file IDP_OPERATIONS any any match IDP_SCHEDULE</t>
    </r>
  </si>
  <si>
    <r>
      <rPr>
        <sz val="11"/>
        <color rgb="FF000000"/>
        <rFont val="Calibri"/>
      </rPr>
      <t>Failing to automatically update malicious code protection mechanisms, including application software files, signature definitions, and vendor-provided rules, leaves the system vulnerable to exploitation by recently developed attack methods and programs. An automatic update process ensures this important task is performed without the need for Security Control Auditor (SCA) intervention.</t>
    </r>
    <r>
      <rPr>
        <sz val="11"/>
        <color rgb="FF000000"/>
        <rFont val="Calibri"/>
      </rPr>
      <t xml:space="preserve">
</t>
    </r>
    <r>
      <rPr>
        <sz val="11"/>
        <color rgb="FF000000"/>
        <rFont val="Calibri"/>
      </rPr>
      <t>The IDPS is a key malicious code protection mechanism in the enclave infrastructure. To ensure this protection is responsive to changes in malicious code threats, IDPS components must be automatically updated, including anti-virus signatures, detection heuristics, vendor-provided rules, and vendor-provided signatures.</t>
    </r>
    <r>
      <rPr>
        <sz val="11"/>
        <color rgb="FF000000"/>
        <rFont val="Calibri"/>
      </rPr>
      <t xml:space="preserve">
</t>
    </r>
    <r>
      <rPr>
        <sz val="11"/>
        <color rgb="FF000000"/>
        <rFont val="Calibri"/>
      </rPr>
      <t xml:space="preserve">If a DoD patch management server or update repository having the tested/verified updates is available for the IDPS component, the components must be configured to automatically check this server/site for updates and install new updates. </t>
    </r>
    <r>
      <rPr>
        <sz val="11"/>
        <color rgb="FF000000"/>
        <rFont val="Calibri"/>
      </rPr>
      <t xml:space="preserve">
</t>
    </r>
    <r>
      <rPr>
        <sz val="11"/>
        <color rgb="FF000000"/>
        <rFont val="Calibri"/>
      </rPr>
      <t>If a DoD server/site is not available, the component must be configured to automatically check a trusted vendor site for updates. A trusted vendor is either commonly used by DoD, specifically approved by DoD, the vendor from which the equipment was purchased, or approved by the local program's CCB.</t>
    </r>
  </si>
  <si>
    <r>
      <rPr>
        <sz val="11"/>
        <color rgb="FF000000"/>
        <rFont val="Calibri"/>
      </rPr>
      <t>Verify automatic updates are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t>
    </r>
    <r>
      <rPr>
        <sz val="11"/>
        <color rgb="FF000000"/>
        <rFont val="Calibri"/>
      </rPr>
      <t xml:space="preserve">
</t>
    </r>
    <r>
      <rPr>
        <sz val="11"/>
        <color rgb="FF000000"/>
        <rFont val="Calibri"/>
      </rPr>
      <t>If updates are not automatically installed, this is a finding.</t>
    </r>
  </si>
  <si>
    <t>V-214633</t>
  </si>
  <si>
    <r>
      <rPr>
        <sz val="11"/>
        <rFont val="Calibri"/>
      </rPr>
      <t>The Juniper Networks SRX Series Gateway IDPS must perform real-time monitoring of files from external sources at network entry/exit points.</t>
    </r>
  </si>
  <si>
    <r>
      <rPr>
        <sz val="11"/>
        <color rgb="FF000000"/>
        <rFont val="Calibri"/>
      </rPr>
      <t>Configure a dynamic custom attack group which includes attack objects for malicious code monitoring of files. There are many ways to accomplish this; thus, the following is only an example:</t>
    </r>
    <r>
      <rPr>
        <sz val="11"/>
        <color rgb="FF000000"/>
        <rFont val="Calibri"/>
      </rPr>
      <t xml:space="preserve">
</t>
    </r>
    <r>
      <rPr>
        <sz val="11"/>
        <color rgb="FF000000"/>
        <rFont val="Calibri"/>
      </rPr>
      <t xml:space="preserve">[edit] </t>
    </r>
    <r>
      <rPr>
        <sz val="11"/>
        <color rgb="FF000000"/>
        <rFont val="Calibri"/>
      </rPr>
      <t xml:space="preserve">
</t>
    </r>
    <r>
      <rPr>
        <sz val="11"/>
        <color rgb="FF000000"/>
        <rFont val="Calibri"/>
      </rPr>
      <t>security idp dynamic-attack-group Malicious-Activity</t>
    </r>
    <r>
      <rPr>
        <sz val="11"/>
        <color rgb="FF000000"/>
        <rFont val="Calibri"/>
      </rPr>
      <t xml:space="preserve">
</t>
    </r>
    <r>
      <rPr>
        <sz val="11"/>
        <color rgb="FF000000"/>
        <rFont val="Calibri"/>
      </rPr>
      <t>set category values [ SHELLCODE VIRUS WORMS SPYWARE TROJAN]</t>
    </r>
  </si>
  <si>
    <r>
      <rPr>
        <sz val="11"/>
        <color rgb="FF000000"/>
        <rFont val="Calibri"/>
      </rPr>
      <t>Real-time monitoring of files from external sources at network entry/exit points helps to detect covert malicious code before it is downloaded to or executed by internal and external endpoints. Using malicious code, such as viruses, worms, Trojan horses, and spyware, an attacker may gain access to sensitive data and systems.</t>
    </r>
    <r>
      <rPr>
        <sz val="11"/>
        <color rgb="FF000000"/>
        <rFont val="Calibri"/>
      </rPr>
      <t xml:space="preserve">
</t>
    </r>
    <r>
      <rPr>
        <sz val="11"/>
        <color rgb="FF000000"/>
        <rFont val="Calibri"/>
      </rPr>
      <t>IDPSs innately meet this requirement for real-time scanning for malicious code when properly configured to meet the requirements of this STIG. However, most products perform communications traffic inspection at the packet level.</t>
    </r>
  </si>
  <si>
    <r>
      <rPr>
        <sz val="11"/>
        <color rgb="FF000000"/>
        <rFont val="Calibri"/>
      </rPr>
      <t>Verify a dynamic custom attack group which includes attack objects for malicious code monitoring of files.</t>
    </r>
    <r>
      <rPr>
        <sz val="11"/>
        <color rgb="FF000000"/>
        <rFont val="Calibri"/>
      </rPr>
      <t xml:space="preserve">
</t>
    </r>
    <r>
      <rPr>
        <sz val="11"/>
        <color rgb="FF000000"/>
        <rFont val="Calibri"/>
      </rPr>
      <t>show security idp dynamic-attack-group</t>
    </r>
    <r>
      <rPr>
        <sz val="11"/>
        <color rgb="FF000000"/>
        <rFont val="Calibri"/>
      </rPr>
      <t xml:space="preserve">
</t>
    </r>
    <r>
      <rPr>
        <sz val="11"/>
        <color rgb="FF000000"/>
        <rFont val="Calibri"/>
      </rPr>
      <t>If a custom attack group exists containing members which include malicious code attack categories, this is a finding.</t>
    </r>
  </si>
  <si>
    <t>V-214634</t>
  </si>
  <si>
    <r>
      <rPr>
        <sz val="11"/>
        <rFont val="Calibri"/>
      </rPr>
      <t>The Juniper Networks SRX Series Gateway IDPS must drop packets or disconnect the connection when malicious code is detected.</t>
    </r>
  </si>
  <si>
    <r>
      <rPr>
        <sz val="11"/>
        <color rgb="FF000000"/>
        <rFont val="Calibri"/>
      </rPr>
      <t>This requirement can be met through a custom rule within a policy or drop action option on the zone configuration to which the policy is applied. The following is an example of the command that can be added to the IDP policy. The policy is called Malicious-Activity and the rule is called R1 in this 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idp idp-policy Malicious-Activity rulebase-ips rule R1 then action drop-connection</t>
    </r>
  </si>
  <si>
    <r>
      <rPr>
        <sz val="11"/>
        <color rgb="FF000000"/>
        <rFont val="Calibri"/>
      </rPr>
      <t>Configuring the IDPS to discard and/or redirect based on local organizational incident handling procedures minimizes the impact of this code on the network.</t>
    </r>
    <r>
      <rPr>
        <sz val="11"/>
        <color rgb="FF000000"/>
        <rFont val="Calibri"/>
      </rPr>
      <t xml:space="preserve">
</t>
    </r>
    <r>
      <rPr>
        <sz val="11"/>
        <color rgb="FF000000"/>
        <rFont val="Calibri"/>
      </rPr>
      <t>Once an attack object in the IPS policy is matched, the SRX can execute an action on that specific session, along with actions on future sessions. The ability to execute an action on that particular session is known as an IDPS action. IDPS actions can be one of the following: No-Action, Drop-Packet, Drop-Connection, Close-Client, Close-Server, Close-Client-and-Server, DSCP-Marking, Recommended, or Ignore. IP actions are actions that can be enforced on future sessions. These actions include IP-Close, IP-Block, and IP-Notify</t>
    </r>
  </si>
  <si>
    <r>
      <rPr>
        <sz val="11"/>
        <color rgb="FF000000"/>
        <rFont val="Calibri"/>
      </rPr>
      <t>Verify custom rules exist to drop packets or terminate sessions upon detection of malicious code.</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policy</t>
    </r>
    <r>
      <rPr>
        <sz val="11"/>
        <color rgb="FF000000"/>
        <rFont val="Calibri"/>
      </rPr>
      <t xml:space="preserve">
</t>
    </r>
    <r>
      <rPr>
        <sz val="11"/>
        <color rgb="FF000000"/>
        <rFont val="Calibri"/>
      </rPr>
      <t>View the rulebase action option for the IDP policies.</t>
    </r>
    <r>
      <rPr>
        <sz val="11"/>
        <color rgb="FF000000"/>
        <rFont val="Calibri"/>
      </rPr>
      <t xml:space="preserve">
</t>
    </r>
    <r>
      <rPr>
        <sz val="11"/>
        <color rgb="FF000000"/>
        <rFont val="Calibri"/>
      </rPr>
      <t>If rulebases for IDP policies which detect malicious code are not configured with an action of Drop-Packet, Drop-Connection, or some form of session termination, this is a finding.</t>
    </r>
  </si>
  <si>
    <t>V-214635</t>
  </si>
  <si>
    <r>
      <rPr>
        <sz val="11"/>
        <rFont val="Calibri"/>
      </rPr>
      <t>The Juniper Networks SRX Series Gateway IDPS must send an immediate alert to, at a minimum, the Security Control Auditor (SCA) when malicious code is detected.</t>
    </r>
  </si>
  <si>
    <r>
      <rPr>
        <sz val="11"/>
        <color rgb="FF000000"/>
        <rFont val="Calibri"/>
      </rPr>
      <t>This requirement can be met using an alert. Alerts must be enabled and configured and then added to the IDP policy rulebase command as an option. The following is an example of the command that can be added to the IDP policy. The policy is called Malicious-Activity and the rule is called R1 in this 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idp idp-policy Malicious-Activity rulebase-ips rule R1 then notification log-attacks alert</t>
    </r>
  </si>
  <si>
    <r>
      <rPr>
        <sz val="11"/>
        <color rgb="FF000000"/>
        <rFont val="Calibri"/>
      </rPr>
      <t>Without an alert, security personnel may be unaware of an impending failure of the audit capability, and the ability to perform forensic analysis and detect rate-based and other anomalies will be impeded.</t>
    </r>
    <r>
      <rPr>
        <sz val="11"/>
        <color rgb="FF000000"/>
        <rFont val="Calibri"/>
      </rPr>
      <t xml:space="preserve">
</t>
    </r>
    <r>
      <rPr>
        <sz val="11"/>
        <color rgb="FF000000"/>
        <rFont val="Calibri"/>
      </rPr>
      <t>The IDPS generates an immediate (within seconds) alert which notifies designated personnel of the incident. Sending a message to an unattended log or console does not meet this requirement since that will not be seen immediately. These messages should include a severity level indicator or code as an indicator of the criticality of the incident.</t>
    </r>
  </si>
  <si>
    <r>
      <rPr>
        <sz val="11"/>
        <color rgb="FF000000"/>
        <rFont val="Calibri"/>
      </rPr>
      <t>Verify an alert is sent when malicious code is detected.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idp policy</t>
    </r>
    <r>
      <rPr>
        <sz val="11"/>
        <color rgb="FF000000"/>
        <rFont val="Calibri"/>
      </rPr>
      <t xml:space="preserve">
</t>
    </r>
    <r>
      <rPr>
        <sz val="11"/>
        <color rgb="FF000000"/>
        <rFont val="Calibri"/>
      </rPr>
      <t>View the rulebase options for the IDP policies.</t>
    </r>
    <r>
      <rPr>
        <sz val="11"/>
        <color rgb="FF000000"/>
        <rFont val="Calibri"/>
      </rPr>
      <t xml:space="preserve">
</t>
    </r>
    <r>
      <rPr>
        <sz val="11"/>
        <color rgb="FF000000"/>
        <rFont val="Calibri"/>
      </rPr>
      <t>If the rulebase options for the IDP policies that detect malicious code do not contain the "alert" option, this is a finding.</t>
    </r>
  </si>
  <si>
    <t>V-214636</t>
  </si>
  <si>
    <r>
      <rPr>
        <sz val="11"/>
        <rFont val="Calibri"/>
      </rPr>
      <t>The Juniper Networks SRX Series Gateway IDPS must have only active Juniper Networks licenses.</t>
    </r>
  </si>
  <si>
    <r>
      <rPr>
        <sz val="11"/>
        <color rgb="FF000000"/>
        <rFont val="Calibri"/>
      </rPr>
      <t>Update the expired licenses immediately following the procedures on the vendor website.</t>
    </r>
  </si>
  <si>
    <r>
      <rPr>
        <sz val="11"/>
        <color rgb="FF000000"/>
        <rFont val="Calibri"/>
      </rPr>
      <t>If the IDP or UTM licenses are allowed to lapse, the Juniper SRX IDPS can still inspect traffic and continue to use the outdated signature database for rules, objects, and dynamic groups. However, updates to the signature database cannot be downloaded from Juniper Networks. This puts the network at risk since the updates are used to addresses new CERT and IAVM vulnerabilities.</t>
    </r>
  </si>
  <si>
    <r>
      <rPr>
        <sz val="11"/>
        <color rgb="FF000000"/>
        <rFont val="Calibri"/>
      </rPr>
      <t>In operational mode, enter show system license.</t>
    </r>
    <r>
      <rPr>
        <sz val="11"/>
        <color rgb="FF000000"/>
        <rFont val="Calibri"/>
      </rPr>
      <t xml:space="preserve">
</t>
    </r>
    <r>
      <rPr>
        <sz val="11"/>
        <color rgb="FF000000"/>
        <rFont val="Calibri"/>
      </rPr>
      <t>If the license expiration for idp-sig and all other licenses installed are past today's date, this is a finding.</t>
    </r>
  </si>
  <si>
    <t>V-214637</t>
  </si>
  <si>
    <r>
      <rPr>
        <sz val="11"/>
        <rFont val="Calibri"/>
      </rPr>
      <t>The Juniper Networks SRX Series Gateway IDPS must either forward the traffic from inbound connections to be more deeply inspected for malicious code and Layer 7 threats, or the Antivirus and Unified Threat Management (UTM) license must be installed, active, and policies and rules configured.</t>
    </r>
  </si>
  <si>
    <r>
      <rPr>
        <sz val="11"/>
        <color rgb="FF000000"/>
        <rFont val="Calibri"/>
      </rPr>
      <t>Configure at least one policy for the UTM and AV policy using the commands and options for the [edit security utm] hierarchy.</t>
    </r>
    <r>
      <rPr>
        <sz val="11"/>
        <color rgb="FF000000"/>
        <rFont val="Calibri"/>
      </rPr>
      <t xml:space="preserve">
</t>
    </r>
    <r>
      <rPr>
        <sz val="11"/>
        <color rgb="FF000000"/>
        <rFont val="Calibri"/>
      </rPr>
      <t>If the UTM and AV licenses are not installed, IDPS must be installed in the architecture so that traffic is forwarded for deeper AV and UTM inspection. This can be accomplished by using a zone stanza to direct the traffic to an interface or IP destination address.</t>
    </r>
  </si>
  <si>
    <r>
      <rPr>
        <sz val="11"/>
        <color rgb="FF000000"/>
        <rFont val="Calibri"/>
      </rPr>
      <t>UTM is an industry term that was coined to define Layer 7 protection against client-side threats. This does not include IPS (which also has protection against server-to-client attacks) but rather technologies such as network-based antivirus protection, URL filtering, antispam solutions, and content filtering. IPS is primarily focused on network-based attacks on protocols, and is stream based, meaning that it processes traffic inline without modifying it as a stream. This works great from a performance perspective to detect attacks against services and applications. UTM, on the other hand, is meant more for protecting against files that are transmitted on top of the network streams. Although IPS might be more geared for detecting an overflow of the parser of the network stream, it isn’t as well geared for detecting threats within files. That is, it certainly can detect such file-based attacks, but attackers can go to great lengths to encode, encrypt, and obfuscate files to perform some malicious action—and it is very difficult to detect these attacks in Stream mode.</t>
    </r>
  </si>
  <si>
    <r>
      <rPr>
        <sz val="11"/>
        <color rgb="FF000000"/>
        <rFont val="Calibri"/>
      </rPr>
      <t>Verify UTM and AV policies are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utm</t>
    </r>
    <r>
      <rPr>
        <sz val="11"/>
        <color rgb="FF000000"/>
        <rFont val="Calibri"/>
      </rPr>
      <t xml:space="preserve">
</t>
    </r>
    <r>
      <rPr>
        <sz val="11"/>
        <color rgb="FF000000"/>
        <rFont val="Calibri"/>
      </rPr>
      <t>If a stanza does not exist for at least one UTM and one AV policy, this is a finding.</t>
    </r>
    <r>
      <rPr>
        <sz val="11"/>
        <color rgb="FF000000"/>
        <rFont val="Calibri"/>
      </rPr>
      <t xml:space="preserve">
</t>
    </r>
    <r>
      <rPr>
        <sz val="11"/>
        <color rgb="FF000000"/>
        <rFont val="Calibri"/>
      </rPr>
      <t>If the IDPS does not have UTM and AV capabilities and traffic is not forwarded to be inspected for AV and UTM threats, this is a finding.</t>
    </r>
  </si>
  <si>
    <t>V-214668</t>
  </si>
  <si>
    <r>
      <rPr>
        <sz val="11"/>
        <rFont val="Calibri"/>
      </rPr>
      <t>The Juniper SRX Services Gateway VPN must limit the number of concurrent sessions for user accounts to one (1) and administrative accounts to three (3), or set to an organization-defined number.</t>
    </r>
  </si>
  <si>
    <t>VPN</t>
  </si>
  <si>
    <r>
      <rPr>
        <sz val="11"/>
        <color rgb="FF000000"/>
        <rFont val="Calibri"/>
      </rPr>
      <t>Configure the VPN IKE gateway to limit concurrent sessions. The following is an 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ike gateway &lt;VPN-GATEWAY&gt; dynamic connections-limit 1</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ike gateway &lt;VPN-GATEWAY&gt; dynamic connections-limit 3</t>
    </r>
  </si>
  <si>
    <r>
      <rPr>
        <sz val="11"/>
        <color rgb="FF000000"/>
        <rFont val="Calibri"/>
      </rPr>
      <t>Network element management includes the ability to control the number of users and user sessions that utilize a network element. Limiting the number of allowed users and sessions per user is helpful in limiting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r>
      <rPr>
        <sz val="11"/>
        <color rgb="FF000000"/>
        <rFont val="Calibri"/>
      </rPr>
      <t xml:space="preserve">
</t>
    </r>
    <r>
      <rPr>
        <sz val="11"/>
        <color rgb="FF000000"/>
        <rFont val="Calibri"/>
      </rPr>
      <t>The intent of this policy is to ensure the number of concurrent sessions is deliberately set to a number based on the site's mission and not left unlimited.</t>
    </r>
  </si>
  <si>
    <r>
      <rPr>
        <sz val="11"/>
        <color rgb="FF000000"/>
        <rFont val="Calibri"/>
      </rPr>
      <t>Verify the VPN Internet Key Exchange (IKE) gateway limits concurrent sessions.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ike</t>
    </r>
    <r>
      <rPr>
        <sz val="11"/>
        <color rgb="FF000000"/>
        <rFont val="Calibri"/>
      </rPr>
      <t xml:space="preserve">
</t>
    </r>
    <r>
      <rPr>
        <sz val="11"/>
        <color rgb="FF000000"/>
        <rFont val="Calibri"/>
      </rPr>
      <t>View the value for the connections-limit.</t>
    </r>
    <r>
      <rPr>
        <sz val="11"/>
        <color rgb="FF000000"/>
        <rFont val="Calibri"/>
      </rPr>
      <t xml:space="preserve">
</t>
    </r>
    <r>
      <rPr>
        <sz val="11"/>
        <color rgb="FF000000"/>
        <rFont val="Calibri"/>
      </rPr>
      <t>If the VPN IKE gateway does not limit the number of concurrent sessions for user accounts to one (1) and administrative accounts to three (3), or is set to an organization-defined number, this is a finding.</t>
    </r>
  </si>
  <si>
    <t>V-214669</t>
  </si>
  <si>
    <r>
      <rPr>
        <sz val="11"/>
        <rFont val="Calibri"/>
      </rPr>
      <t>The Juniper SRX Services Gateway VPN must renegotiate the IPsec security association after 8 hours or less.</t>
    </r>
  </si>
  <si>
    <r>
      <rPr>
        <sz val="11"/>
        <color rgb="FF000000"/>
        <rFont val="Calibri"/>
      </rPr>
      <t xml:space="preserve">Set the lifetime (in seconds) of the IPsec proposal to 8 hours or less.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ipsec proposal &lt;P2-PROPOSAL-NAME&gt; lifetime-seconds 28800</t>
    </r>
  </si>
  <si>
    <r>
      <rPr>
        <sz val="11"/>
        <color rgb="FF000000"/>
        <rFont val="Calibri"/>
      </rPr>
      <t>The IPsec SA and its corresponding key will expire either after the number of seconds or amount of traffic volume has exceeded the configured limit. A new SA is negotiated before the lifetime threshold of the existing SA is reached to ensure that a new SA is ready for use when the old one expires. The longer the lifetime of the IPsec SA, the longer the lifetime of the session key used to protect IP traffic. The SA is less secure with a longer lifetime because an attacker has a greater opportunity to collect traffic encrypted by the same key and subject it to cryptanalysis. However, a shorter lifetime causes IPsec peers to renegotiate Phase II more often resulting in the expenditure of additional resources.</t>
    </r>
  </si>
  <si>
    <r>
      <rPr>
        <sz val="11"/>
        <color rgb="FF000000"/>
        <rFont val="Calibri"/>
      </rPr>
      <t>Review all IPsec security associations configured globally or within IPsec profiles on the VPN gateway and examine the configured idle time. The default is 3600.</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ipsec proposal</t>
    </r>
    <r>
      <rPr>
        <sz val="11"/>
        <color rgb="FF000000"/>
        <rFont val="Calibri"/>
      </rPr>
      <t xml:space="preserve">
</t>
    </r>
    <r>
      <rPr>
        <sz val="11"/>
        <color rgb="FF000000"/>
        <rFont val="Calibri"/>
      </rPr>
      <t>View the value of the lifetime-seconds option.</t>
    </r>
    <r>
      <rPr>
        <sz val="11"/>
        <color rgb="FF000000"/>
        <rFont val="Calibri"/>
      </rPr>
      <t xml:space="preserve">
</t>
    </r>
    <r>
      <rPr>
        <sz val="11"/>
        <color rgb="FF000000"/>
        <rFont val="Calibri"/>
      </rPr>
      <t>If the IPsec proposal lifetime-seconds are not renegotiated after 8 hours or less of idle time, this is a finding.</t>
    </r>
    <r>
      <rPr>
        <sz val="11"/>
        <color rgb="FF000000"/>
        <rFont val="Calibri"/>
      </rPr>
      <t xml:space="preserve">
</t>
    </r>
    <r>
      <rPr>
        <sz val="11"/>
        <color rgb="FF000000"/>
        <rFont val="Calibri"/>
      </rPr>
      <t>If the IPsec proposal lifetime-seconds is not configured, this is a finding.</t>
    </r>
  </si>
  <si>
    <t>V-214670</t>
  </si>
  <si>
    <r>
      <rPr>
        <sz val="11"/>
        <rFont val="Calibri"/>
      </rPr>
      <t>The Juniper SRX Services Gateway VPN must renegotiate the IKE security association after 24 hours or less.</t>
    </r>
  </si>
  <si>
    <r>
      <rPr>
        <sz val="11"/>
        <color rgb="FF000000"/>
        <rFont val="Calibri"/>
      </rPr>
      <t>Specify the lifetime (in seconds) of an IKE security association (SA). When the SA expires, it is replaced by a new SA, the security parameter index (SPI), or terminated if the peer cannot be contacted for renegotiation.</t>
    </r>
    <r>
      <rPr>
        <sz val="11"/>
        <color rgb="FF000000"/>
        <rFont val="Calibri"/>
      </rPr>
      <t xml:space="preserve">
</t>
    </r>
    <r>
      <rPr>
        <sz val="11"/>
        <color rgb="FF000000"/>
        <rFont val="Calibri"/>
      </rPr>
      <t>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ike proposal &lt;P1-PROPOSAL-NAME&gt; lifetime-seconds 86400</t>
    </r>
  </si>
  <si>
    <r>
      <rPr>
        <sz val="11"/>
        <color rgb="FF000000"/>
        <rFont val="Calibri"/>
      </rPr>
      <t>When a VPN gateway creates an IPsec Security Association (SA), resources must be allocated to maintain the SA. These resources are wasted during periods of IPsec endpoint inactivity, which could result in the gateway’s inability to create new SAs for other endpoints, thereby preventing new sessions from connecting. The Internet Key Exchange (IKE) idle timeout may also be set to allow SAs associated with inactive endpoints to be deleted before the SA lifetime has expired, although this setting is not recommended at this time. The value of one hour or less is a common best practice.</t>
    </r>
  </si>
  <si>
    <r>
      <rPr>
        <sz val="11"/>
        <color rgb="FF000000"/>
        <rFont val="Calibri"/>
      </rPr>
      <t>Review all IPsec security associations configured globally or within IPsec profiles on the VPN gateway and examine the configured idle time. The idle time value must be one hour or less. If idle time is not configured, determine the default used by the gateway. The default value is 28800 seconds which is compliant.</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ike proposal</t>
    </r>
    <r>
      <rPr>
        <sz val="11"/>
        <color rgb="FF000000"/>
        <rFont val="Calibri"/>
      </rPr>
      <t xml:space="preserve">
</t>
    </r>
    <r>
      <rPr>
        <sz val="11"/>
        <color rgb="FF000000"/>
        <rFont val="Calibri"/>
      </rPr>
      <t>View the value of the lifetime-seconds option.</t>
    </r>
    <r>
      <rPr>
        <sz val="11"/>
        <color rgb="FF000000"/>
        <rFont val="Calibri"/>
      </rPr>
      <t xml:space="preserve">
</t>
    </r>
    <r>
      <rPr>
        <sz val="11"/>
        <color rgb="FF000000"/>
        <rFont val="Calibri"/>
      </rPr>
      <t>If the IKE security associations are not renegotiated after 24 hours or less of idle time, this is a finding.</t>
    </r>
  </si>
  <si>
    <t>V-214671</t>
  </si>
  <si>
    <r>
      <rPr>
        <sz val="11"/>
        <rFont val="Calibri"/>
      </rPr>
      <t>The Juniper SRX Services Gateway VPN device also fulfills the role of IDPS in the architecture, the device must inspect the VPN traffic in compliance with DoD IDPS requirements.</t>
    </r>
  </si>
  <si>
    <r>
      <rPr>
        <sz val="11"/>
        <color rgb="FF000000"/>
        <rFont val="Calibri"/>
      </rPr>
      <t>Perform a security review using the Juniper SRX Services Gateway IDPS STIG.</t>
    </r>
  </si>
  <si>
    <r>
      <rPr>
        <sz val="11"/>
        <color rgb="FF000000"/>
        <rFont val="Calibri"/>
      </rPr>
      <t>Remote access devices, such as those providing remote access to network devices and information systems, which lack automated, capabilities increase risk and makes remote user access management difficult at best.</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from a variety of information system components (e.g., servers, workstations, notebook computers, smart phones, and tablets).</t>
    </r>
  </si>
  <si>
    <r>
      <rPr>
        <sz val="11"/>
        <color rgb="FF000000"/>
        <rFont val="Calibri"/>
      </rPr>
      <t>Obtain documentation from the site representative that the Juniper SRX is configured in compliance with the Juniper SRX Services Gateway IDPS STIG.</t>
    </r>
    <r>
      <rPr>
        <sz val="11"/>
        <color rgb="FF000000"/>
        <rFont val="Calibri"/>
      </rPr>
      <t xml:space="preserve">
</t>
    </r>
    <r>
      <rPr>
        <sz val="11"/>
        <color rgb="FF000000"/>
        <rFont val="Calibri"/>
      </rPr>
      <t>If the device has not been configured to comply with DoD IDPS requirements, this is a finding.</t>
    </r>
  </si>
  <si>
    <t>V-214672</t>
  </si>
  <si>
    <r>
      <rPr>
        <sz val="11"/>
        <rFont val="Calibri"/>
      </rPr>
      <t>The Juniper SRX Services Gateway VPN must use AES256 for the IPsec proposal to protect the confidentiality of remote access sessions.</t>
    </r>
  </si>
  <si>
    <r>
      <rPr>
        <sz val="11"/>
        <color rgb="FF000000"/>
        <rFont val="Calibri"/>
      </rPr>
      <t xml:space="preserve">The following example commands configure the IPsec (phase 2) proposals.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ipsec proposal &lt;IPSEC-PROPOSAL-NAME&gt; encryption-algorithm aes-256-cbc</t>
    </r>
  </si>
  <si>
    <r>
      <rPr>
        <sz val="11"/>
        <color rgb="FF000000"/>
        <rFont val="Calibri"/>
      </rPr>
      <t>Without confidentiality protection mechanisms, unauthorized individuals may gain access to sensitive information via a remote access session. The Advance Encryption Standard (AES) encryption is critical to ensuring the privacy of the IPsec session; it is imperative that AES is used for encryption operations.</t>
    </r>
    <r>
      <rPr>
        <sz val="11"/>
        <color rgb="FF000000"/>
        <rFont val="Calibri"/>
      </rPr>
      <t xml:space="preserve">
</t>
    </r>
    <r>
      <rPr>
        <sz val="11"/>
        <color rgb="FF000000"/>
        <rFont val="Calibri"/>
      </rPr>
      <t>The CNSSP 15 compliant algorithms recommended by the NSA for IPsec are AES 256 with SHA384 and cbc or gsm confidentiality mode.</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t>
    </r>
  </si>
  <si>
    <r>
      <rPr>
        <sz val="11"/>
        <color rgb="FF000000"/>
        <rFont val="Calibri"/>
      </rPr>
      <t>Verify all Internet Key Exchange (IKE) proposals are set to use the AES256 encryption algorithm.</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ipsec</t>
    </r>
    <r>
      <rPr>
        <sz val="11"/>
        <color rgb="FF000000"/>
        <rFont val="Calibri"/>
      </rPr>
      <t xml:space="preserve">
</t>
    </r>
    <r>
      <rPr>
        <sz val="11"/>
        <color rgb="FF000000"/>
        <rFont val="Calibri"/>
      </rPr>
      <t>View the value of the encryption algorithm for each defined proposal.</t>
    </r>
    <r>
      <rPr>
        <sz val="11"/>
        <color rgb="FF000000"/>
        <rFont val="Calibri"/>
      </rPr>
      <t xml:space="preserve">
</t>
    </r>
    <r>
      <rPr>
        <sz val="11"/>
        <color rgb="FF000000"/>
        <rFont val="Calibri"/>
      </rPr>
      <t>If the value of the encryption algorithm for any IPsec proposal is not set to use an AES256 algorithm, this is a finding.</t>
    </r>
  </si>
  <si>
    <t>V-214673</t>
  </si>
  <si>
    <r>
      <rPr>
        <sz val="11"/>
        <rFont val="Calibri"/>
      </rPr>
      <t>The Juniper SRX Services Gateway VPN must use AES256 encryption for the Internet Key Exchange (IKE) proposal to protect the confidentiality of remote access sessions.</t>
    </r>
  </si>
  <si>
    <r>
      <rPr>
        <sz val="11"/>
        <color rgb="FF000000"/>
        <rFont val="Calibri"/>
      </rPr>
      <t xml:space="preserve">The following example commands configure the IKE (phase 1) proposals.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ike proposal &lt;IKE-PROPOSAL-NAME&gt; encryption-algorithm aes-256-cbc</t>
    </r>
  </si>
  <si>
    <r>
      <rPr>
        <sz val="11"/>
        <color rgb="FF000000"/>
        <rFont val="Calibri"/>
      </rPr>
      <t>Without confidentiality protection mechanisms, unauthorized individuals may gain access to sensitive information via a remote access session. The Advance Encryption Standard (AES) algorithm is critical to ensuring the privacy of the IKE session responsible for establishing the security association and key exchange for an IPsec tunnel. AES is used for encryption operations.</t>
    </r>
    <r>
      <rPr>
        <sz val="11"/>
        <color rgb="FF000000"/>
        <rFont val="Calibri"/>
      </rPr>
      <t xml:space="preserve">
</t>
    </r>
    <r>
      <rPr>
        <sz val="11"/>
        <color rgb="FF000000"/>
        <rFont val="Calibri"/>
      </rPr>
      <t>The CNSSP 15 compliant algorithms recommended by the NSA for IKE are AES256 with SHA384 and DH-16 or higher.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t>
    </r>
  </si>
  <si>
    <r>
      <rPr>
        <sz val="11"/>
        <color rgb="FF000000"/>
        <rFont val="Calibri"/>
      </rPr>
      <t>Verify all IKE proposals are set to use the AES256 encryption algorithm.</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ike</t>
    </r>
    <r>
      <rPr>
        <sz val="11"/>
        <color rgb="FF000000"/>
        <rFont val="Calibri"/>
      </rPr>
      <t xml:space="preserve">
</t>
    </r>
    <r>
      <rPr>
        <sz val="11"/>
        <color rgb="FF000000"/>
        <rFont val="Calibri"/>
      </rPr>
      <t>View the value of the encryption algorithm for each defined proposal.</t>
    </r>
    <r>
      <rPr>
        <sz val="11"/>
        <color rgb="FF000000"/>
        <rFont val="Calibri"/>
      </rPr>
      <t xml:space="preserve">
</t>
    </r>
    <r>
      <rPr>
        <sz val="11"/>
        <color rgb="FF000000"/>
        <rFont val="Calibri"/>
      </rPr>
      <t>If the value of the encryption algorithm for any IKE proposal is not configured to use AES256, this is a finding.</t>
    </r>
  </si>
  <si>
    <t>V-214674</t>
  </si>
  <si>
    <r>
      <rPr>
        <sz val="11"/>
        <rFont val="Calibri"/>
      </rPr>
      <t>The Juniper SRX Services Gateway VPN must be configured to use Diffie-Hellman (DH) group 15 or higher.</t>
    </r>
  </si>
  <si>
    <r>
      <rPr>
        <sz val="11"/>
        <color rgb="FF000000"/>
        <rFont val="Calibri"/>
      </rPr>
      <t xml:space="preserve">The following command is an example of how to configure the IKE (phase 1) proposals.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ike proposal &lt;P1-PROPOSAL-NAME&gt; dh-group group19</t>
    </r>
  </si>
  <si>
    <r>
      <rPr>
        <sz val="11"/>
        <color rgb="FF000000"/>
        <rFont val="Calibri"/>
      </rPr>
      <t xml:space="preserve">Use of an approved DH algorithm ensures the Internet Key Exchange (IKE) (phase 1) proposal uses FIPS-validated key management techniques and processes in the production, storage, and control of private/secret cryptographic keys. The security of the DH key exchange is based on the difficulty of solving the discrete logarithm from which the key was derived. Hence, the larger the modulus, the more secure the generated key is considered to be. </t>
    </r>
    <r>
      <rPr>
        <sz val="11"/>
        <color rgb="FF000000"/>
        <rFont val="Calibri"/>
      </rPr>
      <t xml:space="preserve">
</t>
    </r>
    <r>
      <rPr>
        <sz val="11"/>
        <color rgb="FF000000"/>
        <rFont val="Calibri"/>
      </rPr>
      <t>The DH group selected must have a minimum of a 3072-bit modulus to protect up to TOP SECRET.</t>
    </r>
  </si>
  <si>
    <r>
      <rPr>
        <sz val="11"/>
        <color rgb="FF000000"/>
        <rFont val="Calibri"/>
      </rPr>
      <t>Verify all IKE proposals are set to use a FIPS-validated dh-group.</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ike &lt;P1-PROPOSAL-NAME&gt;</t>
    </r>
    <r>
      <rPr>
        <sz val="11"/>
        <color rgb="FF000000"/>
        <rFont val="Calibri"/>
      </rPr>
      <t xml:space="preserve">
</t>
    </r>
    <r>
      <rPr>
        <sz val="11"/>
        <color rgb="FF000000"/>
        <rFont val="Calibri"/>
      </rPr>
      <t>View the IKE options dh-group option.</t>
    </r>
    <r>
      <rPr>
        <sz val="11"/>
        <color rgb="FF000000"/>
        <rFont val="Calibri"/>
      </rPr>
      <t xml:space="preserve">
</t>
    </r>
    <r>
      <rPr>
        <sz val="11"/>
        <color rgb="FF000000"/>
        <rFont val="Calibri"/>
      </rPr>
      <t>If the IKE option is not set to a FIPS 140-2/140-3 validated dh-group, this is a finding.</t>
    </r>
  </si>
  <si>
    <t>V-214675</t>
  </si>
  <si>
    <r>
      <rPr>
        <sz val="11"/>
        <rFont val="Calibri"/>
      </rPr>
      <t>The Juniper SRX Services Gateway VPN must be configured to use IPsec with SHA256 or greater to negotiate hashing to protect the integrity of remote access sessions.</t>
    </r>
  </si>
  <si>
    <r>
      <rPr>
        <sz val="11"/>
        <color rgb="FF000000"/>
        <rFont val="Calibri"/>
      </rPr>
      <t>The following example commands configure the IPSec proposal.</t>
    </r>
    <r>
      <rPr>
        <sz val="11"/>
        <color rgb="FF000000"/>
        <rFont val="Calibri"/>
      </rPr>
      <t xml:space="preserve">
</t>
    </r>
    <r>
      <rPr>
        <sz val="11"/>
        <color rgb="FF000000"/>
        <rFont val="Calibri"/>
      </rPr>
      <t>set security ipsec proposal &lt;IPSEC-PROPOSAL-NAME&gt; authentication-algorithm hmac-sha-256-128</t>
    </r>
  </si>
  <si>
    <r>
      <rPr>
        <sz val="11"/>
        <color rgb="FF000000"/>
        <rFont val="Calibri"/>
      </rPr>
      <t xml:space="preserve">Without strong cryptographic integrity protections, information can be altered by unauthorized users without detection. </t>
    </r>
    <r>
      <rPr>
        <sz val="11"/>
        <color rgb="FF000000"/>
        <rFont val="Calibri"/>
      </rPr>
      <t xml:space="preserve">
</t>
    </r>
    <r>
      <rPr>
        <sz val="11"/>
        <color rgb="FF000000"/>
        <rFont val="Calibri"/>
      </rPr>
      <t>Remote access VPN provides access to DOD nonpublic information systems by an authorized user (or an information system) communicating through an external, nonorganization-controlled network.</t>
    </r>
  </si>
  <si>
    <r>
      <rPr>
        <sz val="11"/>
        <color rgb="FF000000"/>
        <rFont val="Calibri"/>
      </rPr>
      <t>Verify all IPSec proposals are set to use the sha-256 hashing algorithm.</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ipsec proposal &lt;IPSEC-PROPOSAL-NAME&gt;</t>
    </r>
    <r>
      <rPr>
        <sz val="11"/>
        <color rgb="FF000000"/>
        <rFont val="Calibri"/>
      </rPr>
      <t xml:space="preserve">
</t>
    </r>
    <r>
      <rPr>
        <sz val="11"/>
        <color rgb="FF000000"/>
        <rFont val="Calibri"/>
      </rPr>
      <t>View the value of the encryption algorithm for each defined proposal.</t>
    </r>
    <r>
      <rPr>
        <sz val="11"/>
        <color rgb="FF000000"/>
        <rFont val="Calibri"/>
      </rPr>
      <t xml:space="preserve">
</t>
    </r>
    <r>
      <rPr>
        <sz val="11"/>
        <color rgb="FF000000"/>
        <rFont val="Calibri"/>
      </rPr>
      <t>If the value of the encryption algorithm option for all defined proposals is not set to use SHA256 or greater, this is a finding.</t>
    </r>
  </si>
  <si>
    <t>V-214676</t>
  </si>
  <si>
    <r>
      <rPr>
        <sz val="11"/>
        <rFont val="Calibri"/>
      </rPr>
      <t>The Juniper SRX Services Gateway VPN must ensure inbound and outbound traffic is configured with a security policy in compliance with information flow control policies.</t>
    </r>
  </si>
  <si>
    <r>
      <rPr>
        <sz val="11"/>
        <color rgb="FF000000"/>
        <rFont val="Calibri"/>
      </rPr>
      <t>The following example command is an example of an IPsec policy.</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ipsec policy &lt;IPSEC-POLICY&gt; perfect-forward-secrecy keys group14</t>
    </r>
    <r>
      <rPr>
        <sz val="11"/>
        <color rgb="FF000000"/>
        <rFont val="Calibri"/>
      </rPr>
      <t xml:space="preserve">
</t>
    </r>
    <r>
      <rPr>
        <sz val="11"/>
        <color rgb="FF000000"/>
        <rFont val="Calibri"/>
      </rPr>
      <t>set security ipsec policy &lt;IPSEC-POLICY&gt; proposals &lt;IPSEC-PROPOSAL&gt;</t>
    </r>
    <r>
      <rPr>
        <sz val="11"/>
        <color rgb="FF000000"/>
        <rFont val="Calibri"/>
      </rPr>
      <t xml:space="preserve">
</t>
    </r>
    <r>
      <rPr>
        <sz val="11"/>
        <color rgb="FF000000"/>
        <rFont val="Calibri"/>
      </rPr>
      <t>The following command is an example of how to define an IPsec VPN using the IPsec policy and a secure tunnel interface. Alternatively, administrators can configure on-traffic tunnel establishment.</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ipsec vpn &lt;VPN&gt; bind-interface st0.0</t>
    </r>
    <r>
      <rPr>
        <sz val="11"/>
        <color rgb="FF000000"/>
        <rFont val="Calibri"/>
      </rPr>
      <t xml:space="preserve">
</t>
    </r>
    <r>
      <rPr>
        <sz val="11"/>
        <color rgb="FF000000"/>
        <rFont val="Calibri"/>
      </rPr>
      <t>set security ipsec vpn &lt;VPN&gt; ike gateway &lt;IKE-PEER&gt;</t>
    </r>
    <r>
      <rPr>
        <sz val="11"/>
        <color rgb="FF000000"/>
        <rFont val="Calibri"/>
      </rPr>
      <t xml:space="preserve">
</t>
    </r>
    <r>
      <rPr>
        <sz val="11"/>
        <color rgb="FF000000"/>
        <rFont val="Calibri"/>
      </rPr>
      <t>set security ipsec vpn &lt;VPN&gt; ike ipsec-policy &lt;IPSEC-POLICY&gt;</t>
    </r>
    <r>
      <rPr>
        <sz val="11"/>
        <color rgb="FF000000"/>
        <rFont val="Calibri"/>
      </rPr>
      <t xml:space="preserve">
</t>
    </r>
    <r>
      <rPr>
        <sz val="11"/>
        <color rgb="FF000000"/>
        <rFont val="Calibri"/>
      </rPr>
      <t>set security ipsec vpn &lt;VPN&gt; establish-tunnels immediately</t>
    </r>
    <r>
      <rPr>
        <sz val="11"/>
        <color rgb="FF000000"/>
        <rFont val="Calibri"/>
      </rPr>
      <t xml:space="preserve">
</t>
    </r>
    <r>
      <rPr>
        <sz val="11"/>
        <color rgb="FF000000"/>
        <rFont val="Calibri"/>
      </rPr>
      <t>For site-to-site VPN implementation, the SRX device is configured to route traffic over the IPsec VPN’s secure tunnel interface by establishing a route with the next-hop specified as the secure tunnel interface. The following commands configure an IPv4 and IPv6 static route for their respective secure tunnels.</t>
    </r>
    <r>
      <rPr>
        <sz val="11"/>
        <color rgb="FF000000"/>
        <rFont val="Calibri"/>
      </rPr>
      <t xml:space="preserve">
</t>
    </r>
    <r>
      <rPr>
        <sz val="11"/>
        <color rgb="FF000000"/>
        <rFont val="Calibri"/>
      </rPr>
      <t>set routing-options static route &lt;IPv4 network/netmask&gt; next-hop st0.0</t>
    </r>
    <r>
      <rPr>
        <sz val="11"/>
        <color rgb="FF000000"/>
        <rFont val="Calibri"/>
      </rPr>
      <t xml:space="preserve">
</t>
    </r>
    <r>
      <rPr>
        <sz val="11"/>
        <color rgb="FF000000"/>
        <rFont val="Calibri"/>
      </rPr>
      <t>set routing-options rib inet6.0 static route &lt;IPv6 network/netmask&gt; next-hop st0.1</t>
    </r>
  </si>
  <si>
    <r>
      <rPr>
        <sz val="11"/>
        <color rgb="FF000000"/>
        <rFont val="Calibri"/>
      </rPr>
      <t>Remote access devices, such as those providing remote access to network devices and information systems, which lack automated, capabilities increase risk and makes remote user access management difficult at best.</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t>
    </r>
    <r>
      <rPr>
        <sz val="11"/>
        <color rgb="FF000000"/>
        <rFont val="Calibri"/>
      </rPr>
      <t xml:space="preserve">
</t>
    </r>
    <r>
      <rPr>
        <sz val="11"/>
        <color rgb="FF000000"/>
        <rFont val="Calibri"/>
      </rPr>
      <t xml:space="preserve">Automated monitoring of remote access sessions allows organizations to detect cyber attacks and also ensure ongoing compliance with remote access policies by auditing connection activities of remote access capabilities, from a variety of information system components (e.g., servers, workstations, notebook computers, smart phones, and tablets). </t>
    </r>
    <r>
      <rPr>
        <sz val="11"/>
        <color rgb="FF000000"/>
        <rFont val="Calibri"/>
      </rPr>
      <t xml:space="preserve">
</t>
    </r>
    <r>
      <rPr>
        <sz val="11"/>
        <color rgb="FF000000"/>
        <rFont val="Calibri"/>
      </rPr>
      <t>In phase-2, another negotiation is performed, detailing the parameters for the IPsec connection. New keying material using the Diffie-Hellman key exchange established in phase-1 is used to provide session keys used to protecting the VPN data flow. If Perfect-Forwarding-Secrecy (PFS) is used, a new Diffie-Hellman exchange is performed for each phase-2 negotiation. While this is slower, it makes sure that no keys are dependent on any other previously used keys; no keys are extracted from the same initial keying material. This is to make sure that, in the unlikely event that some key was compromised; no subsequent keys can be derived.</t>
    </r>
  </si>
  <si>
    <r>
      <rPr>
        <sz val="11"/>
        <color rgb="FF000000"/>
        <rFont val="Calibri"/>
      </rPr>
      <t>Verify an IPsec policy is configured and used to control the VPN information flow.</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ipsec</t>
    </r>
    <r>
      <rPr>
        <sz val="11"/>
        <color rgb="FF000000"/>
        <rFont val="Calibri"/>
      </rPr>
      <t xml:space="preserve">
</t>
    </r>
    <r>
      <rPr>
        <sz val="11"/>
        <color rgb="FF000000"/>
        <rFont val="Calibri"/>
      </rPr>
      <t>Inspect the security policy.</t>
    </r>
    <r>
      <rPr>
        <sz val="11"/>
        <color rgb="FF000000"/>
        <rFont val="Calibri"/>
      </rPr>
      <t xml:space="preserve">
</t>
    </r>
    <r>
      <rPr>
        <sz val="11"/>
        <color rgb="FF000000"/>
        <rFont val="Calibri"/>
      </rPr>
      <t>If VPN traffic is not configured and controlled using an IPsec policy, this is a finding.</t>
    </r>
  </si>
  <si>
    <t>V-214677</t>
  </si>
  <si>
    <r>
      <rPr>
        <sz val="11"/>
        <rFont val="Calibri"/>
      </rPr>
      <t>The Juniper SRX Services Gateway VPN must use Internet Key Exchange (IKE) for IPsec VPN Security Associations (SAs).</t>
    </r>
  </si>
  <si>
    <r>
      <rPr>
        <sz val="11"/>
        <color rgb="FF000000"/>
        <rFont val="Calibri"/>
      </rPr>
      <t>The following example commands configure an IPsec VPN to use the IKE gateway information.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ipsec vpn &lt;VPN-GWY-NAME&gt; ike gateway &lt;IKE-PEER-NAME&gt;</t>
    </r>
  </si>
  <si>
    <r>
      <rPr>
        <sz val="11"/>
        <color rgb="FF000000"/>
        <rFont val="Calibri"/>
      </rPr>
      <t xml:space="preserve">Without IKE, the SPI is manually specified for each security association. IKE peers will negotiate the encryption algorithm and authentication or hashing methods as well as generate the encryption keys. </t>
    </r>
    <r>
      <rPr>
        <sz val="11"/>
        <color rgb="FF000000"/>
        <rFont val="Calibri"/>
      </rPr>
      <t xml:space="preserve">
</t>
    </r>
    <r>
      <rPr>
        <sz val="11"/>
        <color rgb="FF000000"/>
        <rFont val="Calibri"/>
      </rPr>
      <t xml:space="preserve">An IPsec SA is established using either Internet Key Exchange (IKE) or manual configuration. When using IKE, the security associations are established when needed and expire after a period of time or volume of traffic threshold. If manually configured, they are established as soon as the configuration is complete at both end points and they do not expire. When using IKE, the Security Parameter Index (SPI) for each security association is a pseudo-randomly derived number. </t>
    </r>
    <r>
      <rPr>
        <sz val="11"/>
        <color rgb="FF000000"/>
        <rFont val="Calibri"/>
      </rPr>
      <t xml:space="preserve">
</t>
    </r>
    <r>
      <rPr>
        <sz val="11"/>
        <color rgb="FF000000"/>
        <rFont val="Calibri"/>
      </rPr>
      <t>With manual configuration of the IPsec security association, both the cipher key and authentication key are static. Hence, if the keys are compromised, the traffic being protected by the current IPsec tunnel can be decrypted as well as traffic in any future tunnels established by this SA. Furthermore, the peers are not authenticated prior to establishing the SA, which could result in a rogue device establishing an IPsec SA with either of the VPN end points.</t>
    </r>
    <r>
      <rPr>
        <sz val="11"/>
        <color rgb="FF000000"/>
        <rFont val="Calibri"/>
      </rPr>
      <t xml:space="preserve">
</t>
    </r>
    <r>
      <rPr>
        <sz val="11"/>
        <color rgb="FF000000"/>
        <rFont val="Calibri"/>
      </rPr>
      <t>IKE provides primary authentication to verify the identity of the remote system before negotiation begins. This feature is lost when the IPsec security associations are manually configured, which results in a non-terminating session using static pre-shared keys.</t>
    </r>
  </si>
  <si>
    <r>
      <rPr>
        <sz val="11"/>
        <color rgb="FF000000"/>
        <rFont val="Calibri"/>
      </rPr>
      <t>Verify the IKE protocol is specified for all IPsec VPNs.</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show security ipsec vpn </t>
    </r>
    <r>
      <rPr>
        <sz val="11"/>
        <color rgb="FF000000"/>
        <rFont val="Calibri"/>
      </rPr>
      <t xml:space="preserve">
</t>
    </r>
    <r>
      <rPr>
        <sz val="11"/>
        <color rgb="FF000000"/>
        <rFont val="Calibri"/>
      </rPr>
      <t>If the IKE protocol is not specified as an option on all VPN gateways, this is a finding.</t>
    </r>
  </si>
  <si>
    <t>V-214678</t>
  </si>
  <si>
    <r>
      <rPr>
        <sz val="11"/>
        <rFont val="Calibri"/>
      </rPr>
      <t>If IDPS inspection is performed separately from the Juniper SRX Services Gateway VPN device, the VPN must route sessions to an IDPS for inspection.</t>
    </r>
  </si>
  <si>
    <r>
      <rPr>
        <sz val="11"/>
        <color rgb="FF000000"/>
        <rFont val="Calibri"/>
      </rPr>
      <t>Configure the Juniper SRX to route traffic to the port attached to intrusion detection system or configure to route all inbound traffic to the sites intrusion detection system using the IP address of the IPS/IDS.</t>
    </r>
  </si>
  <si>
    <r>
      <rPr>
        <sz val="11"/>
        <color rgb="FF000000"/>
        <rFont val="Calibri"/>
      </rPr>
      <t>Inspect the Juniper SRX configuration or the site's architecture drawings to verify all inbound VPN traffic is routed to the site's intrusion detection system.</t>
    </r>
    <r>
      <rPr>
        <sz val="11"/>
        <color rgb="FF000000"/>
        <rFont val="Calibri"/>
      </rPr>
      <t xml:space="preserve">
</t>
    </r>
    <r>
      <rPr>
        <sz val="11"/>
        <color rgb="FF000000"/>
        <rFont val="Calibri"/>
      </rPr>
      <t>If all inbound VPN traffic is not inspected by the site's IDPS prior to being routed to its destination, this is a finding.</t>
    </r>
  </si>
  <si>
    <t>V-214679</t>
  </si>
  <si>
    <r>
      <rPr>
        <sz val="11"/>
        <rFont val="Calibri"/>
      </rPr>
      <t>The Juniper SRX Services Gateway VPN must not accept certificates that have been revoked when using PKI for authentication.</t>
    </r>
  </si>
  <si>
    <r>
      <rPr>
        <sz val="11"/>
        <color rgb="FF000000"/>
        <rFont val="Calibri"/>
      </rPr>
      <t>Configure the CA trust point to enable certificate revocation check by referencing a CRL or via OCSP.</t>
    </r>
  </si>
  <si>
    <r>
      <rPr>
        <sz val="11"/>
        <color rgb="FF000000"/>
        <rFont val="Calibri"/>
      </rPr>
      <t xml:space="preserve">Situations may arise in which the certificate issued by a Certificate Authority (CA) may need to be revoked before the lifetime of the certificate expires. For example, the certificate is known to have been compromised. </t>
    </r>
    <r>
      <rPr>
        <sz val="11"/>
        <color rgb="FF000000"/>
        <rFont val="Calibri"/>
      </rPr>
      <t xml:space="preserve">
</t>
    </r>
    <r>
      <rPr>
        <sz val="11"/>
        <color rgb="FF000000"/>
        <rFont val="Calibri"/>
      </rPr>
      <t>To achieve this, a list of certificates that have been revoked, known as a Certificate Revocation List (CRL), is sent periodically from the CA to the IPsec gateway. When an incoming Internet Key Exchange (IKE) session is initiated for a remote client or peer whose certificate is revoked, the CRL will be checked to see if the certificate is valid; if the certificate is revoked, IKE will fail and an IPsec security association will not be established for the remote endpoint.</t>
    </r>
  </si>
  <si>
    <r>
      <rPr>
        <sz val="11"/>
        <color rgb="FF000000"/>
        <rFont val="Calibri"/>
      </rPr>
      <t>Examine the CA trust point defined on the VPN gateway to determine if it references a CRL and that revocation check has been enabled. An alternate mechanism for checking the validity of a certificate is the use of the Online Certificate Status Protocol (OCSP). Unlike CRLs, which provide only periodic certificate status checks, OCSP can provide timely information regarding the status of a certificate.</t>
    </r>
    <r>
      <rPr>
        <sz val="11"/>
        <color rgb="FF000000"/>
        <rFont val="Calibri"/>
      </rPr>
      <t xml:space="preserve">
</t>
    </r>
    <r>
      <rPr>
        <sz val="11"/>
        <color rgb="FF000000"/>
        <rFont val="Calibri"/>
      </rPr>
      <t>If revoked certificates are accepted for PKI authentication, this is a finding.</t>
    </r>
  </si>
  <si>
    <t>V-214680</t>
  </si>
  <si>
    <r>
      <rPr>
        <sz val="11"/>
        <rFont val="Calibri"/>
      </rPr>
      <t>The Juniper SRX Services Gateway VPN must specify Perfect Forward Secrecy (PFS).</t>
    </r>
  </si>
  <si>
    <r>
      <rPr>
        <sz val="11"/>
        <color rgb="FF000000"/>
        <rFont val="Calibri"/>
      </rPr>
      <t>Configure the VPN gateway to ensure PFS is enabled. The following commands configure an IPsec policy, enabling PFS using Diffie-Hellman group 14 and associates the IPsec proposal configured in the previous 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ipsec policy &lt;IPSEC-POLICY&gt; perfect-forward-secrecy keys group14</t>
    </r>
    <r>
      <rPr>
        <sz val="11"/>
        <color rgb="FF000000"/>
        <rFont val="Calibri"/>
      </rPr>
      <t xml:space="preserve">
</t>
    </r>
    <r>
      <rPr>
        <sz val="11"/>
        <color rgb="FF000000"/>
        <rFont val="Calibri"/>
      </rPr>
      <t>set security ipsec policy &lt;IPSEC-POLICY&gt; proposals &lt;IPSEC-PROPOSAL&gt;</t>
    </r>
  </si>
  <si>
    <r>
      <rPr>
        <sz val="11"/>
        <color rgb="FF000000"/>
        <rFont val="Calibri"/>
      </rPr>
      <t xml:space="preserve">PFS generates each new encryption key independently from the previous key. Without PFS, compromise of one key will compromise all communications. </t>
    </r>
    <r>
      <rPr>
        <sz val="11"/>
        <color rgb="FF000000"/>
        <rFont val="Calibri"/>
      </rPr>
      <t xml:space="preserve">
</t>
    </r>
    <r>
      <rPr>
        <sz val="11"/>
        <color rgb="FF000000"/>
        <rFont val="Calibri"/>
      </rPr>
      <t xml:space="preserve">The phase 2 (Quick Mode) Security Association (SA) is used to create an IPsec session key. Hence, its rekey or key regeneration procedure is very important. The phase 2 rekey can be performed with or without Perfect Forward Secrecy (PFS). With PFS, every time a new IPsec Security Association is negotiated during the Quick Mode, a new Diffie-Hellman (DH) exchange occurs. The new DH shared secret will be included with original keying material (SYKEID_d, initiator nonce, and responder nonce from phase 1) for generating a new IPsec session key. If PFS is not used, the IPsec session key will always be completely dependent on the original keying material from the Phase-1. Hence, if an older key is compromised at any time, it is possible that all new keys may be compromised. </t>
    </r>
    <r>
      <rPr>
        <sz val="11"/>
        <color rgb="FF000000"/>
        <rFont val="Calibri"/>
      </rPr>
      <t xml:space="preserve">
</t>
    </r>
    <r>
      <rPr>
        <sz val="11"/>
        <color rgb="FF000000"/>
        <rFont val="Calibri"/>
      </rPr>
      <t>The DH exchange is performed in the same manner as was done in phase 1 (Main or Aggressive Mode). However, the phase 2 exchange is protected by encrypting the phase 2 packets with the key derived from the phase 1 negotiation. Because DH negotiations during phase 2 are encrypted, the new IPsec session key has an added element of secrecy.</t>
    </r>
  </si>
  <si>
    <r>
      <rPr>
        <sz val="11"/>
        <color rgb="FF000000"/>
        <rFont val="Calibri"/>
      </rPr>
      <t>Examine all IPsec profiles to verify PFS is enabled.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ipsec policy</t>
    </r>
    <r>
      <rPr>
        <sz val="11"/>
        <color rgb="FF000000"/>
        <rFont val="Calibri"/>
      </rPr>
      <t xml:space="preserve">
</t>
    </r>
    <r>
      <rPr>
        <sz val="11"/>
        <color rgb="FF000000"/>
        <rFont val="Calibri"/>
      </rPr>
      <t>If PFS is not configured, this is a finding.</t>
    </r>
  </si>
  <si>
    <t>V-214681</t>
  </si>
  <si>
    <r>
      <rPr>
        <sz val="11"/>
        <rFont val="Calibri"/>
      </rPr>
      <t>The Juniper SRX Services Gateway VPN must use Encapsulating Security Payload (ESP) in tunnel mode.</t>
    </r>
  </si>
  <si>
    <r>
      <rPr>
        <sz val="11"/>
        <color rgb="FF000000"/>
        <rFont val="Calibri"/>
      </rPr>
      <t>Configure Phase 2 for ESP and allow IKE as a host-inbound service within the security zone associated with the IKE gateway’s external interface configuration. Any traffic that you wish to encrypt is routed to this tunnel interface.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ipsec proposal IPSEC-PROPOSAL protocol esp</t>
    </r>
    <r>
      <rPr>
        <sz val="11"/>
        <color rgb="FF000000"/>
        <rFont val="Calibri"/>
      </rPr>
      <t xml:space="preserve">
</t>
    </r>
    <r>
      <rPr>
        <sz val="11"/>
        <color rgb="FF000000"/>
        <rFont val="Calibri"/>
      </rPr>
      <t>Assumes the external interface is associated with the “untrust” zone.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ike gateway &lt;IKE-PEER&gt; external-interface &lt;EXTERNAL-INTERFACE-NAME&gt;</t>
    </r>
    <r>
      <rPr>
        <sz val="11"/>
        <color rgb="FF000000"/>
        <rFont val="Calibri"/>
      </rPr>
      <t xml:space="preserve">
</t>
    </r>
    <r>
      <rPr>
        <sz val="11"/>
        <color rgb="FF000000"/>
        <rFont val="Calibri"/>
      </rPr>
      <t>set security zones security-zone untrust host-inbound-traffic system-services ike</t>
    </r>
  </si>
  <si>
    <r>
      <rPr>
        <sz val="11"/>
        <color rgb="FF000000"/>
        <rFont val="Calibri"/>
      </rPr>
      <t>ESP provides confidentiality, data origin authentication, integrity, and anti-replay services within the IPsec suite of protocols. ESP in tunnel mode ensures a secure path for communications for site-to-site VPNs and gateway to endpoints, including header information.</t>
    </r>
    <r>
      <rPr>
        <sz val="11"/>
        <color rgb="FF000000"/>
        <rFont val="Calibri"/>
      </rPr>
      <t xml:space="preserve">
</t>
    </r>
    <r>
      <rPr>
        <sz val="11"/>
        <color rgb="FF000000"/>
        <rFont val="Calibri"/>
      </rPr>
      <t>ESP can be deployed in either transport or tunnel mode. Transport mode is used to create a secured session between two hosts. It can also be used when two hosts simply want to authenticate each IP packet with IPsec authentication header (AH). With ESP transport mode, only the payload (transport layer) is encrypted, whereas with tunnel mode, the entire IP packet is encrypted and encapsulated with a new IP header. Tunnel mode is used to encrypt traffic between secure IPsec gateways or between an IPsec gateway and an end-station running IPsec software. Hence, it is the only method to provide a secured path to transport traffic between remote sites or end-stations and the central site.</t>
    </r>
  </si>
  <si>
    <r>
      <rPr>
        <sz val="11"/>
        <color rgb="FF000000"/>
        <rFont val="Calibri"/>
      </rPr>
      <t>Review all IPsec profiles and zones to verify ESP tunnel mode has been specified.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ipsec proposal</t>
    </r>
    <r>
      <rPr>
        <sz val="11"/>
        <color rgb="FF000000"/>
        <rFont val="Calibri"/>
      </rPr>
      <t xml:space="preserve">
</t>
    </r>
    <r>
      <rPr>
        <sz val="11"/>
        <color rgb="FF000000"/>
        <rFont val="Calibri"/>
      </rPr>
      <t>show security zones security-zone untrust</t>
    </r>
    <r>
      <rPr>
        <sz val="11"/>
        <color rgb="FF000000"/>
        <rFont val="Calibri"/>
      </rPr>
      <t xml:space="preserve">
</t>
    </r>
    <r>
      <rPr>
        <sz val="11"/>
        <color rgb="FF000000"/>
        <rFont val="Calibri"/>
      </rPr>
      <t>If all IPsec proposals are not configured for the ESP protocol, this is a finding.</t>
    </r>
    <r>
      <rPr>
        <sz val="11"/>
        <color rgb="FF000000"/>
        <rFont val="Calibri"/>
      </rPr>
      <t xml:space="preserve">
</t>
    </r>
    <r>
      <rPr>
        <sz val="11"/>
        <color rgb="FF000000"/>
        <rFont val="Calibri"/>
      </rPr>
      <t>If an Internet Key Exchange (IKE) is not bound to an external host-inbound service to direct all inbound VPN traffic to the VPN interface configured for IKE, this is a finding.</t>
    </r>
  </si>
  <si>
    <t>V-214682</t>
  </si>
  <si>
    <r>
      <rPr>
        <sz val="11"/>
        <rFont val="Calibri"/>
      </rPr>
      <t>The Juniper SRX Services Gateway must disable or remove unnecessary network services and functions that are not used as part of its role in the architecture.</t>
    </r>
  </si>
  <si>
    <r>
      <rPr>
        <sz val="11"/>
        <color rgb="FF000000"/>
        <rFont val="Calibri"/>
      </rPr>
      <t>Remove unnecessary services and functions. From operational mode, display the licenses available to be deleted and enter the following commands.</t>
    </r>
    <r>
      <rPr>
        <sz val="11"/>
        <color rgb="FF000000"/>
        <rFont val="Calibri"/>
      </rPr>
      <t xml:space="preserve">
</t>
    </r>
    <r>
      <rPr>
        <sz val="11"/>
        <color rgb="FF000000"/>
        <rFont val="Calibri"/>
      </rPr>
      <t>request system license delete license-identifier-list ?</t>
    </r>
    <r>
      <rPr>
        <sz val="11"/>
        <color rgb="FF000000"/>
        <rFont val="Calibri"/>
      </rPr>
      <t xml:space="preserve">
</t>
    </r>
    <r>
      <rPr>
        <sz val="11"/>
        <color rgb="FF000000"/>
        <rFont val="Calibri"/>
      </rPr>
      <t>request system license delete &lt;license-identifier&gt;</t>
    </r>
    <r>
      <rPr>
        <sz val="11"/>
        <color rgb="FF000000"/>
        <rFont val="Calibri"/>
      </rPr>
      <t xml:space="preserve">
</t>
    </r>
    <r>
      <rPr>
        <sz val="11"/>
        <color rgb="FF000000"/>
        <rFont val="Calibri"/>
      </rPr>
      <t>Note: Only remove unauthorized services. This control is not intended to restrict the use of Juniper SRX devices with multiple authorized roles.</t>
    </r>
  </si>
  <si>
    <t>V-214683</t>
  </si>
  <si>
    <r>
      <rPr>
        <sz val="11"/>
        <rFont val="Calibri"/>
      </rPr>
      <t>The Juniper SRX Services Gateway VPN must use IKEv2 for IPsec VPN security associations.</t>
    </r>
  </si>
  <si>
    <r>
      <rPr>
        <sz val="11"/>
        <color rgb="FF000000"/>
        <rFont val="Calibri"/>
      </rPr>
      <t>For site-to-site VPNs, configure the Juniper SRX to use IKEv2 only.</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ike gateway &lt;VPN-GATEWAY&gt; address &lt;GW-IP-ADDRESS&gt;</t>
    </r>
    <r>
      <rPr>
        <sz val="11"/>
        <color rgb="FF000000"/>
        <rFont val="Calibri"/>
      </rPr>
      <t xml:space="preserve">
</t>
    </r>
    <r>
      <rPr>
        <sz val="11"/>
        <color rgb="FF000000"/>
        <rFont val="Calibri"/>
      </rPr>
      <t>set security ike gateway &lt;VPN-GATEWAY&gt; version v2-only</t>
    </r>
  </si>
  <si>
    <r>
      <rPr>
        <sz val="11"/>
        <color rgb="FF000000"/>
        <rFont val="Calibri"/>
      </rPr>
      <t>Use of IKEv2 leverages DoS protections because of improved bandwidth management and leverages more secure encryption algorithms.</t>
    </r>
  </si>
  <si>
    <r>
      <rPr>
        <sz val="11"/>
        <color rgb="FF000000"/>
        <rFont val="Calibri"/>
      </rPr>
      <t>Verify only IKEv2 is used for the IKE security configuration on all configured gateways. Use of IKEv1 mitigates the risk to a CAT III finding.</t>
    </r>
    <r>
      <rPr>
        <sz val="11"/>
        <color rgb="FF000000"/>
        <rFont val="Calibri"/>
      </rPr>
      <t xml:space="preserve">
</t>
    </r>
    <r>
      <rPr>
        <sz val="11"/>
        <color rgb="FF000000"/>
        <rFont val="Calibri"/>
      </rPr>
      <t>Show security ike gateway &lt;VPN-GATEWAY&gt;</t>
    </r>
    <r>
      <rPr>
        <sz val="11"/>
        <color rgb="FF000000"/>
        <rFont val="Calibri"/>
      </rPr>
      <t xml:space="preserve">
</t>
    </r>
    <r>
      <rPr>
        <sz val="11"/>
        <color rgb="FF000000"/>
        <rFont val="Calibri"/>
      </rPr>
      <t>If IKEv2 is not used for IKE associations, this is a finding.</t>
    </r>
  </si>
  <si>
    <t>V-214684</t>
  </si>
  <si>
    <r>
      <rPr>
        <sz val="11"/>
        <rFont val="Calibri"/>
      </rPr>
      <t>The Juniper SRX Services Gateway VPN must be configured to prohibit or restrict the use of functions, ports, protocols, and/or services, as defined in the PPSM CAL and vulnerability assessments.</t>
    </r>
  </si>
  <si>
    <r>
      <rPr>
        <sz val="11"/>
        <color rgb="FF000000"/>
        <rFont val="Calibri"/>
      </rPr>
      <t>Ensure functions, ports, protocols, and services identified on the PPSM CAL are not used for system services configuration.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services</t>
    </r>
    <r>
      <rPr>
        <sz val="11"/>
        <color rgb="FF000000"/>
        <rFont val="Calibri"/>
      </rPr>
      <t xml:space="preserve">
</t>
    </r>
    <r>
      <rPr>
        <sz val="11"/>
        <color rgb="FF000000"/>
        <rFont val="Calibri"/>
      </rPr>
      <t>Compare the services that are enabled, including the port, services, protocols, and functions.</t>
    </r>
    <r>
      <rPr>
        <sz val="11"/>
        <color rgb="FF000000"/>
        <rFont val="Calibri"/>
      </rPr>
      <t xml:space="preserve">
</t>
    </r>
    <r>
      <rPr>
        <sz val="11"/>
        <color rgb="FF000000"/>
        <rFont val="Calibri"/>
      </rPr>
      <t>Consult the Juniper knowledge base and configuration guides to determine the commands for disabling each port, protocols, services, or functions that is not in compliance with the PPSM CAL and vulnerability assessments.</t>
    </r>
  </si>
  <si>
    <t>V-214685</t>
  </si>
  <si>
    <r>
      <rPr>
        <sz val="11"/>
        <rFont val="Calibri"/>
      </rPr>
      <t>The Juniper SRX Services Gateway VPN must uniquely identify and authenticate organizational users (or processes acting on behalf of organizational users).</t>
    </r>
  </si>
  <si>
    <r>
      <rPr>
        <sz val="11"/>
        <color rgb="FF000000"/>
        <rFont val="Calibri"/>
      </rPr>
      <t>Configure the LDAP access profile. The LDAP server must use DoD PKI for authentication of users.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access profile &lt;VPN-LDAP-PROFILE-NAME&gt; authentication-order ldap</t>
    </r>
    <r>
      <rPr>
        <sz val="11"/>
        <color rgb="FF000000"/>
        <rFont val="Calibri"/>
      </rPr>
      <t xml:space="preserve">
</t>
    </r>
    <r>
      <rPr>
        <sz val="11"/>
        <color rgb="FF000000"/>
        <rFont val="Calibri"/>
      </rPr>
      <t>set access profile &lt;VPN-LDAP-PROFILE-NAME&gt; address-assignment pool dyn-vpn-pool</t>
    </r>
    <r>
      <rPr>
        <sz val="11"/>
        <color rgb="FF000000"/>
        <rFont val="Calibri"/>
      </rPr>
      <t xml:space="preserve">
</t>
    </r>
    <r>
      <rPr>
        <sz val="11"/>
        <color rgb="FF000000"/>
        <rFont val="Calibri"/>
      </rPr>
      <t>set access profile &lt;VPN-LDAP-PROFILE-NAME&gt; ldap-options base-distinguished-name CN=Users, DC=firewall, DC=com (Location from where LDAP will start searching for users)</t>
    </r>
    <r>
      <rPr>
        <sz val="11"/>
        <color rgb="FF000000"/>
        <rFont val="Calibri"/>
      </rPr>
      <t xml:space="preserve">
</t>
    </r>
    <r>
      <rPr>
        <sz val="11"/>
        <color rgb="FF000000"/>
        <rFont val="Calibri"/>
      </rPr>
      <t xml:space="preserve">set access profile &lt;VPN-LDAP-PROFILE-NAME&gt; ldap-options search search-filter sAMAccountName= </t>
    </r>
    <r>
      <rPr>
        <sz val="11"/>
        <color rgb="FF000000"/>
        <rFont val="Calibri"/>
      </rPr>
      <t xml:space="preserve">
</t>
    </r>
    <r>
      <rPr>
        <sz val="11"/>
        <color rgb="FF000000"/>
        <rFont val="Calibri"/>
      </rPr>
      <t>set access profile &lt;VPN-LDAP-PROFILE-NAME&gt; ldap-options search admin-search distinguished-name CN=Administrator, CN=Users, DC=firewall, DC=com (User who is authorized to search the ldap tree)</t>
    </r>
    <r>
      <rPr>
        <sz val="11"/>
        <color rgb="FF000000"/>
        <rFont val="Calibri"/>
      </rPr>
      <t xml:space="preserve">
</t>
    </r>
    <r>
      <rPr>
        <sz val="11"/>
        <color rgb="FF000000"/>
        <rFont val="Calibri"/>
      </rPr>
      <t>set access profile &lt;VPN-LDAP-PROFILE-NAME&gt; ldap-options search admin-search password &lt;Administrator Password&gt;</t>
    </r>
    <r>
      <rPr>
        <sz val="11"/>
        <color rgb="FF000000"/>
        <rFont val="Calibri"/>
      </rPr>
      <t xml:space="preserve">
</t>
    </r>
    <r>
      <rPr>
        <sz val="11"/>
        <color rgb="FF000000"/>
        <rFont val="Calibri"/>
      </rPr>
      <t xml:space="preserve">set access profile &lt;VPN-LDAP-PROFILE-NAME&gt; ldap-server &lt;AD Server IP address&gt; port 389/636 </t>
    </r>
    <r>
      <rPr>
        <sz val="11"/>
        <color rgb="FF000000"/>
        <rFont val="Calibri"/>
      </rPr>
      <t xml:space="preserve">
</t>
    </r>
    <r>
      <rPr>
        <sz val="11"/>
        <color rgb="FF000000"/>
        <rFont val="Calibri"/>
      </rPr>
      <t>set access firewall-authentication pass-through default-profile &lt;VPN-LDAP-PROFILE-NAME&gt;</t>
    </r>
    <r>
      <rPr>
        <sz val="11"/>
        <color rgb="FF000000"/>
        <rFont val="Calibri"/>
      </rPr>
      <t xml:space="preserve">
</t>
    </r>
    <r>
      <rPr>
        <sz val="11"/>
        <color rgb="FF000000"/>
        <rFont val="Calibri"/>
      </rPr>
      <t>set access firewall-authentication web-authentication default-profile &lt;VPN-LDAP-PROFILE-NAME&gt;</t>
    </r>
    <r>
      <rPr>
        <sz val="11"/>
        <color rgb="FF000000"/>
        <rFont val="Calibri"/>
      </rPr>
      <t xml:space="preserve">
</t>
    </r>
    <r>
      <rPr>
        <sz val="11"/>
        <color rgb="FF000000"/>
        <rFont val="Calibri"/>
      </rPr>
      <t>Note: To find the user or administrator base DN, use any LDAP browser. On an Internet search engine, search for ldp.exe, which is a very basic LDAP browser.</t>
    </r>
    <r>
      <rPr>
        <sz val="11"/>
        <color rgb="FF000000"/>
        <rFont val="Calibri"/>
      </rPr>
      <t xml:space="preserve">
</t>
    </r>
    <r>
      <rPr>
        <sz val="11"/>
        <color rgb="FF000000"/>
        <rFont val="Calibri"/>
      </rPr>
      <t>When using LDAP groups to authenticate a user, or a user belonging to a group in the active directory, include the following statement:</t>
    </r>
    <r>
      <rPr>
        <sz val="11"/>
        <color rgb="FF000000"/>
        <rFont val="Calibri"/>
      </rPr>
      <t xml:space="preserve">
</t>
    </r>
    <r>
      <rPr>
        <sz val="11"/>
        <color rgb="FF000000"/>
        <rFont val="Calibri"/>
      </rPr>
      <t>set access profile &lt;VPN-LDAP-PROFILE-NAME&gt; session-options client-group &lt;group-name&gt;</t>
    </r>
    <r>
      <rPr>
        <sz val="11"/>
        <color rgb="FF000000"/>
        <rFont val="Calibri"/>
      </rPr>
      <t xml:space="preserve">
</t>
    </r>
    <r>
      <rPr>
        <sz val="11"/>
        <color rgb="FF000000"/>
        <rFont val="Calibri"/>
      </rPr>
      <t>Note: Without the above statement, users are not searched based on the group name or group string.</t>
    </r>
    <r>
      <rPr>
        <sz val="11"/>
        <color rgb="FF000000"/>
        <rFont val="Calibri"/>
      </rPr>
      <t xml:space="preserve">
</t>
    </r>
    <r>
      <rPr>
        <sz val="11"/>
        <color rgb="FF000000"/>
        <rFont val="Calibri"/>
      </rPr>
      <t>The IP address pool configuration is as follows (the user will be assigned the IP from this pool):</t>
    </r>
    <r>
      <rPr>
        <sz val="11"/>
        <color rgb="FF000000"/>
        <rFont val="Calibri"/>
      </rPr>
      <t xml:space="preserve">
</t>
    </r>
    <r>
      <rPr>
        <sz val="11"/>
        <color rgb="FF000000"/>
        <rFont val="Calibri"/>
      </rPr>
      <t>set access address-assignment pool dyn-vpn-pool family inet network &lt;IP Network for Dynamic-VPN User&gt; (e.g.. 192.168.100.0/24)</t>
    </r>
    <r>
      <rPr>
        <sz val="11"/>
        <color rgb="FF000000"/>
        <rFont val="Calibri"/>
      </rPr>
      <t xml:space="preserve">
</t>
    </r>
    <r>
      <rPr>
        <sz val="11"/>
        <color rgb="FF000000"/>
        <rFont val="Calibri"/>
      </rPr>
      <t>set access address-assignment pool dyn-vpn-pool family inet range dyn-vpn-pool-range low &lt;Starting IP address for Dynamic-VPN User&gt; (e.g.. 192.168.100.1)</t>
    </r>
    <r>
      <rPr>
        <sz val="11"/>
        <color rgb="FF000000"/>
        <rFont val="Calibri"/>
      </rPr>
      <t xml:space="preserve">
</t>
    </r>
    <r>
      <rPr>
        <sz val="11"/>
        <color rgb="FF000000"/>
        <rFont val="Calibri"/>
      </rPr>
      <t>set access address-assignment pool dyn-vpn-pool family inet range dyn-vpn-pool-range high &lt;ending IP address for Dynamic-VPN User&gt; (e.g.. 192.168.100.100)</t>
    </r>
    <r>
      <rPr>
        <sz val="11"/>
        <color rgb="FF000000"/>
        <rFont val="Calibri"/>
      </rPr>
      <t xml:space="preserve">
</t>
    </r>
    <r>
      <rPr>
        <sz val="11"/>
        <color rgb="FF000000"/>
        <rFont val="Calibri"/>
      </rPr>
      <t>Note: The IP network used for dynamic VPN users should be different from the IP network of the external interface used in the IKE configuration.</t>
    </r>
    <r>
      <rPr>
        <sz val="11"/>
        <color rgb="FF000000"/>
        <rFont val="Calibri"/>
      </rPr>
      <t xml:space="preserve">
</t>
    </r>
    <r>
      <rPr>
        <sz val="11"/>
        <color rgb="FF000000"/>
        <rFont val="Calibri"/>
      </rPr>
      <t>The access profile is linked to the xauth of the gateway for dynamic VPN.</t>
    </r>
    <r>
      <rPr>
        <sz val="11"/>
        <color rgb="FF000000"/>
        <rFont val="Calibri"/>
      </rPr>
      <t xml:space="preserve">
</t>
    </r>
    <r>
      <rPr>
        <sz val="11"/>
        <color rgb="FF000000"/>
        <rFont val="Calibri"/>
      </rPr>
      <t xml:space="preserve">set security ike gateway &lt;VPN-GATEWAY&gt; xauth access-profile &lt;VPN-LDAP-PROFILE-NAME&gt; </t>
    </r>
    <r>
      <rPr>
        <sz val="11"/>
        <color rgb="FF000000"/>
        <rFont val="Calibri"/>
      </rPr>
      <t xml:space="preserve">
</t>
    </r>
    <r>
      <rPr>
        <sz val="11"/>
        <color rgb="FF000000"/>
        <rFont val="Calibri"/>
      </rPr>
      <t>Under security &gt;&gt; dynamic-vpn, add all the users that are going to use the dynamic VPN. The command is as follows:</t>
    </r>
    <r>
      <rPr>
        <sz val="11"/>
        <color rgb="FF000000"/>
        <rFont val="Calibri"/>
      </rPr>
      <t xml:space="preserve">
</t>
    </r>
    <r>
      <rPr>
        <sz val="11"/>
        <color rgb="FF000000"/>
        <rFont val="Calibri"/>
      </rPr>
      <t>set security dynamic-vpn clients all user</t>
    </r>
    <r>
      <rPr>
        <sz val="11"/>
        <color rgb="FF000000"/>
        <rFont val="Calibri"/>
      </rPr>
      <t xml:space="preserve">
</t>
    </r>
    <r>
      <rPr>
        <sz val="11"/>
        <color rgb="FF000000"/>
        <rFont val="Calibri"/>
      </rPr>
      <t>Note: For users who are going to use dynamic VPN, this will be the AD user logon name for each user.</t>
    </r>
  </si>
  <si>
    <r>
      <rPr>
        <sz val="11"/>
        <color rgb="FF000000"/>
        <rFont val="Calibri"/>
      </rPr>
      <t xml:space="preserve">To assure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or proxy capability). This does not apply to authentication for the purpose of configuring the device itself (i.e., device management).</t>
    </r>
  </si>
  <si>
    <r>
      <rPr>
        <sz val="11"/>
        <color rgb="FF000000"/>
        <rFont val="Calibri"/>
      </rPr>
      <t>Ask the site to identify the VPN access profile. Verify the access profile uses LDAP, not password configuration, for user remote access to the network. Ask the site representative if group accounts are allowed or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access profile &lt;VPN-LDAP-PROFILE-NAME&gt;</t>
    </r>
    <r>
      <rPr>
        <sz val="11"/>
        <color rgb="FF000000"/>
        <rFont val="Calibri"/>
      </rPr>
      <t xml:space="preserve">
</t>
    </r>
    <r>
      <rPr>
        <sz val="11"/>
        <color rgb="FF000000"/>
        <rFont val="Calibri"/>
      </rPr>
      <t>If an access profile that uses LDAP is not configured as the first option in the authentication order, this is a finding.</t>
    </r>
    <r>
      <rPr>
        <sz val="11"/>
        <color rgb="FF000000"/>
        <rFont val="Calibri"/>
      </rPr>
      <t xml:space="preserve">
</t>
    </r>
    <r>
      <rPr>
        <sz val="11"/>
        <color rgb="FF000000"/>
        <rFont val="Calibri"/>
      </rPr>
      <t>If group accounts are allowed for VPN logon, this is a finding.</t>
    </r>
  </si>
  <si>
    <t>V-214686</t>
  </si>
  <si>
    <r>
      <rPr>
        <sz val="11"/>
        <rFont val="Calibri"/>
      </rPr>
      <t>The Juniper SRX Services Gateway VPN must use multifactor authentication (e.g., DoD PKI) for network access to non-privileged accounts.</t>
    </r>
  </si>
  <si>
    <r>
      <rPr>
        <sz val="11"/>
        <color rgb="FF000000"/>
        <rFont val="Calibri"/>
      </rPr>
      <t>Configure multifactor authentication by configuring an access profile for an authentication server or services to authenticate VPN users upon logon using DoD PKI.</t>
    </r>
    <r>
      <rPr>
        <sz val="11"/>
        <color rgb="FF000000"/>
        <rFont val="Calibri"/>
      </rPr>
      <t xml:space="preserve">
</t>
    </r>
    <r>
      <rPr>
        <sz val="11"/>
        <color rgb="FF000000"/>
        <rFont val="Calibri"/>
      </rPr>
      <t>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access profile dyn-vpn-ldap-xauth authentication-order ldap</t>
    </r>
    <r>
      <rPr>
        <sz val="11"/>
        <color rgb="FF000000"/>
        <rFont val="Calibri"/>
      </rPr>
      <t xml:space="preserve">
</t>
    </r>
    <r>
      <rPr>
        <sz val="11"/>
        <color rgb="FF000000"/>
        <rFont val="Calibri"/>
      </rPr>
      <t>set access profile dyn-vpn-ldap-xauth address-assignment pool dyn-vpn-pool</t>
    </r>
    <r>
      <rPr>
        <sz val="11"/>
        <color rgb="FF000000"/>
        <rFont val="Calibri"/>
      </rPr>
      <t xml:space="preserve">
</t>
    </r>
    <r>
      <rPr>
        <sz val="11"/>
        <color rgb="FF000000"/>
        <rFont val="Calibri"/>
      </rPr>
      <t>set access profile dyn-vpn-ldap-xauth ldap-options base-distinguished-name CN=Users, DC=firewall, DC=com (Location from where LDAP will start searching for users)</t>
    </r>
    <r>
      <rPr>
        <sz val="11"/>
        <color rgb="FF000000"/>
        <rFont val="Calibri"/>
      </rPr>
      <t xml:space="preserve">
</t>
    </r>
    <r>
      <rPr>
        <sz val="11"/>
        <color rgb="FF000000"/>
        <rFont val="Calibri"/>
      </rPr>
      <t xml:space="preserve">set access profile dyn-vpn-ldap-xauth ldap-options search search-filter sAMAccountName= </t>
    </r>
    <r>
      <rPr>
        <sz val="11"/>
        <color rgb="FF000000"/>
        <rFont val="Calibri"/>
      </rPr>
      <t xml:space="preserve">
</t>
    </r>
    <r>
      <rPr>
        <sz val="11"/>
        <color rgb="FF000000"/>
        <rFont val="Calibri"/>
      </rPr>
      <t>set access profile dyn-vpn-ldap-xauth ldap-options search admin-search distinguished-name CN=Administrator, CN=Users, DC=firewall, DC=com (User who is authorized to search the ldap tree)</t>
    </r>
    <r>
      <rPr>
        <sz val="11"/>
        <color rgb="FF000000"/>
        <rFont val="Calibri"/>
      </rPr>
      <t xml:space="preserve">
</t>
    </r>
    <r>
      <rPr>
        <sz val="11"/>
        <color rgb="FF000000"/>
        <rFont val="Calibri"/>
      </rPr>
      <t>set access profile dyn-vpn-ldap-xauth ldap-options search admin-search password &lt;Administrator Password&gt;</t>
    </r>
    <r>
      <rPr>
        <sz val="11"/>
        <color rgb="FF000000"/>
        <rFont val="Calibri"/>
      </rPr>
      <t xml:space="preserve">
</t>
    </r>
    <r>
      <rPr>
        <sz val="11"/>
        <color rgb="FF000000"/>
        <rFont val="Calibri"/>
      </rPr>
      <t xml:space="preserve">set access profile dyn-vpn-ldap-xauth ldap-server &lt;AD Server IP address&gt; port 389/636 </t>
    </r>
    <r>
      <rPr>
        <sz val="11"/>
        <color rgb="FF000000"/>
        <rFont val="Calibri"/>
      </rPr>
      <t xml:space="preserve">
</t>
    </r>
    <r>
      <rPr>
        <sz val="11"/>
        <color rgb="FF000000"/>
        <rFont val="Calibri"/>
      </rPr>
      <t>set access firewall-authentication pass-through default-profile dyn-vpn-ldap-xauth</t>
    </r>
    <r>
      <rPr>
        <sz val="11"/>
        <color rgb="FF000000"/>
        <rFont val="Calibri"/>
      </rPr>
      <t xml:space="preserve">
</t>
    </r>
    <r>
      <rPr>
        <sz val="11"/>
        <color rgb="FF000000"/>
        <rFont val="Calibri"/>
      </rPr>
      <t>set access firewall-authentication web-authentication default-profile dyn-vpn-ldap-xauth</t>
    </r>
    <r>
      <rPr>
        <sz val="11"/>
        <color rgb="FF000000"/>
        <rFont val="Calibri"/>
      </rPr>
      <t xml:space="preserve">
</t>
    </r>
    <r>
      <rPr>
        <sz val="11"/>
        <color rgb="FF000000"/>
        <rFont val="Calibri"/>
      </rPr>
      <t>The access profile is linked to the xauth of the gateway for dynamic VPN.</t>
    </r>
    <r>
      <rPr>
        <sz val="11"/>
        <color rgb="FF000000"/>
        <rFont val="Calibri"/>
      </rPr>
      <t xml:space="preserve">
</t>
    </r>
    <r>
      <rPr>
        <sz val="11"/>
        <color rgb="FF000000"/>
        <rFont val="Calibri"/>
      </rPr>
      <t xml:space="preserve">set security ike gateway dyn-vpn-local-gw xauth access-profile dyn-vpn-ldap-xauth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Under security &gt;&gt; dynamic-vpn, add all the users that are going to use the dynamic VPN. The command is as follows:</t>
    </r>
    <r>
      <rPr>
        <sz val="11"/>
        <color rgb="FF000000"/>
        <rFont val="Calibri"/>
      </rPr>
      <t xml:space="preserve">
</t>
    </r>
    <r>
      <rPr>
        <sz val="11"/>
        <color rgb="FF000000"/>
        <rFont val="Calibri"/>
      </rPr>
      <t>set security dynamic-vpn clients all user</t>
    </r>
    <r>
      <rPr>
        <sz val="11"/>
        <color rgb="FF000000"/>
        <rFont val="Calibri"/>
      </rPr>
      <t xml:space="preserve">
</t>
    </r>
    <r>
      <rPr>
        <sz val="11"/>
        <color rgb="FF000000"/>
        <rFont val="Calibri"/>
      </rPr>
      <t>Note: For users who are going to use dynamic VPN, this will be the AD user logon name for each user.</t>
    </r>
  </si>
  <si>
    <r>
      <rPr>
        <sz val="11"/>
        <color rgb="FF000000"/>
        <rFont val="Calibri"/>
      </rPr>
      <t xml:space="preserve">To assure accountability and prevent unauthenticated access, non-privileged users must utilize multifactor authentication to prevent potential misuse and compromise of the system. </t>
    </r>
    <r>
      <rPr>
        <sz val="11"/>
        <color rgb="FF000000"/>
        <rFont val="Calibri"/>
      </rPr>
      <t xml:space="preserve">
</t>
    </r>
    <r>
      <rPr>
        <sz val="11"/>
        <color rgb="FF000000"/>
        <rFont val="Calibri"/>
      </rPr>
      <t>Multifactor authentication uses two or more factors to achieve authentication. Use of password for user remote access for non-privileged account is not authorized.</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 xml:space="preserve">(i) Something you know (e.g., password/PIN); </t>
    </r>
    <r>
      <rPr>
        <sz val="11"/>
        <color rgb="FF000000"/>
        <rFont val="Calibri"/>
      </rPr>
      <t xml:space="preserve">
</t>
    </r>
    <r>
      <rPr>
        <sz val="11"/>
        <color rgb="FF000000"/>
        <rFont val="Calibri"/>
      </rPr>
      <t xml:space="preserve">(ii) Something you have (e.g., cryptographic identification device, token); or </t>
    </r>
    <r>
      <rPr>
        <sz val="11"/>
        <color rgb="FF000000"/>
        <rFont val="Calibri"/>
      </rPr>
      <t xml:space="preserve">
</t>
    </r>
    <r>
      <rPr>
        <sz val="11"/>
        <color rgb="FF000000"/>
        <rFont val="Calibri"/>
      </rPr>
      <t xml:space="preserve">(iii) Something you are (e.g., biometric). </t>
    </r>
    <r>
      <rPr>
        <sz val="11"/>
        <color rgb="FF000000"/>
        <rFont val="Calibri"/>
      </rPr>
      <t xml:space="preserve">
</t>
    </r>
    <r>
      <rPr>
        <sz val="11"/>
        <color rgb="FF000000"/>
        <rFont val="Calibri"/>
      </rPr>
      <t xml:space="preserve">A non-privileged account is any information system account with authorizations of a non-privileged user. </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The DoD CAC with DoD-approved PKI is an example of multifactor authentication.</t>
    </r>
  </si>
  <si>
    <r>
      <rPr>
        <sz val="11"/>
        <color rgb="FF000000"/>
        <rFont val="Calibri"/>
      </rPr>
      <t>Ask the site to identify the VPN access profile. Verify the access profile uses LDAP, not password configuration, for user remote access to the network. Ask the site if the LDAP server used authenticates users through PKI authentication.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access profile &lt;dynamic-profile-name&gt;</t>
    </r>
    <r>
      <rPr>
        <sz val="11"/>
        <color rgb="FF000000"/>
        <rFont val="Calibri"/>
      </rPr>
      <t xml:space="preserve">
</t>
    </r>
    <r>
      <rPr>
        <sz val="11"/>
        <color rgb="FF000000"/>
        <rFont val="Calibri"/>
      </rPr>
      <t>If an access profile that uses LDAP is not configured as the first option in the authentication order, this is a finding.</t>
    </r>
    <r>
      <rPr>
        <sz val="11"/>
        <color rgb="FF000000"/>
        <rFont val="Calibri"/>
      </rPr>
      <t xml:space="preserve">
</t>
    </r>
    <r>
      <rPr>
        <sz val="11"/>
        <color rgb="FF000000"/>
        <rFont val="Calibri"/>
      </rPr>
      <t>If password access is configured for VPN user access, this is a finding.</t>
    </r>
    <r>
      <rPr>
        <sz val="11"/>
        <color rgb="FF000000"/>
        <rFont val="Calibri"/>
      </rPr>
      <t xml:space="preserve">
</t>
    </r>
    <r>
      <rPr>
        <sz val="11"/>
        <color rgb="FF000000"/>
        <rFont val="Calibri"/>
      </rPr>
      <t>If the LDAP server used does not use PKI authentication, this is a finding.</t>
    </r>
  </si>
  <si>
    <t>V-214688</t>
  </si>
  <si>
    <r>
      <rPr>
        <sz val="11"/>
        <rFont val="Calibri"/>
      </rPr>
      <t>The Juniper SRX Services Gateway VPN must uniquely identify and authenticate non-organizational users (or processes acting on behalf of non-organizational users).</t>
    </r>
  </si>
  <si>
    <r>
      <rPr>
        <sz val="11"/>
        <color rgb="FF000000"/>
        <rFont val="Calibri"/>
      </rPr>
      <t>Configure the LDAP access profile. The LDAP server must use DoD PKI for authentication of users.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access profile &lt;VPN-LDAP-PROFILE-NAME&gt; authentication-order ldap</t>
    </r>
    <r>
      <rPr>
        <sz val="11"/>
        <color rgb="FF000000"/>
        <rFont val="Calibri"/>
      </rPr>
      <t xml:space="preserve">
</t>
    </r>
    <r>
      <rPr>
        <sz val="11"/>
        <color rgb="FF000000"/>
        <rFont val="Calibri"/>
      </rPr>
      <t>set access profile &lt;VPN-LDAP-PROFILE-NAME&gt; address-assignment pool dyn-vpn-pool</t>
    </r>
    <r>
      <rPr>
        <sz val="11"/>
        <color rgb="FF000000"/>
        <rFont val="Calibri"/>
      </rPr>
      <t xml:space="preserve">
</t>
    </r>
    <r>
      <rPr>
        <sz val="11"/>
        <color rgb="FF000000"/>
        <rFont val="Calibri"/>
      </rPr>
      <t>set access profile &lt;VPN-LDAP-PROFILE-NAME&gt; ldap-options base-distinguished-name CN=Users, DC=firewall, DC=com (Location from where LDAP will start searching for users)</t>
    </r>
    <r>
      <rPr>
        <sz val="11"/>
        <color rgb="FF000000"/>
        <rFont val="Calibri"/>
      </rPr>
      <t xml:space="preserve">
</t>
    </r>
    <r>
      <rPr>
        <sz val="11"/>
        <color rgb="FF000000"/>
        <rFont val="Calibri"/>
      </rPr>
      <t xml:space="preserve">set access profile &lt;VPN-LDAP-PROFILE-NAME&gt; ldap-options search search-filter sAMAccountName= </t>
    </r>
    <r>
      <rPr>
        <sz val="11"/>
        <color rgb="FF000000"/>
        <rFont val="Calibri"/>
      </rPr>
      <t xml:space="preserve">
</t>
    </r>
    <r>
      <rPr>
        <sz val="11"/>
        <color rgb="FF000000"/>
        <rFont val="Calibri"/>
      </rPr>
      <t>set access profile &lt;VPN-LDAP-PROFILE-NAME&gt; ldap-options search admin-search distinguished-name CN=Administrator, CN=Users, DC=firewall, DC=com (User who is authorized to search the ldap tree)</t>
    </r>
    <r>
      <rPr>
        <sz val="11"/>
        <color rgb="FF000000"/>
        <rFont val="Calibri"/>
      </rPr>
      <t xml:space="preserve">
</t>
    </r>
    <r>
      <rPr>
        <sz val="11"/>
        <color rgb="FF000000"/>
        <rFont val="Calibri"/>
      </rPr>
      <t>set access profile &lt;VPN-LDAP-PROFILE-NAME&gt; ldap-options search admin-search password &lt;Administrator Password&gt;</t>
    </r>
    <r>
      <rPr>
        <sz val="11"/>
        <color rgb="FF000000"/>
        <rFont val="Calibri"/>
      </rPr>
      <t xml:space="preserve">
</t>
    </r>
    <r>
      <rPr>
        <sz val="11"/>
        <color rgb="FF000000"/>
        <rFont val="Calibri"/>
      </rPr>
      <t xml:space="preserve">set access profile &lt;VPN-LDAP-PROFILE-NAME&gt; ldap-server &lt;AD Server IP address&gt; port 389/636 </t>
    </r>
    <r>
      <rPr>
        <sz val="11"/>
        <color rgb="FF000000"/>
        <rFont val="Calibri"/>
      </rPr>
      <t xml:space="preserve">
</t>
    </r>
    <r>
      <rPr>
        <sz val="11"/>
        <color rgb="FF000000"/>
        <rFont val="Calibri"/>
      </rPr>
      <t>set access firewall-authentication pass-through default-profile &lt;VPN-LDAP-PROFILE-NAME&gt;</t>
    </r>
    <r>
      <rPr>
        <sz val="11"/>
        <color rgb="FF000000"/>
        <rFont val="Calibri"/>
      </rPr>
      <t xml:space="preserve">
</t>
    </r>
    <r>
      <rPr>
        <sz val="11"/>
        <color rgb="FF000000"/>
        <rFont val="Calibri"/>
      </rPr>
      <t>set access firewall-authentication web-authentication default-profile &lt;VPN-LDAP-PROFILE-NAME&gt;</t>
    </r>
    <r>
      <rPr>
        <sz val="11"/>
        <color rgb="FF000000"/>
        <rFont val="Calibri"/>
      </rPr>
      <t xml:space="preserve">
</t>
    </r>
    <r>
      <rPr>
        <sz val="11"/>
        <color rgb="FF000000"/>
        <rFont val="Calibri"/>
      </rPr>
      <t>Note: To find the user or administrator base DN, use any LDAP browser. On an Internet search engine, search for ldp.exe, which is a very basic LDAP browser.</t>
    </r>
    <r>
      <rPr>
        <sz val="11"/>
        <color rgb="FF000000"/>
        <rFont val="Calibri"/>
      </rPr>
      <t xml:space="preserve">
</t>
    </r>
    <r>
      <rPr>
        <sz val="11"/>
        <color rgb="FF000000"/>
        <rFont val="Calibri"/>
      </rPr>
      <t>When using LDAP groups to authenticate a user, or a user belonging to a group in the active directory, include the following statement:</t>
    </r>
    <r>
      <rPr>
        <sz val="11"/>
        <color rgb="FF000000"/>
        <rFont val="Calibri"/>
      </rPr>
      <t xml:space="preserve">
</t>
    </r>
    <r>
      <rPr>
        <sz val="11"/>
        <color rgb="FF000000"/>
        <rFont val="Calibri"/>
      </rPr>
      <t>set access profile &lt;VPN-LDAP-PROFILE-NAME&gt; session-options client-group &lt;group-name&gt;</t>
    </r>
    <r>
      <rPr>
        <sz val="11"/>
        <color rgb="FF000000"/>
        <rFont val="Calibri"/>
      </rPr>
      <t xml:space="preserve">
</t>
    </r>
    <r>
      <rPr>
        <sz val="11"/>
        <color rgb="FF000000"/>
        <rFont val="Calibri"/>
      </rPr>
      <t>Note: Without the above statement, users are not searched based on the group name or group string.</t>
    </r>
    <r>
      <rPr>
        <sz val="11"/>
        <color rgb="FF000000"/>
        <rFont val="Calibri"/>
      </rPr>
      <t xml:space="preserve">
</t>
    </r>
    <r>
      <rPr>
        <sz val="11"/>
        <color rgb="FF000000"/>
        <rFont val="Calibri"/>
      </rPr>
      <t>The IP address pool configuration is as follows (the user will be assigned the IP from this pool):</t>
    </r>
    <r>
      <rPr>
        <sz val="11"/>
        <color rgb="FF000000"/>
        <rFont val="Calibri"/>
      </rPr>
      <t xml:space="preserve">
</t>
    </r>
    <r>
      <rPr>
        <sz val="11"/>
        <color rgb="FF000000"/>
        <rFont val="Calibri"/>
      </rPr>
      <t>set access address-assignment pool dyn-vpn-pool family inet network &lt;IP Network for Dynamic-VPN User&gt; (e.g.. 192.168.100.0/24)</t>
    </r>
    <r>
      <rPr>
        <sz val="11"/>
        <color rgb="FF000000"/>
        <rFont val="Calibri"/>
      </rPr>
      <t xml:space="preserve">
</t>
    </r>
    <r>
      <rPr>
        <sz val="11"/>
        <color rgb="FF000000"/>
        <rFont val="Calibri"/>
      </rPr>
      <t>set access address-assignment pool dyn-vpn-pool family inet range dyn-vpn-pool-range low &lt;Starting IP address for Dynamic-VPN User&gt; (e.g.. 192.168.100.1)</t>
    </r>
    <r>
      <rPr>
        <sz val="11"/>
        <color rgb="FF000000"/>
        <rFont val="Calibri"/>
      </rPr>
      <t xml:space="preserve">
</t>
    </r>
    <r>
      <rPr>
        <sz val="11"/>
        <color rgb="FF000000"/>
        <rFont val="Calibri"/>
      </rPr>
      <t>set access address-assignment pool dyn-vpn-pool family inet range dyn-vpn-pool-range high &lt;ending IP address for Dynamic-VPN User&gt; (e.g.. 192.168.100.100)</t>
    </r>
    <r>
      <rPr>
        <sz val="11"/>
        <color rgb="FF000000"/>
        <rFont val="Calibri"/>
      </rPr>
      <t xml:space="preserve">
</t>
    </r>
    <r>
      <rPr>
        <sz val="11"/>
        <color rgb="FF000000"/>
        <rFont val="Calibri"/>
      </rPr>
      <t>Note: The IP network used for dynamic VPN users should be different from the IP network of the external interface used in the IKE configuration.</t>
    </r>
    <r>
      <rPr>
        <sz val="11"/>
        <color rgb="FF000000"/>
        <rFont val="Calibri"/>
      </rPr>
      <t xml:space="preserve">
</t>
    </r>
    <r>
      <rPr>
        <sz val="11"/>
        <color rgb="FF000000"/>
        <rFont val="Calibri"/>
      </rPr>
      <t>The access profile is linked to the xauth of the gateway for dynamic VPN.</t>
    </r>
    <r>
      <rPr>
        <sz val="11"/>
        <color rgb="FF000000"/>
        <rFont val="Calibri"/>
      </rPr>
      <t xml:space="preserve">
</t>
    </r>
    <r>
      <rPr>
        <sz val="11"/>
        <color rgb="FF000000"/>
        <rFont val="Calibri"/>
      </rPr>
      <t xml:space="preserve">set security ike gateway &lt;VPN-GATEWAY&gt; xauth access-profile &lt;VPN-LDAP-PROFILE-NAME&gt; </t>
    </r>
    <r>
      <rPr>
        <sz val="11"/>
        <color rgb="FF000000"/>
        <rFont val="Calibri"/>
      </rPr>
      <t xml:space="preserve">
</t>
    </r>
    <r>
      <rPr>
        <sz val="11"/>
        <color rgb="FF000000"/>
        <rFont val="Calibri"/>
      </rPr>
      <t>Under security &gt;&gt; dynamic-vpn, add all the users that are going to use the dynamic VPN. The command is as follows:</t>
    </r>
    <r>
      <rPr>
        <sz val="11"/>
        <color rgb="FF000000"/>
        <rFont val="Calibri"/>
      </rPr>
      <t xml:space="preserve">
</t>
    </r>
    <r>
      <rPr>
        <sz val="11"/>
        <color rgb="FF000000"/>
        <rFont val="Calibri"/>
      </rPr>
      <t>set security dynamic-vpn clients all user</t>
    </r>
    <r>
      <rPr>
        <sz val="11"/>
        <color rgb="FF000000"/>
        <rFont val="Calibri"/>
      </rPr>
      <t xml:space="preserve">
</t>
    </r>
    <r>
      <rPr>
        <sz val="11"/>
        <color rgb="FF000000"/>
        <rFont val="Calibri"/>
      </rPr>
      <t>Note: Users who are going to use dynamic VPN. This will be the AD user logon name for each user.</t>
    </r>
  </si>
  <si>
    <r>
      <rPr>
        <sz val="11"/>
        <color rgb="FF000000"/>
        <rFont val="Calibri"/>
      </rPr>
      <t xml:space="preserve">Lack of authentication and identification enables non-organizational users to gain access to the network or possibly a network element that provides opportunity for intruders to compromise resources within the network infrastructure. </t>
    </r>
    <r>
      <rPr>
        <sz val="11"/>
        <color rgb="FF000000"/>
        <rFont val="Calibri"/>
      </rPr>
      <t xml:space="preserve">
</t>
    </r>
    <r>
      <rPr>
        <sz val="11"/>
        <color rgb="FF000000"/>
        <rFont val="Calibri"/>
      </rPr>
      <t>This requirement only applies to components where this is specific to the function of the device or has the concept of a non-organizational user.</t>
    </r>
  </si>
  <si>
    <r>
      <rPr>
        <sz val="11"/>
        <color rgb="FF000000"/>
        <rFont val="Calibri"/>
      </rPr>
      <t>Verify that groups are not used for authentication.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access profile &lt;dynamic-profile-name&gt;</t>
    </r>
    <r>
      <rPr>
        <sz val="11"/>
        <color rgb="FF000000"/>
        <rFont val="Calibri"/>
      </rPr>
      <t xml:space="preserve">
</t>
    </r>
    <r>
      <rPr>
        <sz val="11"/>
        <color rgb="FF000000"/>
        <rFont val="Calibri"/>
      </rPr>
      <t>If LDAP is not configured as the first authentication-order, this is a finding.</t>
    </r>
  </si>
  <si>
    <t>V-214689</t>
  </si>
  <si>
    <r>
      <rPr>
        <sz val="11"/>
        <rFont val="Calibri"/>
      </rPr>
      <t>The Juniper SRX Services Gateway VPN must terminate all network connections associated with a communications session at the end of the session.</t>
    </r>
  </si>
  <si>
    <r>
      <rPr>
        <sz val="11"/>
        <color rgb="FF000000"/>
        <rFont val="Calibri"/>
      </rPr>
      <t>For site-to-site VPN, configure an Internet Key Exchange (IKE) gateway that includes DPD parameters such as in the following example.</t>
    </r>
    <r>
      <rPr>
        <sz val="11"/>
        <color rgb="FF000000"/>
        <rFont val="Calibri"/>
      </rPr>
      <t xml:space="preserve">
</t>
    </r>
    <r>
      <rPr>
        <sz val="11"/>
        <color rgb="FF000000"/>
        <rFont val="Calibri"/>
      </rPr>
      <t>set security ike gateway IKE-PEER ike-policy IKE-POLICY</t>
    </r>
    <r>
      <rPr>
        <sz val="11"/>
        <color rgb="FF000000"/>
        <rFont val="Calibri"/>
      </rPr>
      <t xml:space="preserve">
</t>
    </r>
    <r>
      <rPr>
        <sz val="11"/>
        <color rgb="FF000000"/>
        <rFont val="Calibri"/>
      </rPr>
      <t>set security ike gateway IKE-PEER address &lt;Peer IP Address&gt;</t>
    </r>
    <r>
      <rPr>
        <sz val="11"/>
        <color rgb="FF000000"/>
        <rFont val="Calibri"/>
      </rPr>
      <t xml:space="preserve">
</t>
    </r>
    <r>
      <rPr>
        <sz val="11"/>
        <color rgb="FF000000"/>
        <rFont val="Calibri"/>
      </rPr>
      <t>set security ike gateway IKE-PEER dead-peer-detection always-send</t>
    </r>
    <r>
      <rPr>
        <sz val="11"/>
        <color rgb="FF000000"/>
        <rFont val="Calibri"/>
      </rPr>
      <t xml:space="preserve">
</t>
    </r>
    <r>
      <rPr>
        <sz val="11"/>
        <color rgb="FF000000"/>
        <rFont val="Calibri"/>
      </rPr>
      <t>set security ike gateway IKE-PEER dead-peer-detection interval 10</t>
    </r>
    <r>
      <rPr>
        <sz val="11"/>
        <color rgb="FF000000"/>
        <rFont val="Calibri"/>
      </rPr>
      <t xml:space="preserve">
</t>
    </r>
    <r>
      <rPr>
        <sz val="11"/>
        <color rgb="FF000000"/>
        <rFont val="Calibri"/>
      </rPr>
      <t>set security ike gateway IKE-PEER dead-peer-detection threshold 2</t>
    </r>
    <r>
      <rPr>
        <sz val="11"/>
        <color rgb="FF000000"/>
        <rFont val="Calibri"/>
      </rPr>
      <t xml:space="preserve">
</t>
    </r>
    <r>
      <rPr>
        <sz val="11"/>
        <color rgb="FF000000"/>
        <rFont val="Calibri"/>
      </rPr>
      <t>set security ike gateway IKE-PEER local-identity inet &lt;IPv4 Address in Certificate&gt;</t>
    </r>
    <r>
      <rPr>
        <sz val="11"/>
        <color rgb="FF000000"/>
        <rFont val="Calibri"/>
      </rPr>
      <t xml:space="preserve">
</t>
    </r>
    <r>
      <rPr>
        <sz val="11"/>
        <color rgb="FF000000"/>
        <rFont val="Calibri"/>
      </rPr>
      <t>set security ike gateway IKE-PEER remote-identity inet &lt;IPv4 Address in Remote</t>
    </r>
    <r>
      <rPr>
        <sz val="11"/>
        <color rgb="FF000000"/>
        <rFont val="Calibri"/>
      </rPr>
      <t xml:space="preserve">
</t>
    </r>
    <r>
      <rPr>
        <sz val="11"/>
        <color rgb="FF000000"/>
        <rFont val="Calibri"/>
      </rPr>
      <t>Certificate&gt;</t>
    </r>
    <r>
      <rPr>
        <sz val="11"/>
        <color rgb="FF000000"/>
        <rFont val="Calibri"/>
      </rPr>
      <t xml:space="preserve">
</t>
    </r>
    <r>
      <rPr>
        <sz val="11"/>
        <color rgb="FF000000"/>
        <rFont val="Calibri"/>
      </rPr>
      <t>set security ike gateway IKE-PEER external-interface &lt;interface name&gt;</t>
    </r>
    <r>
      <rPr>
        <sz val="11"/>
        <color rgb="FF000000"/>
        <rFont val="Calibri"/>
      </rPr>
      <t xml:space="preserve">
</t>
    </r>
    <r>
      <rPr>
        <sz val="11"/>
        <color rgb="FF000000"/>
        <rFont val="Calibri"/>
      </rPr>
      <t>set security ike gateway IKE-PEER version v2-only</t>
    </r>
  </si>
  <si>
    <r>
      <rPr>
        <sz val="11"/>
        <color rgb="FF000000"/>
        <rFont val="Calibri"/>
      </rPr>
      <t>Idle TCP sessions can be susceptible to unauthorized access and hijacking attacks. IKE Dead Peer Detection (DPD) is a protocol that verifies the availability of IPsec peer devices by sending encrypted IKE Phase 1 notification payloads to peers.</t>
    </r>
    <r>
      <rPr>
        <sz val="11"/>
        <color rgb="FF000000"/>
        <rFont val="Calibri"/>
      </rPr>
      <t xml:space="preserve">
</t>
    </r>
    <r>
      <rPr>
        <sz val="11"/>
        <color rgb="FF000000"/>
        <rFont val="Calibri"/>
      </rPr>
      <t>Note: For dynamic (remote access) VPN, the TCP keep-alive for remote access is implemented in the Juniper SRX Firewall STIG.</t>
    </r>
  </si>
  <si>
    <r>
      <rPr>
        <sz val="11"/>
        <color rgb="FF000000"/>
        <rFont val="Calibri"/>
      </rPr>
      <t>Navigate to the IKE configuration.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ike gateway &lt;ike-peer-name&gt;</t>
    </r>
    <r>
      <rPr>
        <sz val="11"/>
        <color rgb="FF000000"/>
        <rFont val="Calibri"/>
      </rPr>
      <t xml:space="preserve">
</t>
    </r>
    <r>
      <rPr>
        <sz val="11"/>
        <color rgb="FF000000"/>
        <rFont val="Calibri"/>
      </rPr>
      <t>If the DPD options are not configured, this is a finding.</t>
    </r>
  </si>
  <si>
    <t>V-214690</t>
  </si>
  <si>
    <r>
      <rPr>
        <sz val="11"/>
        <rFont val="Calibri"/>
      </rPr>
      <t>The Juniper SRX Services Gateway VPN Internet Key Exchange (IKE) must be configured to use an approved Commercial Solution for Classified (CSfC) when transporting classified traffic across an unclassified network.</t>
    </r>
  </si>
  <si>
    <r>
      <rPr>
        <sz val="11"/>
        <color rgb="FF000000"/>
        <rFont val="Calibri"/>
      </rPr>
      <t xml:space="preserve">Navigate to the IKE proposal stanza. </t>
    </r>
    <r>
      <rPr>
        <sz val="11"/>
        <color rgb="FF000000"/>
        <rFont val="Calibri"/>
      </rPr>
      <t xml:space="preserve">
</t>
    </r>
    <r>
      <rPr>
        <sz val="11"/>
        <color rgb="FF000000"/>
        <rFont val="Calibri"/>
      </rPr>
      <t>Example stanza.</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ike proposal &lt;name-proposal&gt;</t>
    </r>
    <r>
      <rPr>
        <sz val="11"/>
        <color rgb="FF000000"/>
        <rFont val="Calibri"/>
      </rPr>
      <t xml:space="preserve">
</t>
    </r>
    <r>
      <rPr>
        <sz val="11"/>
        <color rgb="FF000000"/>
        <rFont val="Calibri"/>
      </rPr>
      <t>set ike proposal &lt;name-proposal&gt; authentication-method ecdsa-signatures-384</t>
    </r>
    <r>
      <rPr>
        <sz val="11"/>
        <color rgb="FF000000"/>
        <rFont val="Calibri"/>
      </rPr>
      <t xml:space="preserve">
</t>
    </r>
    <r>
      <rPr>
        <sz val="11"/>
        <color rgb="FF000000"/>
        <rFont val="Calibri"/>
      </rPr>
      <t>set ike proposal &lt;name-proposal&gt; dh-group group20</t>
    </r>
    <r>
      <rPr>
        <sz val="11"/>
        <color rgb="FF000000"/>
        <rFont val="Calibri"/>
      </rPr>
      <t xml:space="preserve">
</t>
    </r>
    <r>
      <rPr>
        <sz val="11"/>
        <color rgb="FF000000"/>
        <rFont val="Calibri"/>
      </rPr>
      <t>set ike proposal &lt;name-proposal&gt; authentication-algorithm sha-384</t>
    </r>
    <r>
      <rPr>
        <sz val="11"/>
        <color rgb="FF000000"/>
        <rFont val="Calibri"/>
      </rPr>
      <t xml:space="preserve">
</t>
    </r>
    <r>
      <rPr>
        <sz val="11"/>
        <color rgb="FF000000"/>
        <rFont val="Calibri"/>
      </rPr>
      <t>set ike proposal &lt;name-proposal&gt; encryption-algorithm aes-256-cbc</t>
    </r>
  </si>
  <si>
    <r>
      <rPr>
        <sz val="11"/>
        <color rgb="FF000000"/>
        <rFont val="Calibri"/>
      </rPr>
      <t>Use of weak or untested encryption algorithms undermines the purposes of using encryption to protect data.</t>
    </r>
    <r>
      <rPr>
        <sz val="11"/>
        <color rgb="FF000000"/>
        <rFont val="Calibri"/>
      </rPr>
      <t xml:space="preserve">
</t>
    </r>
    <r>
      <rPr>
        <sz val="11"/>
        <color rgb="FF000000"/>
        <rFont val="Calibri"/>
      </rPr>
      <t>The National Security Agency/Central Security Service's (NSA/CSS) CSfC Program enables commercial products to be used in layered solutions to protect classified National Security Systems (NSS) data. Currently, Suite B cryptographic algorithms are specified by NIST and are used by NSA's Information Assurance Directorate in solutions approved for protecting classified and unclassified NSS. However, quantum resistant algorithms will be required for future required Suite B implementations.</t>
    </r>
  </si>
  <si>
    <r>
      <rPr>
        <sz val="11"/>
        <color rgb="FF000000"/>
        <rFont val="Calibri"/>
      </rPr>
      <t>If the device is not used to transport classified traffic across an unclassified network, this is not applicable.</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ike &lt;suiteb-proposal-name&gt;</t>
    </r>
    <r>
      <rPr>
        <sz val="11"/>
        <color rgb="FF000000"/>
        <rFont val="Calibri"/>
      </rPr>
      <t xml:space="preserve">
</t>
    </r>
    <r>
      <rPr>
        <sz val="11"/>
        <color rgb="FF000000"/>
        <rFont val="Calibri"/>
      </rPr>
      <t>View the configured options.</t>
    </r>
    <r>
      <rPr>
        <sz val="11"/>
        <color rgb="FF000000"/>
        <rFont val="Calibri"/>
      </rPr>
      <t xml:space="preserve">
</t>
    </r>
    <r>
      <rPr>
        <sz val="11"/>
        <color rgb="FF000000"/>
        <rFont val="Calibri"/>
      </rPr>
      <t>If the IKE proposal encryption algorithms are not configured in compliance with CSfC, this is a finding.</t>
    </r>
  </si>
  <si>
    <t>V-214691</t>
  </si>
  <si>
    <r>
      <rPr>
        <sz val="11"/>
        <rFont val="Calibri"/>
      </rPr>
      <t>The Juniper SRX Services Gateway VPN IKE must use NIST FIPS-validated cryptography to implement encryption services for unclassified VPN traffic.</t>
    </r>
  </si>
  <si>
    <r>
      <rPr>
        <sz val="11"/>
        <color rgb="FF000000"/>
        <rFont val="Calibri"/>
      </rPr>
      <t>The following example commands configure the IKE (phase 1) proposal.</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ike proposal &lt;P1-PROPOSAL&gt; authentication-method rsa-signatures</t>
    </r>
    <r>
      <rPr>
        <sz val="11"/>
        <color rgb="FF000000"/>
        <rFont val="Calibri"/>
      </rPr>
      <t xml:space="preserve">
</t>
    </r>
    <r>
      <rPr>
        <sz val="11"/>
        <color rgb="FF000000"/>
        <rFont val="Calibri"/>
      </rPr>
      <t>set security ike proposal p1-proposal dh-group group19</t>
    </r>
    <r>
      <rPr>
        <sz val="11"/>
        <color rgb="FF000000"/>
        <rFont val="Calibri"/>
      </rPr>
      <t xml:space="preserve">
</t>
    </r>
    <r>
      <rPr>
        <sz val="11"/>
        <color rgb="FF000000"/>
        <rFont val="Calibri"/>
      </rPr>
      <t>set security ike proposal p1-proposal authentication-algorithm sha-384</t>
    </r>
    <r>
      <rPr>
        <sz val="11"/>
        <color rgb="FF000000"/>
        <rFont val="Calibri"/>
      </rPr>
      <t xml:space="preserve">
</t>
    </r>
    <r>
      <rPr>
        <sz val="11"/>
        <color rgb="FF000000"/>
        <rFont val="Calibri"/>
      </rPr>
      <t>set security ike proposal p1-proposal encryption-algorithm aes-256-cbc</t>
    </r>
    <r>
      <rPr>
        <sz val="11"/>
        <color rgb="FF000000"/>
        <rFont val="Calibri"/>
      </rPr>
      <t xml:space="preserve">
</t>
    </r>
    <r>
      <rPr>
        <sz val="11"/>
        <color rgb="FF000000"/>
        <rFont val="Calibri"/>
      </rPr>
      <t>set security ike proposal p1-proposal lifetime-seconds 86400</t>
    </r>
  </si>
  <si>
    <r>
      <rPr>
        <sz val="11"/>
        <color rgb="FF000000"/>
        <rFont val="Calibri"/>
      </rPr>
      <t>Use of weak or untested encryption algorithms undermines the purposes of using encryption to protect data. The network element must implement cryptographic modules adhering to the higher standards approved by the federal government since this provides assurance they have been tested and validated.</t>
    </r>
  </si>
  <si>
    <r>
      <rPr>
        <sz val="11"/>
        <color rgb="FF000000"/>
        <rFont val="Calibri"/>
      </rPr>
      <t>Verify all Internet Key Exchange (IKE) proposals are set to use AES256.</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ike</t>
    </r>
    <r>
      <rPr>
        <sz val="11"/>
        <color rgb="FF000000"/>
        <rFont val="Calibri"/>
      </rPr>
      <t xml:space="preserve">
</t>
    </r>
    <r>
      <rPr>
        <sz val="11"/>
        <color rgb="FF000000"/>
        <rFont val="Calibri"/>
      </rPr>
      <t>View the value of the encryption algorithm for each defined proposal.</t>
    </r>
    <r>
      <rPr>
        <sz val="11"/>
        <color rgb="FF000000"/>
        <rFont val="Calibri"/>
      </rPr>
      <t xml:space="preserve">
</t>
    </r>
    <r>
      <rPr>
        <sz val="11"/>
        <color rgb="FF000000"/>
        <rFont val="Calibri"/>
      </rPr>
      <t>If the value of the authentication method and other options are not set to use FIPS-validated values, this is a finding.</t>
    </r>
  </si>
  <si>
    <t>V-214692</t>
  </si>
  <si>
    <r>
      <rPr>
        <sz val="11"/>
        <rFont val="Calibri"/>
      </rPr>
      <t>The Juniper SRX Services Gateway VPN must configure Internet Key Exchange (IKE) with SHA1 or greater to protect the authenticity of communications sessions.</t>
    </r>
  </si>
  <si>
    <r>
      <rPr>
        <sz val="11"/>
        <color rgb="FF000000"/>
        <rFont val="Calibri"/>
      </rPr>
      <t>Include the SHA1 or higher authentication algorithm in the IKE proposal. The following is an example command.</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ike proposal &lt;P1-PROPOSAL-NAME&gt; authentication-algorithm sha-256</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</si>
  <si>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This requirement focuses on communications protection for the application session rather than for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mutual authentication (two-way/bidirectional).</t>
    </r>
    <r>
      <rPr>
        <sz val="11"/>
        <color rgb="FF000000"/>
        <rFont val="Calibri"/>
      </rPr>
      <t xml:space="preserve">
</t>
    </r>
    <r>
      <rPr>
        <sz val="11"/>
        <color rgb="FF000000"/>
        <rFont val="Calibri"/>
      </rPr>
      <t>An IPsec Security Associations (SA) is established using either IKE or manual configuration.</t>
    </r>
  </si>
  <si>
    <r>
      <rPr>
        <sz val="11"/>
        <color rgb="FF000000"/>
        <rFont val="Calibri"/>
      </rPr>
      <t>View all IKE proposals using in the VPN configuration.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ike proposal</t>
    </r>
    <r>
      <rPr>
        <sz val="11"/>
        <color rgb="FF000000"/>
        <rFont val="Calibri"/>
      </rPr>
      <t xml:space="preserve">
</t>
    </r>
    <r>
      <rPr>
        <sz val="11"/>
        <color rgb="FF000000"/>
        <rFont val="Calibri"/>
      </rPr>
      <t>If the authentication algorithm in all IKE proposals is not set to SHA1 or higher, this is a finding.</t>
    </r>
  </si>
  <si>
    <t>V-214693</t>
  </si>
  <si>
    <r>
      <rPr>
        <sz val="11"/>
        <rFont val="Calibri"/>
      </rPr>
      <t>The Juniper SRX Services Gateway VPN must only allow the use of DoD PKI established certificate authorities for verification of the establishment of protected sessions.</t>
    </r>
  </si>
  <si>
    <r>
      <rPr>
        <sz val="11"/>
        <color rgb="FF000000"/>
        <rFont val="Calibri"/>
      </rPr>
      <t xml:space="preserve">The following example commands configure the IKE (phase 1) proposals. Use certificates instead of pre-shared keys to establish the IKE phase 1 tunnel. </t>
    </r>
    <r>
      <rPr>
        <sz val="11"/>
        <color rgb="FF000000"/>
        <rFont val="Calibri"/>
      </rPr>
      <t xml:space="preserve">
</t>
    </r>
    <r>
      <rPr>
        <sz val="11"/>
        <color rgb="FF000000"/>
        <rFont val="Calibri"/>
      </rPr>
      <t>This proposal requires AES 256-bit encryption</t>
    </r>
    <r>
      <rPr>
        <sz val="11"/>
        <color rgb="FF000000"/>
        <rFont val="Calibri"/>
      </rPr>
      <t xml:space="preserve">
</t>
    </r>
    <r>
      <rPr>
        <sz val="11"/>
        <color rgb="FF000000"/>
        <rFont val="Calibri"/>
      </rPr>
      <t>set security ike proposal p1-proposal authentication-method rsa-signatures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</si>
  <si>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Internet Key Exchange (IKE) authentication certificates. </t>
    </r>
    <r>
      <rPr>
        <sz val="11"/>
        <color rgb="FF000000"/>
        <rFont val="Calibri"/>
      </rPr>
      <t xml:space="preserve">
</t>
    </r>
    <r>
      <rPr>
        <sz val="11"/>
        <color rgb="FF000000"/>
        <rFont val="Calibri"/>
      </rPr>
      <t>This requirement focuses on communications protection for the application session rather than for the network packet. Network elements that perform these functions must be able to identify which session identifiers were generated when the sessions were established.</t>
    </r>
  </si>
  <si>
    <r>
      <rPr>
        <sz val="11"/>
        <color rgb="FF000000"/>
        <rFont val="Calibri"/>
      </rPr>
      <t>Verify the all IKE proposals are set to use the AES encryption algorithm.</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ike</t>
    </r>
    <r>
      <rPr>
        <sz val="11"/>
        <color rgb="FF000000"/>
        <rFont val="Calibri"/>
      </rPr>
      <t xml:space="preserve">
</t>
    </r>
    <r>
      <rPr>
        <sz val="11"/>
        <color rgb="FF000000"/>
        <rFont val="Calibri"/>
      </rPr>
      <t>View the value of the authentication-method for each defined proposal.</t>
    </r>
    <r>
      <rPr>
        <sz val="11"/>
        <color rgb="FF000000"/>
        <rFont val="Calibri"/>
      </rPr>
      <t xml:space="preserve">
</t>
    </r>
    <r>
      <rPr>
        <sz val="11"/>
        <color rgb="FF000000"/>
        <rFont val="Calibri"/>
      </rPr>
      <t>If the value of the authentication-method for each defined proposal is not set to use AES, this is a finding.</t>
    </r>
  </si>
  <si>
    <t>V-214694</t>
  </si>
  <si>
    <r>
      <rPr>
        <sz val="11"/>
        <rFont val="Calibri"/>
      </rPr>
      <t>The Juniper SRX Services Gateway VPN must only allow incoming VPN communications from organization-defined authorized sources routed to organization-defined authorized destinations.</t>
    </r>
  </si>
  <si>
    <r>
      <rPr>
        <sz val="11"/>
        <color rgb="FF000000"/>
        <rFont val="Calibri"/>
      </rPr>
      <t>The SRX device will route traffic over the IPsec VPN’s secure tunnel interface if there is a route with the next-hop specified as the secure tunnel interface. The following example commands configure an IPv4 and IPv6 static route for their respective secure tunnels.</t>
    </r>
    <r>
      <rPr>
        <sz val="11"/>
        <color rgb="FF000000"/>
        <rFont val="Calibri"/>
      </rPr>
      <t xml:space="preserve">
</t>
    </r>
    <r>
      <rPr>
        <sz val="11"/>
        <color rgb="FF000000"/>
        <rFont val="Calibri"/>
      </rPr>
      <t>set routing-options static route &lt;IPv4 network/netmask&gt; next-hop st0.0</t>
    </r>
    <r>
      <rPr>
        <sz val="11"/>
        <color rgb="FF000000"/>
        <rFont val="Calibri"/>
      </rPr>
      <t xml:space="preserve">
</t>
    </r>
    <r>
      <rPr>
        <sz val="11"/>
        <color rgb="FF000000"/>
        <rFont val="Calibri"/>
      </rPr>
      <t>set routing-options rib inet6.0 static route &lt;IPv6 network/mask&gt; next-hop st0.1</t>
    </r>
    <r>
      <rPr>
        <sz val="11"/>
        <color rgb="FF000000"/>
        <rFont val="Calibri"/>
      </rPr>
      <t xml:space="preserve">
</t>
    </r>
    <r>
      <rPr>
        <sz val="11"/>
        <color rgb="FF000000"/>
        <rFont val="Calibri"/>
      </rPr>
      <t>set security policies from-zone untrust to-zone trust policy group-sec-policy then permit tunnel ipsec-vpn groupvpn</t>
    </r>
    <r>
      <rPr>
        <sz val="11"/>
        <color rgb="FF000000"/>
        <rFont val="Calibri"/>
      </rPr>
      <t xml:space="preserve">
</t>
    </r>
    <r>
      <rPr>
        <sz val="11"/>
        <color rgb="FF000000"/>
        <rFont val="Calibri"/>
      </rPr>
      <t>Note: For the SRX device to transmit traffic over the IPsec tunnel, you must configure the secure tunnel interface (st0 in this case), associate it with a security zone, and create a static route entry for the remote network’s address space.</t>
    </r>
  </si>
  <si>
    <r>
      <rPr>
        <sz val="11"/>
        <color rgb="FF000000"/>
        <rFont val="Calibri"/>
      </rPr>
      <t>Unrestricted traffic may contain malicious traffic which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Access control policies and access control lists implemented on devices, such as firewalls, that control the flow of network traffic, ensure the flow of traffic is only allowed from authorized sources to authorized destinations. Networks with different levels of trust (e.g., the Internet) must be kept separated.</t>
    </r>
  </si>
  <si>
    <r>
      <rPr>
        <sz val="11"/>
        <color rgb="FF000000"/>
        <rFont val="Calibri"/>
      </rPr>
      <t>Request documentation of the Juniper SRX configuration drawings to determine which ports are configured for external/outbound traffic. Verify outbound interfaces have been configured with DoS screens.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zones &lt;security-zone-name&gt;</t>
    </r>
    <r>
      <rPr>
        <sz val="11"/>
        <color rgb="FF000000"/>
        <rFont val="Calibri"/>
      </rPr>
      <t xml:space="preserve">
</t>
    </r>
    <r>
      <rPr>
        <sz val="11"/>
        <color rgb="FF000000"/>
        <rFont val="Calibri"/>
      </rPr>
      <t>If the VPN zone(s) is configured to allow unauthorized/untrusted traffic to unauthorized zones, this is a finding.</t>
    </r>
  </si>
  <si>
    <t>V-214695</t>
  </si>
  <si>
    <r>
      <rPr>
        <sz val="11"/>
        <rFont val="Calibri"/>
      </rPr>
      <t>The Juniper SRX Services Gateway VPN must disable split-tunneling for remote clients VPNs.</t>
    </r>
  </si>
  <si>
    <r>
      <rPr>
        <sz val="11"/>
        <color rgb="FF000000"/>
        <rFont val="Calibri"/>
      </rPr>
      <t>Configure the VPN tunnel to control what is sent out in clear text. The “remote-protected-resources” command defines what is routed through the tunnel. The “remote-exceptions” command defines what traffic is sent out in clear text. The following is an 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security dynamic-vpn access-profile &lt;dynamic-vpn-access-profile&gt;</t>
    </r>
    <r>
      <rPr>
        <sz val="11"/>
        <color rgb="FF000000"/>
        <rFont val="Calibri"/>
      </rPr>
      <t xml:space="preserve">
</t>
    </r>
    <r>
      <rPr>
        <sz val="11"/>
        <color rgb="FF000000"/>
        <rFont val="Calibri"/>
      </rPr>
      <t>set security dynamic-vpn clients all ipsec-vpn &lt;ipsec-vpn-name&gt;</t>
    </r>
    <r>
      <rPr>
        <sz val="11"/>
        <color rgb="FF000000"/>
        <rFont val="Calibri"/>
      </rPr>
      <t xml:space="preserve">
</t>
    </r>
    <r>
      <rPr>
        <sz val="11"/>
        <color rgb="FF000000"/>
        <rFont val="Calibri"/>
      </rPr>
      <t>set security dynamic-vpn clients all remote-protected-resources &lt;IP-address/mask&gt;</t>
    </r>
    <r>
      <rPr>
        <sz val="11"/>
        <color rgb="FF000000"/>
        <rFont val="Calibri"/>
      </rPr>
      <t xml:space="preserve">
</t>
    </r>
    <r>
      <rPr>
        <sz val="11"/>
        <color rgb="FF000000"/>
        <rFont val="Calibri"/>
      </rPr>
      <t>set security dynamic-vpn clients all remote-exceptions 0.0.0.0/0</t>
    </r>
  </si>
  <si>
    <r>
      <rPr>
        <sz val="11"/>
        <color rgb="FF000000"/>
        <rFont val="Calibri"/>
      </rPr>
      <t>Split tunneling would in effect allow unauthorized external connections, making the system more vulnerable to attack and to exfiltration of organizational information.</t>
    </r>
    <r>
      <rPr>
        <sz val="11"/>
        <color rgb="FF000000"/>
        <rFont val="Calibri"/>
      </rPr>
      <t xml:space="preserve">
</t>
    </r>
    <r>
      <rPr>
        <sz val="11"/>
        <color rgb="FF000000"/>
        <rFont val="Calibri"/>
      </rPr>
      <t>A VPN hardware or software client with split tunneling enabled provides an unsecured backdoor to the enclave from the Internet. With split tunneling enabled, a remote client has access to the Internet while at the same time has established a secured path to the enclave via an IPsec tunnel. A remote client connected to the Internet that has been compromised by an attacker in the Internet, provides an attack base to the enclave’s private network via the IPsec tunnel. Hence, it is imperative that the VPN gateway enforces a no split-tunneling policy to all remote clients.</t>
    </r>
    <r>
      <rPr>
        <sz val="11"/>
        <color rgb="FF000000"/>
        <rFont val="Calibri"/>
      </rPr>
      <t xml:space="preserve">
</t>
    </r>
    <r>
      <rPr>
        <sz val="11"/>
        <color rgb="FF000000"/>
        <rFont val="Calibri"/>
      </rPr>
      <t>Traffic to the protected resource will go through the specified dynamic VPN tunnel and will therefore be protected by the Juniper SRX firewall’s security policies.</t>
    </r>
  </si>
  <si>
    <r>
      <rPr>
        <sz val="11"/>
        <color rgb="FF000000"/>
        <rFont val="Calibri"/>
      </rPr>
      <t>Verify split-tunneling is disabled.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dynamic-vpn access-profile &lt;dynamic-vpn-access-profile&gt;</t>
    </r>
    <r>
      <rPr>
        <sz val="11"/>
        <color rgb="FF000000"/>
        <rFont val="Calibri"/>
      </rPr>
      <t xml:space="preserve">
</t>
    </r>
    <r>
      <rPr>
        <sz val="11"/>
        <color rgb="FF000000"/>
        <rFont val="Calibri"/>
      </rPr>
      <t>If split-tunneling is not disabled, this is a finding.</t>
    </r>
  </si>
  <si>
    <t>V-214696</t>
  </si>
  <si>
    <r>
      <rPr>
        <sz val="11"/>
        <rFont val="Calibri"/>
      </rPr>
      <t>The Juniper SRX Services Gateway VPN must use anti-replay mechanisms for security associations.</t>
    </r>
  </si>
  <si>
    <r>
      <rPr>
        <sz val="11"/>
        <color rgb="FF000000"/>
        <rFont val="Calibri"/>
      </rPr>
      <t xml:space="preserve">Remove the no-anti-replay Internet Key Exchange (IKE) option from the VPN configuration. By default the SRX has a replay window of 64 or 32, depending on the platform.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[edit]</t>
    </r>
    <r>
      <rPr>
        <sz val="11"/>
        <color rgb="FF000000"/>
        <rFont val="Calibri"/>
      </rPr>
      <t xml:space="preserve">
</t>
    </r>
    <r>
      <rPr>
        <sz val="11"/>
        <color rgb="FF000000"/>
        <rFont val="Calibri"/>
      </rPr>
      <t>delete security vpn name ike no-anti-replay</t>
    </r>
  </si>
  <si>
    <r>
      <rPr>
        <sz val="11"/>
        <color rgb="FF000000"/>
        <rFont val="Calibri"/>
      </rPr>
      <t>Anti-replay is an IPsec security mechanism at a packet level which helps to avoid unwanted users from intercepting and modifying an ESP packet.</t>
    </r>
    <r>
      <rPr>
        <sz val="11"/>
        <color rgb="FF000000"/>
        <rFont val="Calibri"/>
      </rPr>
      <t xml:space="preserve">
</t>
    </r>
    <r>
      <rPr>
        <sz val="11"/>
        <color rgb="FF000000"/>
        <rFont val="Calibri"/>
      </rPr>
      <t>The SRX adds a sequence number to the ESP encapsulation which is verified by the VPN peer so packets are received within a correct sequence. This will cause issues if packets are not received in the order in which they were sent out.</t>
    </r>
    <r>
      <rPr>
        <sz val="11"/>
        <color rgb="FF000000"/>
        <rFont val="Calibri"/>
      </rPr>
      <t xml:space="preserve">
</t>
    </r>
    <r>
      <rPr>
        <sz val="11"/>
        <color rgb="FF000000"/>
        <rFont val="Calibri"/>
      </rPr>
      <t>By default the SRX has a replay window of 64 or 32, depending on the platform. The SRX drops packets received out of order that are not received within this window. However, this default may be overridden by setting the option no-anti-replay as follows: set security vpn name ike no-anti-replay.</t>
    </r>
  </si>
  <si>
    <r>
      <rPr>
        <sz val="11"/>
        <color rgb="FF000000"/>
        <rFont val="Calibri"/>
      </rPr>
      <t>Verify anti-replay service is enabled.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ipsec security-associations index 16384 detail</t>
    </r>
    <r>
      <rPr>
        <sz val="11"/>
        <color rgb="FF000000"/>
        <rFont val="Calibri"/>
      </rPr>
      <t xml:space="preserve">
</t>
    </r>
    <r>
      <rPr>
        <sz val="11"/>
        <color rgb="FF000000"/>
        <rFont val="Calibri"/>
      </rPr>
      <t>If anti-replay service is not enabled, this is a finding.</t>
    </r>
  </si>
  <si>
    <t>V-223180</t>
  </si>
  <si>
    <r>
      <rPr>
        <sz val="11"/>
        <rFont val="Calibri"/>
      </rPr>
      <t>The Juniper SRX Services Gateway must limit the number of concurrent sessions to a maximum of 10 or less for remote access using SSH.</t>
    </r>
  </si>
  <si>
    <t>CAT III (Low)</t>
  </si>
  <si>
    <t>NDM</t>
  </si>
  <si>
    <r>
      <rPr>
        <sz val="11"/>
        <color rgb="FF000000"/>
        <rFont val="Calibri"/>
      </rPr>
      <t>Configure the SSH protocol to limit connection and sessions per connection.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services ssh connection-limit 10</t>
    </r>
    <r>
      <rPr>
        <sz val="11"/>
        <color rgb="FF000000"/>
        <rFont val="Calibri"/>
      </rPr>
      <t xml:space="preserve">
</t>
    </r>
    <r>
      <rPr>
        <sz val="11"/>
        <color rgb="FF000000"/>
        <rFont val="Calibri"/>
      </rPr>
      <t>set system services ssh max-sessions-per-connection 1</t>
    </r>
  </si>
  <si>
    <r>
      <rPr>
        <sz val="11"/>
        <color rgb="FF000000"/>
        <rFont val="Calibri"/>
      </rPr>
      <t>The connection-limit command limits the total number of concurrent SSH sessions. To help thwart brute force authentication attacks, the connection limit should be as restrictive as operationally practical</t>
    </r>
    <r>
      <rPr>
        <sz val="11"/>
        <color rgb="FF000000"/>
        <rFont val="Calibri"/>
      </rPr>
      <t xml:space="preserve">
</t>
    </r>
    <r>
      <rPr>
        <sz val="11"/>
        <color rgb="FF000000"/>
        <rFont val="Calibri"/>
      </rPr>
      <t>Juniper Networks recommends the best practice of setting 10 (or less) for the connection-limit.</t>
    </r>
    <r>
      <rPr>
        <sz val="11"/>
        <color rgb="FF000000"/>
        <rFont val="Calibri"/>
      </rPr>
      <t xml:space="preserve">
</t>
    </r>
    <r>
      <rPr>
        <sz val="11"/>
        <color rgb="FF000000"/>
        <rFont val="Calibri"/>
      </rPr>
      <t>This configuration will permit up to 10 users to log in to the device simultaneously, but an attempt to log an 11th user into the device will fail. The attempt will remain in a waiting state until a session is terminated and made available.</t>
    </r>
  </si>
  <si>
    <r>
      <rPr>
        <sz val="11"/>
        <color rgb="FF000000"/>
        <rFont val="Calibri"/>
      </rPr>
      <t>Verify the Juniper SRX sets a connection-limit for the SSH protocol.</t>
    </r>
    <r>
      <rPr>
        <sz val="11"/>
        <color rgb="FF000000"/>
        <rFont val="Calibri"/>
      </rPr>
      <t xml:space="preserve">
</t>
    </r>
    <r>
      <rPr>
        <sz val="11"/>
        <color rgb="FF000000"/>
        <rFont val="Calibri"/>
      </rPr>
      <t>Show system services ssh</t>
    </r>
    <r>
      <rPr>
        <sz val="11"/>
        <color rgb="FF000000"/>
        <rFont val="Calibri"/>
      </rPr>
      <t xml:space="preserve">
</t>
    </r>
    <r>
      <rPr>
        <sz val="11"/>
        <color rgb="FF000000"/>
        <rFont val="Calibri"/>
      </rPr>
      <t>If the SSH connection-limit is not set to 10 or less, this is a finding.</t>
    </r>
  </si>
  <si>
    <t>V-223181</t>
  </si>
  <si>
    <r>
      <rPr>
        <sz val="11"/>
        <rFont val="Calibri"/>
      </rPr>
      <t>For local accounts created on the device, the Juniper SRX Services Gateway must automatically generate log records for account creation events.</t>
    </r>
  </si>
  <si>
    <r>
      <rPr>
        <sz val="11"/>
        <color rgb="FF000000"/>
        <rFont val="Calibri"/>
      </rPr>
      <t xml:space="preserve">Configure at least one external syslog host is configured to log facility change-log or any, and severity info or any. </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 xml:space="preserve">set host &lt;syslog server address&gt; any &lt;info | any&gt; </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host &lt;syslog server address&gt; change-log &lt;info | any&gt;</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</si>
  <si>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r>
      <rPr>
        <sz val="11"/>
        <color rgb="FF000000"/>
        <rFont val="Calibri"/>
      </rPr>
      <t xml:space="preserve">
</t>
    </r>
    <r>
      <rPr>
        <sz val="11"/>
        <color rgb="FF000000"/>
        <rFont val="Calibri"/>
      </rPr>
      <t>An AAA server is required for account management in accordance with CCI-000370. Only a single account of last resort is permitted on the local device. However, since it is still possible for administrators to create local accounts either maliciously or to support mission needs, the SRX must be configured to log account management events.</t>
    </r>
    <r>
      <rPr>
        <sz val="11"/>
        <color rgb="FF000000"/>
        <rFont val="Calibri"/>
      </rPr>
      <t xml:space="preserve">
</t>
    </r>
    <r>
      <rPr>
        <sz val="11"/>
        <color rgb="FF000000"/>
        <rFont val="Calibri"/>
      </rPr>
      <t>To log local account management events, ensure at least one external syslog server is configured to log facility any or facility change-log, and severity info or severity any.</t>
    </r>
  </si>
  <si>
    <r>
      <rPr>
        <sz val="11"/>
        <color rgb="FF000000"/>
        <rFont val="Calibri"/>
      </rPr>
      <t>Verify the device logs change-log events of severity info or any to an external syslog server.</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host &lt;syslog server address&gt; {</t>
    </r>
    <r>
      <rPr>
        <sz val="11"/>
        <color rgb="FF000000"/>
        <rFont val="Calibri"/>
      </rPr>
      <t xml:space="preserve">
</t>
    </r>
    <r>
      <rPr>
        <sz val="11"/>
        <color rgb="FF000000"/>
        <rFont val="Calibri"/>
      </rPr>
      <t xml:space="preserve">  any &lt;info | any&gt;;</t>
    </r>
    <r>
      <rPr>
        <sz val="11"/>
        <color rgb="FF000000"/>
        <rFont val="Calibri"/>
      </rPr>
      <t xml:space="preserve">
</t>
    </r>
    <r>
      <rPr>
        <sz val="11"/>
        <color rgb="FF000000"/>
        <rFont val="Calibri"/>
      </rPr>
      <t xml:space="preserve">  source-address &lt;device address&gt;;</t>
    </r>
    <r>
      <rPr>
        <sz val="11"/>
        <color rgb="FF000000"/>
        <rFont val="Calibri"/>
      </rPr>
      <t xml:space="preserve">
</t>
    </r>
    <r>
      <rPr>
        <sz val="11"/>
        <color rgb="FF000000"/>
        <rFont val="Calibri"/>
      </rPr>
      <t>}</t>
    </r>
    <r>
      <rPr>
        <sz val="11"/>
        <color rgb="FF000000"/>
        <rFont val="Calibri"/>
      </rPr>
      <t xml:space="preserve">
</t>
    </r>
    <r>
      <rPr>
        <sz val="11"/>
        <color rgb="FF000000"/>
        <rFont val="Calibri"/>
      </rPr>
      <t>-OR-</t>
    </r>
    <r>
      <rPr>
        <sz val="11"/>
        <color rgb="FF000000"/>
        <rFont val="Calibri"/>
      </rPr>
      <t xml:space="preserve">
</t>
    </r>
    <r>
      <rPr>
        <sz val="11"/>
        <color rgb="FF000000"/>
        <rFont val="Calibri"/>
      </rPr>
      <t>host &lt;syslog server address&gt; {</t>
    </r>
    <r>
      <rPr>
        <sz val="11"/>
        <color rgb="FF000000"/>
        <rFont val="Calibri"/>
      </rPr>
      <t xml:space="preserve">
</t>
    </r>
    <r>
      <rPr>
        <sz val="11"/>
        <color rgb="FF000000"/>
        <rFont val="Calibri"/>
      </rPr>
      <t xml:space="preserve">  change-log &lt;info | any&gt;;</t>
    </r>
    <r>
      <rPr>
        <sz val="11"/>
        <color rgb="FF000000"/>
        <rFont val="Calibri"/>
      </rPr>
      <t xml:space="preserve">
</t>
    </r>
    <r>
      <rPr>
        <sz val="11"/>
        <color rgb="FF000000"/>
        <rFont val="Calibri"/>
      </rPr>
      <t xml:space="preserve">  source-address &lt;device address&gt;;</t>
    </r>
    <r>
      <rPr>
        <sz val="11"/>
        <color rgb="FF000000"/>
        <rFont val="Calibri"/>
      </rPr>
      <t xml:space="preserve">
</t>
    </r>
    <r>
      <rPr>
        <sz val="11"/>
        <color rgb="FF000000"/>
        <rFont val="Calibri"/>
      </rPr>
      <t>}</t>
    </r>
    <r>
      <rPr>
        <sz val="11"/>
        <color rgb="FF000000"/>
        <rFont val="Calibri"/>
      </rPr>
      <t xml:space="preserve">
</t>
    </r>
    <r>
      <rPr>
        <sz val="11"/>
        <color rgb="FF000000"/>
        <rFont val="Calibri"/>
      </rPr>
      <t>If an external syslog host is not configured to log facility change-log severity &lt;info | any&gt;, or configured for facility any severity &lt;info | any&gt;, this is a finding.</t>
    </r>
  </si>
  <si>
    <t>V-223182</t>
  </si>
  <si>
    <r>
      <rPr>
        <sz val="11"/>
        <rFont val="Calibri"/>
      </rPr>
      <t>For local accounts created on the device, the Juniper SRX Services Gateway must automatically generate log records for account modification events.</t>
    </r>
  </si>
  <si>
    <r>
      <rPr>
        <sz val="11"/>
        <color rgb="FF000000"/>
        <rFont val="Calibri"/>
      </rPr>
      <t>Upon gaining access to a network device, an attacker will often first attempt to modify existing accounts to increase/decrease privileges. Notification of account modification events help to mitigate this risk. Auditing account modification events provides the necessary reconciliation that account management procedures are being followed. Without this audit trail, personnel without the proper authorization may gain access to critical network nodes.</t>
    </r>
    <r>
      <rPr>
        <sz val="11"/>
        <color rgb="FF000000"/>
        <rFont val="Calibri"/>
      </rPr>
      <t xml:space="preserve">
</t>
    </r>
    <r>
      <rPr>
        <sz val="11"/>
        <color rgb="FF000000"/>
        <rFont val="Calibri"/>
      </rPr>
      <t>An AAA server is required for account management in accordance with CCI-000370. Only a single account of last resort is permitted on the local device. However, since it is still possible for administrators to create local accounts either maliciously or to support mission needs, the SRX must be configured to log account management events.</t>
    </r>
    <r>
      <rPr>
        <sz val="11"/>
        <color rgb="FF000000"/>
        <rFont val="Calibri"/>
      </rPr>
      <t xml:space="preserve">
</t>
    </r>
    <r>
      <rPr>
        <sz val="11"/>
        <color rgb="FF000000"/>
        <rFont val="Calibri"/>
      </rPr>
      <t>To log local account management events, ensure at least one external syslog server is configured to log facility any or facility change-log, and severity info or severity any.</t>
    </r>
  </si>
  <si>
    <t>V-223183</t>
  </si>
  <si>
    <r>
      <rPr>
        <sz val="11"/>
        <rFont val="Calibri"/>
      </rPr>
      <t>For local accounts created on the device, the Juniper SRX Services Gateway must automatically generate log records for account disabling events.</t>
    </r>
  </si>
  <si>
    <r>
      <rPr>
        <sz val="11"/>
        <color rgb="FF000000"/>
        <rFont val="Calibri"/>
      </rPr>
      <t>When device management accounts are disabled, user or service accessibility may be affected. Auditing also ensures authorized, active accounts remain enabled and available for use when required. Without this audit trail, personnel without the proper authorization may gain access to critical network nodes.</t>
    </r>
    <r>
      <rPr>
        <sz val="11"/>
        <color rgb="FF000000"/>
        <rFont val="Calibri"/>
      </rPr>
      <t xml:space="preserve">
</t>
    </r>
    <r>
      <rPr>
        <sz val="11"/>
        <color rgb="FF000000"/>
        <rFont val="Calibri"/>
      </rPr>
      <t>An AAA server is required for account management in accordance with CCI-000370. Only a single account of last resort is permitted on the local device. However, since it is still possible for administrators to create local accounts either maliciously or to support mission needs, the SRX must be configured to log account management events.</t>
    </r>
    <r>
      <rPr>
        <sz val="11"/>
        <color rgb="FF000000"/>
        <rFont val="Calibri"/>
      </rPr>
      <t xml:space="preserve">
</t>
    </r>
    <r>
      <rPr>
        <sz val="11"/>
        <color rgb="FF000000"/>
        <rFont val="Calibri"/>
      </rPr>
      <t>To log local account management events, ensure at least one external syslog server is configured to log facility any or facility change-log, and severity info or severity any.</t>
    </r>
  </si>
  <si>
    <t>V-223184</t>
  </si>
  <si>
    <r>
      <rPr>
        <sz val="11"/>
        <rFont val="Calibri"/>
      </rPr>
      <t>For local accounts created on the device, the Juniper SRX Services Gateway must automatically generate log records for account removal events.</t>
    </r>
  </si>
  <si>
    <r>
      <rPr>
        <sz val="11"/>
        <color rgb="FF000000"/>
        <rFont val="Calibri"/>
      </rPr>
      <t>Auditing account removal actions will support account management procedures. When device management accounts are terminated, user or service accessibility may be affected. Auditing also ensures authorized active accounts remain enabled and available for use when required. Without this audit trail, personnel without the proper authorization may gain access to critical network nodes.</t>
    </r>
    <r>
      <rPr>
        <sz val="11"/>
        <color rgb="FF000000"/>
        <rFont val="Calibri"/>
      </rPr>
      <t xml:space="preserve">
</t>
    </r>
    <r>
      <rPr>
        <sz val="11"/>
        <color rgb="FF000000"/>
        <rFont val="Calibri"/>
      </rPr>
      <t>An AAA server is required for account management in accordance with CCI-000370. Only a single account of last resort is permitted on the local device. However, since it is still possible for administrators to create local accounts either maliciously or to support mission needs, the SRX must be configured to log account management events.</t>
    </r>
    <r>
      <rPr>
        <sz val="11"/>
        <color rgb="FF000000"/>
        <rFont val="Calibri"/>
      </rPr>
      <t xml:space="preserve">
</t>
    </r>
    <r>
      <rPr>
        <sz val="11"/>
        <color rgb="FF000000"/>
        <rFont val="Calibri"/>
      </rPr>
      <t>To log local account management events, ensure at least one external syslog server is configured to log facility any or facility change-log, and severity info or severity any.</t>
    </r>
  </si>
  <si>
    <t>V-223185</t>
  </si>
  <si>
    <r>
      <rPr>
        <sz val="11"/>
        <rFont val="Calibri"/>
      </rPr>
      <t>The Juniper SRX Services Gateway must automatically generate a log event when accounts are enabled.</t>
    </r>
  </si>
  <si>
    <r>
      <rPr>
        <sz val="11"/>
        <color rgb="FF000000"/>
        <rFont val="Calibri"/>
      </rPr>
      <t>The following commands configure the device to immediately display a message to any currently logged on administrator's console when changes are made to the configuration.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syslog host &lt;IP-syslog-server&gt; any any</t>
    </r>
    <r>
      <rPr>
        <sz val="11"/>
        <color rgb="FF000000"/>
        <rFont val="Calibri"/>
      </rPr>
      <t xml:space="preserve">
</t>
    </r>
    <r>
      <rPr>
        <sz val="11"/>
        <color rgb="FF000000"/>
        <rFont val="Calibri"/>
      </rPr>
      <t>set system syslog file account-actions change-log any any</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</si>
  <si>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Information System Security Officers (ISSO).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Accounts can be disabled by configuring the account with the build-in login class "unauthorized". When the command is reissued with a different login class, the account is enabled.</t>
    </r>
  </si>
  <si>
    <r>
      <rPr>
        <sz val="11"/>
        <color rgb="FF000000"/>
        <rFont val="Calibri"/>
      </rPr>
      <t>Verify the device is configured to display change-log events of severity info.</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the system is not configured to generate a log record when account enabling actions occur, this is a finding.</t>
    </r>
  </si>
  <si>
    <t>V-223186</t>
  </si>
  <si>
    <r>
      <rPr>
        <sz val="11"/>
        <rFont val="Calibri"/>
      </rPr>
      <t>The Juniper SRX Services Gateway must enforce the assigned privilege level for each administrator and authorizations for access to all commands by assigning a login class to all AAA-authenticated users.</t>
    </r>
  </si>
  <si>
    <r>
      <rPr>
        <sz val="11"/>
        <color rgb="FF000000"/>
        <rFont val="Calibri"/>
      </rPr>
      <t xml:space="preserve">User accounts, including the account of last resort must be assigned to a login class. </t>
    </r>
    <r>
      <rPr>
        <sz val="11"/>
        <color rgb="FF000000"/>
        <rFont val="Calibri"/>
      </rPr>
      <t xml:space="preserve">
</t>
    </r>
    <r>
      <rPr>
        <sz val="11"/>
        <color rgb="FF000000"/>
        <rFont val="Calibri"/>
      </rPr>
      <t>Configure the class parameters and privileges.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class &lt;class name&gt; idle-timeout 10</t>
    </r>
    <r>
      <rPr>
        <sz val="11"/>
        <color rgb="FF000000"/>
        <rFont val="Calibri"/>
      </rPr>
      <t xml:space="preserve">
</t>
    </r>
    <r>
      <rPr>
        <sz val="11"/>
        <color rgb="FF000000"/>
        <rFont val="Calibri"/>
      </rPr>
      <t>set system login class &lt;class name&gt; permissions &lt;appropriate permissions&gt;</t>
    </r>
    <r>
      <rPr>
        <sz val="11"/>
        <color rgb="FF000000"/>
        <rFont val="Calibri"/>
      </rPr>
      <t xml:space="preserve">
</t>
    </r>
    <r>
      <rPr>
        <sz val="11"/>
        <color rgb="FF000000"/>
        <rFont val="Calibri"/>
      </rPr>
      <t>Commit for the changes to take effect.</t>
    </r>
    <r>
      <rPr>
        <sz val="11"/>
        <color rgb="FF000000"/>
        <rFont val="Calibri"/>
      </rPr>
      <t xml:space="preserve">
</t>
    </r>
    <r>
      <rPr>
        <sz val="11"/>
        <color rgb="FF000000"/>
        <rFont val="Calibri"/>
      </rPr>
      <t>Create and configure template user (s).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user &lt;template account name&gt; login-class &lt;appropriate class&gt;</t>
    </r>
    <r>
      <rPr>
        <sz val="11"/>
        <color rgb="FF000000"/>
        <rFont val="Calibri"/>
      </rPr>
      <t xml:space="preserve">
</t>
    </r>
    <r>
      <rPr>
        <sz val="11"/>
        <color rgb="FF000000"/>
        <rFont val="Calibri"/>
      </rPr>
      <t>Note: Junos does not permit account creation without login-class assignment.</t>
    </r>
    <r>
      <rPr>
        <sz val="11"/>
        <color rgb="FF000000"/>
        <rFont val="Calibri"/>
      </rPr>
      <t xml:space="preserve">
</t>
    </r>
    <r>
      <rPr>
        <sz val="11"/>
        <color rgb="FF000000"/>
        <rFont val="Calibri"/>
      </rPr>
      <t>Note: There are 4 pre-defined classes which should not be uses used for &lt;class name&gt;: Super-user, Operator, Read-only, and unauthorized. However, the Unauthorized class may be used for the remote user account to prevent logins from externally-authenticated users when a VSA is not returned from the AAA server.</t>
    </r>
  </si>
  <si>
    <r>
      <rPr>
        <sz val="11"/>
        <color rgb="FF000000"/>
        <rFont val="Calibri"/>
      </rPr>
      <t xml:space="preserve">To mitigate the risk of unauthorized privileged access to the device, administrators must be assigned only the privileges needed to perform the tasked assigned to their roles. </t>
    </r>
    <r>
      <rPr>
        <sz val="11"/>
        <color rgb="FF000000"/>
        <rFont val="Calibri"/>
      </rPr>
      <t xml:space="preserve">
</t>
    </r>
    <r>
      <rPr>
        <sz val="11"/>
        <color rgb="FF000000"/>
        <rFont val="Calibri"/>
      </rPr>
      <t>Although use of an AAA server is required for non-local access for device management, the SRX must also be configured to implement the corresponding privileges upon user login. Each externally authenticated user is assigned a template that maps to a configured login class.</t>
    </r>
    <r>
      <rPr>
        <sz val="11"/>
        <color rgb="FF000000"/>
        <rFont val="Calibri"/>
      </rPr>
      <t xml:space="preserve">
</t>
    </r>
    <r>
      <rPr>
        <sz val="11"/>
        <color rgb="FF000000"/>
        <rFont val="Calibri"/>
      </rPr>
      <t>AAA servers are usually configured to send a Vendor Specific Attribute (VSA) to the Juniper SRX. The device uses this information to determine the login class to assign to the authenticated user. Unless a VSA is returned from the AAA server, externally-authenticated users are mapped to the “remote” user by default. Remote user is a special default account in Junos OS. If this default account, or another designated remote user account, is not configured, then only externally-authenticated users with a returned VSA of a local template account are permitted login. If the remote user is configured, all externally-authenticated users without a returned VSA default to the remote user account's configured login class. All externally-authenticated users with a returned VSA inherit the login class configured for each respective template account.</t>
    </r>
    <r>
      <rPr>
        <sz val="11"/>
        <color rgb="FF000000"/>
        <rFont val="Calibri"/>
      </rPr>
      <t xml:space="preserve">
</t>
    </r>
    <r>
      <rPr>
        <sz val="11"/>
        <color rgb="FF000000"/>
        <rFont val="Calibri"/>
      </rPr>
      <t>Junos OS provides four built-in login classes: super-user (all permissions), operator (limited permissions), read-only (no change permissions), and unauthorized (prohibits login). Because these classes are not configurable by the system administrator, they should not be used except for the unauthorized class which may be used for the remote user to deterministically prohibit logins from externally-authenticated users without a returned VSA. Therefore, all template user accounts, and the local account of last resort, should use custom, user-defined, login classes.</t>
    </r>
    <r>
      <rPr>
        <sz val="11"/>
        <color rgb="FF000000"/>
        <rFont val="Calibri"/>
      </rPr>
      <t xml:space="preserve">
</t>
    </r>
    <r>
      <rPr>
        <sz val="11"/>
        <color rgb="FF000000"/>
        <rFont val="Calibri"/>
      </rPr>
      <t>Externally-authenticated users maintain two account names in Junos OS: the user and login names. The user name is the local template account name and the login name is the authenticated user’s external account name. Junos OS links the names to determine permissions, based upon login class, but uses the external account name for logging. Doing so permits multiple, individually-authenticated users, to be mapped to the same template account, and therefore enforce uniform permissions for each group of administrators, while also attributing any logged changes to the appropriate individual user.</t>
    </r>
    <r>
      <rPr>
        <sz val="11"/>
        <color rgb="FF000000"/>
        <rFont val="Calibri"/>
      </rPr>
      <t xml:space="preserve">
</t>
    </r>
    <r>
      <rPr>
        <sz val="11"/>
        <color rgb="FF000000"/>
        <rFont val="Calibri"/>
      </rPr>
      <t>Template accounts are differentiated from local accounts by the presence of an authentication stanza; only the local account of last resort should have an authentication stanza.</t>
    </r>
  </si>
  <si>
    <r>
      <rPr>
        <sz val="11"/>
        <color rgb="FF000000"/>
        <rFont val="Calibri"/>
      </rPr>
      <t>Verify all accounts are assigned a user-defined (not built-in) login class with appropriate permissions configured. If the remote user is configured, it may have a user-defined, or the built-in unauthorized login class.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t>
    </r>
    <r>
      <rPr>
        <sz val="11"/>
        <color rgb="FF000000"/>
        <rFont val="Calibri"/>
      </rPr>
      <t xml:space="preserve">
</t>
    </r>
    <r>
      <rPr>
        <sz val="11"/>
        <color rgb="FF000000"/>
        <rFont val="Calibri"/>
      </rPr>
      <t xml:space="preserve"> Junos OS supports groups, which are centrally located snippets of code. This allows common configuration to be applied at one or more hierarchy levels without requiring duplicated stanzas. If there are no login-classes defined at [edit system login], then check for an apply-groups statement and verify appropriate configuration at the [edit groups] level.</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groups</t>
    </r>
    <r>
      <rPr>
        <sz val="11"/>
        <color rgb="FF000000"/>
        <rFont val="Calibri"/>
      </rPr>
      <t xml:space="preserve">
</t>
    </r>
    <r>
      <rPr>
        <sz val="11"/>
        <color rgb="FF000000"/>
        <rFont val="Calibri"/>
      </rPr>
      <t>If one or more account templates are not defined with an appropriate login class, this is a finding.</t>
    </r>
    <r>
      <rPr>
        <sz val="11"/>
        <color rgb="FF000000"/>
        <rFont val="Calibri"/>
      </rPr>
      <t xml:space="preserve">
</t>
    </r>
    <r>
      <rPr>
        <sz val="11"/>
        <color rgb="FF000000"/>
        <rFont val="Calibri"/>
      </rPr>
      <t>If more than one local account has an authentication stanza and is not documented, this is a finding.</t>
    </r>
    <r>
      <rPr>
        <sz val="11"/>
        <color rgb="FF000000"/>
        <rFont val="Calibri"/>
      </rPr>
      <t xml:space="preserve">
</t>
    </r>
    <r>
      <rPr>
        <sz val="11"/>
        <color rgb="FF000000"/>
        <rFont val="Calibri"/>
      </rPr>
      <t>Note: Template accounts are differentiated from local accounts by the presence of an authentication stanza.</t>
    </r>
  </si>
  <si>
    <t>V-223187</t>
  </si>
  <si>
    <r>
      <rPr>
        <sz val="11"/>
        <rFont val="Calibri"/>
      </rPr>
      <t>The Juniper SRX Services Gateway must generate a log event when privileged commands are executed.</t>
    </r>
  </si>
  <si>
    <r>
      <rPr>
        <sz val="11"/>
        <color rgb="FF000000"/>
        <rFont val="Calibri"/>
      </rPr>
      <t xml:space="preserve">Along with the other commands that constitute a complete DoD syslog configuration, the following command must be ensure privileged commands are sent to the Syslog Server.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syslog host &lt;IP-syslog-server&gt; any any</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</si>
  <si>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All commands executed on the Juniper SRX are privileged commands. Thus, this requirement is configured using the same syslog command as CCI-000172.</t>
    </r>
  </si>
  <si>
    <r>
      <rPr>
        <sz val="11"/>
        <color rgb="FF000000"/>
        <rFont val="Calibri"/>
      </rPr>
      <t>Verify the device generates a log event when privileged commands are executed.</t>
    </r>
    <r>
      <rPr>
        <sz val="11"/>
        <color rgb="FF000000"/>
        <rFont val="Calibri"/>
      </rPr>
      <t xml:space="preserve">
</t>
    </r>
    <r>
      <rPr>
        <sz val="11"/>
        <color rgb="FF000000"/>
        <rFont val="Calibri"/>
      </rPr>
      <t xml:space="preserve">[edit] </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a valid syslog host server and the syslog file names are not configured to capture "any" facility and "any" event, this is a finding.</t>
    </r>
  </si>
  <si>
    <t>V-223188</t>
  </si>
  <si>
    <r>
      <rPr>
        <sz val="11"/>
        <rFont val="Calibri"/>
      </rPr>
      <t>For local accounts created on the device, the Juniper SRX Services Gateway must enforce the limit of three consecutive invalid logon attempts by a user during a 15-minute time period.</t>
    </r>
  </si>
  <si>
    <r>
      <rPr>
        <sz val="11"/>
        <color rgb="FF000000"/>
        <rFont val="Calibri"/>
      </rPr>
      <t>Configure the number of unsuccessful logon attempts for all login account, globally.</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retry-options tries-before-disconnect 3</t>
    </r>
  </si>
  <si>
    <r>
      <rPr>
        <sz val="11"/>
        <color rgb="FF000000"/>
        <rFont val="Calibri"/>
      </rPr>
      <t>By limiting the number of failed logon attempts, the risk of unauthorized system access via user password guessing, otherwise known as brute-forcing, is reduced.</t>
    </r>
    <r>
      <rPr>
        <sz val="11"/>
        <color rgb="FF000000"/>
        <rFont val="Calibri"/>
      </rPr>
      <t xml:space="preserve">
</t>
    </r>
    <r>
      <rPr>
        <sz val="11"/>
        <color rgb="FF000000"/>
        <rFont val="Calibri"/>
      </rPr>
      <t>Juniper SRX is unable to comply with the 15-minute time period part of this control.</t>
    </r>
  </si>
  <si>
    <r>
      <rPr>
        <sz val="11"/>
        <color rgb="FF000000"/>
        <rFont val="Calibri"/>
      </rPr>
      <t>Verify the number of unsuccessful logon attempts is set to 3.</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show system login retry-options </t>
    </r>
    <r>
      <rPr>
        <sz val="11"/>
        <color rgb="FF000000"/>
        <rFont val="Calibri"/>
      </rPr>
      <t xml:space="preserve">
</t>
    </r>
    <r>
      <rPr>
        <sz val="11"/>
        <color rgb="FF000000"/>
        <rFont val="Calibri"/>
      </rPr>
      <t>If the number of unsuccessful logon attempts is not set to 3, this is a finding.</t>
    </r>
  </si>
  <si>
    <t>V-223189</t>
  </si>
  <si>
    <r>
      <rPr>
        <sz val="11"/>
        <rFont val="Calibri"/>
      </rPr>
      <t>The Juniper SRX Services Gateway must display the Standard Mandatory DoD Notice and Consent Banner before granting access.</t>
    </r>
  </si>
  <si>
    <r>
      <rPr>
        <sz val="11"/>
        <color rgb="FF000000"/>
        <rFont val="Calibri"/>
      </rPr>
      <t>To configure a system login message, include the message statement at the [edit] hierarchy level.</t>
    </r>
    <r>
      <rPr>
        <sz val="11"/>
        <color rgb="FF000000"/>
        <rFont val="Calibri"/>
      </rPr>
      <t xml:space="preserve">
</t>
    </r>
    <r>
      <rPr>
        <sz val="11"/>
        <color rgb="FF000000"/>
        <rFont val="Calibri"/>
      </rPr>
      <t>This is the approved verbiage for applications that can accommodate banners of 1300 characters: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message "You are accessing a U.S. Government (USG) Information System (IS) that is provided for USG-authorized use only.\by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details.\n\n"</t>
    </r>
    <r>
      <rPr>
        <sz val="11"/>
        <color rgb="FF000000"/>
        <rFont val="Calibri"/>
      </rPr>
      <t xml:space="preserve">
</t>
    </r>
    <r>
      <rPr>
        <sz val="11"/>
        <color rgb="FF000000"/>
        <rFont val="Calibri"/>
      </rPr>
      <t>OR</t>
    </r>
    <r>
      <rPr>
        <sz val="11"/>
        <color rgb="FF000000"/>
        <rFont val="Calibri"/>
      </rPr>
      <t xml:space="preserve">
</t>
    </r>
    <r>
      <rPr>
        <sz val="11"/>
        <color rgb="FF000000"/>
        <rFont val="Calibri"/>
      </rPr>
      <t>[edit]</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set system login message "I've read &amp; consent to terms in IS user agreem't&gt;\n\n"</t>
    </r>
    <r>
      <rPr>
        <sz val="11"/>
        <color rgb="FF000000"/>
        <rFont val="Calibri"/>
      </rPr>
      <t xml:space="preserve">
</t>
    </r>
    <r>
      <rPr>
        <sz val="11"/>
        <color rgb="FF000000"/>
        <rFont val="Calibri"/>
      </rPr>
      <t>Note: Use \n to insert a line between paragraphs where needed.</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</si>
  <si>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r>
      <rPr>
        <sz val="11"/>
        <color rgb="FF000000"/>
        <rFont val="Calibri"/>
      </rPr>
      <t xml:space="preserve">
</t>
    </r>
    <r>
      <rPr>
        <sz val="11"/>
        <color rgb="FF000000"/>
        <rFont val="Calibri"/>
      </rPr>
      <t>The Standard Mandatory DoD Notice and Consent Banner must be displayed before the user has been authenticated.</t>
    </r>
  </si>
  <si>
    <r>
      <rPr>
        <sz val="11"/>
        <color rgb="FF000000"/>
        <rFont val="Calibri"/>
      </rPr>
      <t>Verify the Standard Mandatory DoD Notice and Consent Banner is displayed before the user has been authenticated either locally or by the AAA server by typing the following command at the [edit system login] hierarchy level.</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 message</t>
    </r>
    <r>
      <rPr>
        <sz val="11"/>
        <color rgb="FF000000"/>
        <rFont val="Calibri"/>
      </rPr>
      <t xml:space="preserve">
</t>
    </r>
    <r>
      <rPr>
        <sz val="11"/>
        <color rgb="FF000000"/>
        <rFont val="Calibri"/>
      </rPr>
      <t>If the Standard Mandatory DoD Notice and Consent Banner is not displayed before the user has been authenticated, this is a finding.</t>
    </r>
  </si>
  <si>
    <t>V-223191</t>
  </si>
  <si>
    <r>
      <rPr>
        <sz val="11"/>
        <rFont val="Calibri"/>
      </rPr>
      <t>The Juniper SRX Services Gateway must generate log records when successful attempts to configure the device and use commands occur.</t>
    </r>
  </si>
  <si>
    <r>
      <rPr>
        <sz val="11"/>
        <color rgb="FF000000"/>
        <rFont val="Calibri"/>
      </rPr>
      <t xml:space="preserve">The following example commands configure Syslog and local backup files to capture DoD-defined auditable events.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syslog user * any emergency</t>
    </r>
    <r>
      <rPr>
        <sz val="11"/>
        <color rgb="FF000000"/>
        <rFont val="Calibri"/>
      </rPr>
      <t xml:space="preserve">
</t>
    </r>
    <r>
      <rPr>
        <sz val="11"/>
        <color rgb="FF000000"/>
        <rFont val="Calibri"/>
      </rPr>
      <t>set system syslog host &lt;IP-syslog-server&gt; any any</t>
    </r>
    <r>
      <rPr>
        <sz val="11"/>
        <color rgb="FF000000"/>
        <rFont val="Calibri"/>
      </rPr>
      <t xml:space="preserve">
</t>
    </r>
    <r>
      <rPr>
        <sz val="11"/>
        <color rgb="FF000000"/>
        <rFont val="Calibri"/>
      </rPr>
      <t>set system syslog host &lt;IP-syslog-server&gt; source-address &lt;MGT-IP-Address&gt;</t>
    </r>
    <r>
      <rPr>
        <sz val="11"/>
        <color rgb="FF000000"/>
        <rFont val="Calibri"/>
      </rPr>
      <t xml:space="preserve">
</t>
    </r>
    <r>
      <rPr>
        <sz val="11"/>
        <color rgb="FF000000"/>
        <rFont val="Calibri"/>
      </rPr>
      <t>set system syslog host &lt;IP-syslog-server&gt; log-prefix &lt;host-name&gt;</t>
    </r>
    <r>
      <rPr>
        <sz val="11"/>
        <color rgb="FF000000"/>
        <rFont val="Calibri"/>
      </rPr>
      <t xml:space="preserve">
</t>
    </r>
    <r>
      <rPr>
        <sz val="11"/>
        <color rgb="FF000000"/>
        <rFont val="Calibri"/>
      </rPr>
      <t>set system syslog file messages any info</t>
    </r>
    <r>
      <rPr>
        <sz val="11"/>
        <color rgb="FF000000"/>
        <rFont val="Calibri"/>
      </rPr>
      <t xml:space="preserve">
</t>
    </r>
    <r>
      <rPr>
        <sz val="11"/>
        <color rgb="FF000000"/>
        <rFont val="Calibri"/>
      </rPr>
      <t>set system syslog file messages authorization none</t>
    </r>
    <r>
      <rPr>
        <sz val="11"/>
        <color rgb="FF000000"/>
        <rFont val="Calibri"/>
      </rPr>
      <t xml:space="preserve">
</t>
    </r>
    <r>
      <rPr>
        <sz val="11"/>
        <color rgb="FF000000"/>
        <rFont val="Calibri"/>
      </rPr>
      <t xml:space="preserve">set system syslog file messages interactive-commands none </t>
    </r>
    <r>
      <rPr>
        <sz val="11"/>
        <color rgb="FF000000"/>
        <rFont val="Calibri"/>
      </rPr>
      <t xml:space="preserve">
</t>
    </r>
    <r>
      <rPr>
        <sz val="11"/>
        <color rgb="FF000000"/>
        <rFont val="Calibri"/>
      </rPr>
      <t xml:space="preserve">set system syslog file messages daemon none </t>
    </r>
    <r>
      <rPr>
        <sz val="11"/>
        <color rgb="FF000000"/>
        <rFont val="Calibri"/>
      </rPr>
      <t xml:space="preserve">
</t>
    </r>
    <r>
      <rPr>
        <sz val="11"/>
        <color rgb="FF000000"/>
        <rFont val="Calibri"/>
      </rPr>
      <t>set system syslog file User-Auth authorization any</t>
    </r>
    <r>
      <rPr>
        <sz val="11"/>
        <color rgb="FF000000"/>
        <rFont val="Calibri"/>
      </rPr>
      <t xml:space="preserve">
</t>
    </r>
    <r>
      <rPr>
        <sz val="11"/>
        <color rgb="FF000000"/>
        <rFont val="Calibri"/>
      </rPr>
      <t>set system syslog file interactive-commands interactive-commands any</t>
    </r>
    <r>
      <rPr>
        <sz val="11"/>
        <color rgb="FF000000"/>
        <rFont val="Calibri"/>
      </rPr>
      <t xml:space="preserve">
</t>
    </r>
    <r>
      <rPr>
        <sz val="11"/>
        <color rgb="FF000000"/>
        <rFont val="Calibri"/>
      </rPr>
      <t>set system syslog file processes daemon any</t>
    </r>
    <r>
      <rPr>
        <sz val="11"/>
        <color rgb="FF000000"/>
        <rFont val="Calibri"/>
      </rPr>
      <t xml:space="preserve">
</t>
    </r>
    <r>
      <rPr>
        <sz val="11"/>
        <color rgb="FF000000"/>
        <rFont val="Calibri"/>
      </rPr>
      <t>set system syslog file account-actions change-log any any</t>
    </r>
    <r>
      <rPr>
        <sz val="11"/>
        <color rgb="FF000000"/>
        <rFont val="Calibri"/>
      </rPr>
      <t xml:space="preserve">
</t>
    </r>
    <r>
      <rPr>
        <sz val="11"/>
        <color rgb="FF000000"/>
        <rFont val="Calibri"/>
      </rPr>
      <t>set file account-actions match “system login user”</t>
    </r>
    <r>
      <rPr>
        <sz val="11"/>
        <color rgb="FF000000"/>
        <rFont val="Calibri"/>
      </rPr>
      <t xml:space="preserve">
</t>
    </r>
    <r>
      <rPr>
        <sz val="11"/>
        <color rgb="FF000000"/>
        <rFont val="Calibri"/>
      </rPr>
      <t>set system syslog console any any</t>
    </r>
  </si>
  <si>
    <r>
      <rPr>
        <sz val="11"/>
        <color rgb="FF000000"/>
        <rFont val="Calibri"/>
      </rPr>
      <t xml:space="preserve">Without generating log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While the Juniper SRX inherently has the capability to generate log records, by default only the high facility levels are captured by default to local files. </t>
    </r>
    <r>
      <rPr>
        <sz val="11"/>
        <color rgb="FF000000"/>
        <rFont val="Calibri"/>
      </rPr>
      <t xml:space="preserve">
</t>
    </r>
    <r>
      <rPr>
        <sz val="11"/>
        <color rgb="FF000000"/>
        <rFont val="Calibri"/>
      </rPr>
      <t>Ensure at least one Syslog server and local files are configured to support requirements. However, the Syslog itself must also be configured to filter event records so it is not overwhelmed. A best practice when configuring the external Syslog server is to add similar log-prefixes to the log file names to help and researching of central Syslog server. Another best practice is to add a match condition to limit the recorded events to those containing the regular expression (REGEX).</t>
    </r>
  </si>
  <si>
    <r>
      <rPr>
        <sz val="11"/>
        <color rgb="FF000000"/>
        <rFont val="Calibri"/>
      </rPr>
      <t>Verify logging has been enabled and configured.</t>
    </r>
    <r>
      <rPr>
        <sz val="11"/>
        <color rgb="FF000000"/>
        <rFont val="Calibri"/>
      </rPr>
      <t xml:space="preserve">
</t>
    </r>
    <r>
      <rPr>
        <sz val="11"/>
        <color rgb="FF000000"/>
        <rFont val="Calibri"/>
      </rPr>
      <t xml:space="preserve">[edit] </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a valid syslog host server and the syslog file names are not configured to capture "any" facility and "any" event, this is a finding.</t>
    </r>
  </si>
  <si>
    <t>V-223192</t>
  </si>
  <si>
    <r>
      <rPr>
        <sz val="11"/>
        <rFont val="Calibri"/>
      </rPr>
      <t>The Juniper SRX Services Gateway must generate log records when changes are made to administrator privileges.</t>
    </r>
  </si>
  <si>
    <r>
      <rPr>
        <sz val="11"/>
        <color rgb="FF000000"/>
        <rFont val="Calibri"/>
      </rPr>
      <t>Without generating log records that are specific to the security and mission needs of the organization, it would be difficult to establish, correlate, and investigate the events relating to an incident or identify those responsible for one.</t>
    </r>
  </si>
  <si>
    <t>V-223193</t>
  </si>
  <si>
    <r>
      <rPr>
        <sz val="11"/>
        <rFont val="Calibri"/>
      </rPr>
      <t>The Juniper SRX Services Gateway must generate log records when administrator privileges are deleted.</t>
    </r>
  </si>
  <si>
    <t>V-223194</t>
  </si>
  <si>
    <r>
      <rPr>
        <sz val="11"/>
        <rFont val="Calibri"/>
      </rPr>
      <t>The Juniper SRX Services Gateway must generate log records when logon events occur.</t>
    </r>
  </si>
  <si>
    <r>
      <rPr>
        <sz val="11"/>
        <color rgb="FF000000"/>
        <rFont val="Calibri"/>
      </rPr>
      <t xml:space="preserve">Configure at least one external syslog host to log facility any and severity info or any. </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set host &lt;syslog server address&gt; any &lt;info | any&gt;</t>
    </r>
  </si>
  <si>
    <r>
      <rPr>
        <sz val="11"/>
        <color rgb="FF000000"/>
        <rFont val="Calibri"/>
      </rPr>
      <t>Verify the device generates a log when login events occur.</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host &lt;syslog server address&gt; {</t>
    </r>
    <r>
      <rPr>
        <sz val="11"/>
        <color rgb="FF000000"/>
        <rFont val="Calibri"/>
      </rPr>
      <t xml:space="preserve">
</t>
    </r>
    <r>
      <rPr>
        <sz val="11"/>
        <color rgb="FF000000"/>
        <rFont val="Calibri"/>
      </rPr>
      <t xml:space="preserve">  any &lt;info | any&gt;;</t>
    </r>
    <r>
      <rPr>
        <sz val="11"/>
        <color rgb="FF000000"/>
        <rFont val="Calibri"/>
      </rPr>
      <t xml:space="preserve">
</t>
    </r>
    <r>
      <rPr>
        <sz val="11"/>
        <color rgb="FF000000"/>
        <rFont val="Calibri"/>
      </rPr>
      <t xml:space="preserve">  source-address &lt;device address&gt;;</t>
    </r>
    <r>
      <rPr>
        <sz val="11"/>
        <color rgb="FF000000"/>
        <rFont val="Calibri"/>
      </rPr>
      <t xml:space="preserve">
</t>
    </r>
    <r>
      <rPr>
        <sz val="11"/>
        <color rgb="FF000000"/>
        <rFont val="Calibri"/>
      </rPr>
      <t>}</t>
    </r>
    <r>
      <rPr>
        <sz val="11"/>
        <color rgb="FF000000"/>
        <rFont val="Calibri"/>
      </rPr>
      <t xml:space="preserve">
</t>
    </r>
    <r>
      <rPr>
        <sz val="11"/>
        <color rgb="FF000000"/>
        <rFont val="Calibri"/>
      </rPr>
      <t>If an external syslog host is not configured to log, or configured for facility any severity &lt;info | any&gt;, this is a finding.</t>
    </r>
  </si>
  <si>
    <t>V-223195</t>
  </si>
  <si>
    <r>
      <rPr>
        <sz val="11"/>
        <rFont val="Calibri"/>
      </rPr>
      <t>The Juniper SRX Services Gateway must generate log records when privileged commands are executed.</t>
    </r>
  </si>
  <si>
    <r>
      <rPr>
        <sz val="11"/>
        <color rgb="FF000000"/>
        <rFont val="Calibri"/>
      </rPr>
      <t>Configure at least one external syslog host to log facility any and severity info or any. There are multiple ways to accomplish this, the following is an example.</t>
    </r>
    <r>
      <rPr>
        <sz val="11"/>
        <color rgb="FF000000"/>
        <rFont val="Calibri"/>
      </rPr>
      <t xml:space="preserve">
</t>
    </r>
    <r>
      <rPr>
        <sz val="11"/>
        <color rgb="FF000000"/>
        <rFont val="Calibri"/>
      </rPr>
      <t>[edit system syslog]</t>
    </r>
    <r>
      <rPr>
        <sz val="11"/>
        <color rgb="FF000000"/>
        <rFont val="Calibri"/>
      </rPr>
      <t xml:space="preserve">
</t>
    </r>
    <r>
      <rPr>
        <sz val="11"/>
        <color rgb="FF000000"/>
        <rFont val="Calibri"/>
      </rPr>
      <t>set host &lt;syslog server address&gt; any any</t>
    </r>
  </si>
  <si>
    <r>
      <rPr>
        <sz val="11"/>
        <color rgb="FF000000"/>
        <rFont val="Calibri"/>
      </rPr>
      <t>Verify the device generates a log when login events occur.</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host &lt;syslog server address&gt; {</t>
    </r>
    <r>
      <rPr>
        <sz val="11"/>
        <color rgb="FF000000"/>
        <rFont val="Calibri"/>
      </rPr>
      <t xml:space="preserve">
</t>
    </r>
    <r>
      <rPr>
        <sz val="11"/>
        <color rgb="FF000000"/>
        <rFont val="Calibri"/>
      </rPr>
      <t xml:space="preserve">  any any;</t>
    </r>
    <r>
      <rPr>
        <sz val="11"/>
        <color rgb="FF000000"/>
        <rFont val="Calibri"/>
      </rPr>
      <t xml:space="preserve">
</t>
    </r>
    <r>
      <rPr>
        <sz val="11"/>
        <color rgb="FF000000"/>
        <rFont val="Calibri"/>
      </rPr>
      <t xml:space="preserve">  source-address &lt;device address&gt;;</t>
    </r>
    <r>
      <rPr>
        <sz val="11"/>
        <color rgb="FF000000"/>
        <rFont val="Calibri"/>
      </rPr>
      <t xml:space="preserve">
</t>
    </r>
    <r>
      <rPr>
        <sz val="11"/>
        <color rgb="FF000000"/>
        <rFont val="Calibri"/>
      </rPr>
      <t>}</t>
    </r>
    <r>
      <rPr>
        <sz val="11"/>
        <color rgb="FF000000"/>
        <rFont val="Calibri"/>
      </rPr>
      <t xml:space="preserve">
</t>
    </r>
    <r>
      <rPr>
        <sz val="11"/>
        <color rgb="FF000000"/>
        <rFont val="Calibri"/>
      </rPr>
      <t>If an external syslog host is not configured to log, or configured for facility any severity any, this is a finding.</t>
    </r>
  </si>
  <si>
    <t>V-223196</t>
  </si>
  <si>
    <r>
      <rPr>
        <sz val="11"/>
        <rFont val="Calibri"/>
      </rPr>
      <t>The Juniper SRX Services Gateway must generate log records when concurrent logons from different workstations occur.</t>
    </r>
  </si>
  <si>
    <t>V-223197</t>
  </si>
  <si>
    <r>
      <rPr>
        <sz val="11"/>
        <rFont val="Calibri"/>
      </rPr>
      <t>The Juniper SRX Services Gateway must generate log records containing the full-text recording of privileged commands.</t>
    </r>
  </si>
  <si>
    <r>
      <rPr>
        <sz val="11"/>
        <color rgb="FF000000"/>
        <rFont val="Calibri"/>
      </rPr>
      <t xml:space="preserve">The following commands configure syslog to record any use of any command, including privileged commands. Configure Syslog and local backup files to capture DoD-defined auditable events.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syslog user * any emergency</t>
    </r>
    <r>
      <rPr>
        <sz val="11"/>
        <color rgb="FF000000"/>
        <rFont val="Calibri"/>
      </rPr>
      <t xml:space="preserve">
</t>
    </r>
    <r>
      <rPr>
        <sz val="11"/>
        <color rgb="FF000000"/>
        <rFont val="Calibri"/>
      </rPr>
      <t>set system syslog host &lt;IP-syslog-server&gt; any any</t>
    </r>
    <r>
      <rPr>
        <sz val="11"/>
        <color rgb="FF000000"/>
        <rFont val="Calibri"/>
      </rPr>
      <t xml:space="preserve">
</t>
    </r>
    <r>
      <rPr>
        <sz val="11"/>
        <color rgb="FF000000"/>
        <rFont val="Calibri"/>
      </rPr>
      <t>set system syslog host &lt;IP-syslog-server&gt; source-address &lt;MGT-IP-Address&gt;</t>
    </r>
    <r>
      <rPr>
        <sz val="11"/>
        <color rgb="FF000000"/>
        <rFont val="Calibri"/>
      </rPr>
      <t xml:space="preserve">
</t>
    </r>
    <r>
      <rPr>
        <sz val="11"/>
        <color rgb="FF000000"/>
        <rFont val="Calibri"/>
      </rPr>
      <t>set system syslog host &lt;IP-syslog-server&gt; log-prefix &lt;host-name&gt;</t>
    </r>
    <r>
      <rPr>
        <sz val="11"/>
        <color rgb="FF000000"/>
        <rFont val="Calibri"/>
      </rPr>
      <t xml:space="preserve">
</t>
    </r>
    <r>
      <rPr>
        <sz val="11"/>
        <color rgb="FF000000"/>
        <rFont val="Calibri"/>
      </rPr>
      <t>set system syslog file messages any info</t>
    </r>
    <r>
      <rPr>
        <sz val="11"/>
        <color rgb="FF000000"/>
        <rFont val="Calibri"/>
      </rPr>
      <t xml:space="preserve">
</t>
    </r>
    <r>
      <rPr>
        <sz val="11"/>
        <color rgb="FF000000"/>
        <rFont val="Calibri"/>
      </rPr>
      <t>set system syslog file messages authorization none</t>
    </r>
    <r>
      <rPr>
        <sz val="11"/>
        <color rgb="FF000000"/>
        <rFont val="Calibri"/>
      </rPr>
      <t xml:space="preserve">
</t>
    </r>
    <r>
      <rPr>
        <sz val="11"/>
        <color rgb="FF000000"/>
        <rFont val="Calibri"/>
      </rPr>
      <t xml:space="preserve">set system syslog file messages interactive-commands none </t>
    </r>
    <r>
      <rPr>
        <sz val="11"/>
        <color rgb="FF000000"/>
        <rFont val="Calibri"/>
      </rPr>
      <t xml:space="preserve">
</t>
    </r>
    <r>
      <rPr>
        <sz val="11"/>
        <color rgb="FF000000"/>
        <rFont val="Calibri"/>
      </rPr>
      <t xml:space="preserve">set system syslog file messages daemon none </t>
    </r>
    <r>
      <rPr>
        <sz val="11"/>
        <color rgb="FF000000"/>
        <rFont val="Calibri"/>
      </rPr>
      <t xml:space="preserve">
</t>
    </r>
    <r>
      <rPr>
        <sz val="11"/>
        <color rgb="FF000000"/>
        <rFont val="Calibri"/>
      </rPr>
      <t>set system syslog file User-Auth authorization any</t>
    </r>
    <r>
      <rPr>
        <sz val="11"/>
        <color rgb="FF000000"/>
        <rFont val="Calibri"/>
      </rPr>
      <t xml:space="preserve">
</t>
    </r>
    <r>
      <rPr>
        <sz val="11"/>
        <color rgb="FF000000"/>
        <rFont val="Calibri"/>
      </rPr>
      <t>set system syslog file interactive-commands interactive-commands any</t>
    </r>
    <r>
      <rPr>
        <sz val="11"/>
        <color rgb="FF000000"/>
        <rFont val="Calibri"/>
      </rPr>
      <t xml:space="preserve">
</t>
    </r>
    <r>
      <rPr>
        <sz val="11"/>
        <color rgb="FF000000"/>
        <rFont val="Calibri"/>
      </rPr>
      <t>set system syslog file processes daemon any</t>
    </r>
    <r>
      <rPr>
        <sz val="11"/>
        <color rgb="FF000000"/>
        <rFont val="Calibri"/>
      </rPr>
      <t xml:space="preserve">
</t>
    </r>
    <r>
      <rPr>
        <sz val="11"/>
        <color rgb="FF000000"/>
        <rFont val="Calibri"/>
      </rPr>
      <t>set system syslog file account-actions change-log any any</t>
    </r>
    <r>
      <rPr>
        <sz val="11"/>
        <color rgb="FF000000"/>
        <rFont val="Calibri"/>
      </rPr>
      <t xml:space="preserve">
</t>
    </r>
    <r>
      <rPr>
        <sz val="11"/>
        <color rgb="FF000000"/>
        <rFont val="Calibri"/>
      </rPr>
      <t>set file account-actions match “system login user”</t>
    </r>
    <r>
      <rPr>
        <sz val="11"/>
        <color rgb="FF000000"/>
        <rFont val="Calibri"/>
      </rPr>
      <t xml:space="preserve">
</t>
    </r>
    <r>
      <rPr>
        <sz val="11"/>
        <color rgb="FF000000"/>
        <rFont val="Calibri"/>
      </rPr>
      <t>set system syslog console any any</t>
    </r>
  </si>
  <si>
    <r>
      <rPr>
        <sz val="11"/>
        <color rgb="FF000000"/>
        <rFont val="Calibri"/>
      </rPr>
      <t xml:space="preserve">Reconstruction of harmful events or forensic analysis is not possible if log records do not contain enough information. </t>
    </r>
    <r>
      <rPr>
        <sz val="11"/>
        <color rgb="FF000000"/>
        <rFont val="Calibri"/>
      </rPr>
      <t xml:space="preserve">
</t>
    </r>
    <r>
      <rPr>
        <sz val="11"/>
        <color rgb="FF000000"/>
        <rFont val="Calibri"/>
      </rPr>
      <t xml:space="preserve">Organizations consider limiting the additional audit information to only that information explicitly needed for specific audit requirements. The organization must maintain audit trails in sufficient detail to reconstruct events to determine the cause and impact of compromise. </t>
    </r>
    <r>
      <rPr>
        <sz val="11"/>
        <color rgb="FF000000"/>
        <rFont val="Calibri"/>
      </rPr>
      <t xml:space="preserve">
</t>
    </r>
    <r>
      <rPr>
        <sz val="11"/>
        <color rgb="FF000000"/>
        <rFont val="Calibri"/>
      </rPr>
      <t xml:space="preserve">While the Juniper SRX inherently has the capability to generate log records, by default only the high facility levels are captured and only to local files. </t>
    </r>
    <r>
      <rPr>
        <sz val="11"/>
        <color rgb="FF000000"/>
        <rFont val="Calibri"/>
      </rPr>
      <t xml:space="preserve">
</t>
    </r>
    <r>
      <rPr>
        <sz val="11"/>
        <color rgb="FF000000"/>
        <rFont val="Calibri"/>
      </rPr>
      <t>Ensure at least one Syslog server and local files are configured to support requirements. However, the Syslog itself must also be configured to filter event records so it is not overwhelmed. A best practice when configuring the external Syslog server is to add similar log-prefixes to the log file names to help and researching of central Syslog server. Another best practice is to add a match condition to limit the recorded events to those containing the regular expression (REGEX).</t>
    </r>
  </si>
  <si>
    <r>
      <rPr>
        <sz val="11"/>
        <color rgb="FF000000"/>
        <rFont val="Calibri"/>
      </rPr>
      <t>Verify logging has been enabled and configured.</t>
    </r>
    <r>
      <rPr>
        <sz val="11"/>
        <color rgb="FF000000"/>
        <rFont val="Calibri"/>
      </rPr>
      <t xml:space="preserve">
</t>
    </r>
    <r>
      <rPr>
        <sz val="11"/>
        <color rgb="FF000000"/>
        <rFont val="Calibri"/>
      </rPr>
      <t xml:space="preserve">[edit] </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at least one valid syslog host server and the syslog file names are not configured to capture "any" facility and "any" event, this is a finding.</t>
    </r>
  </si>
  <si>
    <t>V-223198</t>
  </si>
  <si>
    <r>
      <rPr>
        <sz val="11"/>
        <rFont val="Calibri"/>
      </rPr>
      <t>For local log files, the Juniper SRX Services Gateway must allocate log storage capacity in accordance with organization-defined log record storage requirements so that the log files do not grow to a size that causes operational issues.</t>
    </r>
  </si>
  <si>
    <r>
      <rPr>
        <sz val="11"/>
        <color rgb="FF000000"/>
        <rFont val="Calibri"/>
      </rPr>
      <t>Enter the following commands in the [edit system syslog] hierarchy.</t>
    </r>
    <r>
      <rPr>
        <sz val="11"/>
        <color rgb="FF000000"/>
        <rFont val="Calibri"/>
      </rPr>
      <t xml:space="preserve">
</t>
    </r>
    <r>
      <rPr>
        <sz val="11"/>
        <color rgb="FF000000"/>
        <rFont val="Calibri"/>
      </rPr>
      <t xml:space="preserve">[edit system syslog] </t>
    </r>
    <r>
      <rPr>
        <sz val="11"/>
        <color rgb="FF000000"/>
        <rFont val="Calibri"/>
      </rPr>
      <t xml:space="preserve">
</t>
    </r>
    <r>
      <rPr>
        <sz val="11"/>
        <color rgb="FF000000"/>
        <rFont val="Calibri"/>
      </rPr>
      <t>set file &lt;log filename&gt; any any archive size &lt;file size&gt; file &lt;number of archives&gt;</t>
    </r>
  </si>
  <si>
    <r>
      <rPr>
        <sz val="11"/>
        <color rgb="FF000000"/>
        <rFont val="Calibri"/>
      </rPr>
      <t xml:space="preserve">In order to ensure network devices have a sufficient storage capacity in which to write the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amount allocated for the organization-defined audit record storage requirement will depend on the amount of storage available on the network device, the anticipated volume of logs, and how long the logs are kept on the device. Since the Syslog is the primary audit log, the local log is not essential to keep archived for lengthy periods, thus the allocated space on the device should be low.</t>
    </r>
  </si>
  <si>
    <r>
      <rPr>
        <sz val="11"/>
        <color rgb="FF000000"/>
        <rFont val="Calibri"/>
      </rPr>
      <t>To verify the file size for the local system log is set.</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View the archive size setting of the local log files.</t>
    </r>
    <r>
      <rPr>
        <sz val="11"/>
        <color rgb="FF000000"/>
        <rFont val="Calibri"/>
      </rPr>
      <t xml:space="preserve">
</t>
    </r>
    <r>
      <rPr>
        <sz val="11"/>
        <color rgb="FF000000"/>
        <rFont val="Calibri"/>
      </rPr>
      <t>If all local log files are not set to an organizational-defined size, this is a finding.</t>
    </r>
  </si>
  <si>
    <t>V-223199</t>
  </si>
  <si>
    <r>
      <rPr>
        <sz val="11"/>
        <rFont val="Calibri"/>
      </rPr>
      <t>The Juniper SRX Services Gateway must generate an immediate system alert message to the management console when a log processing failure is detected.</t>
    </r>
  </si>
  <si>
    <r>
      <rPr>
        <sz val="11"/>
        <color rgb="FF000000"/>
        <rFont val="Calibri"/>
      </rPr>
      <t xml:space="preserve">The following commands configure syslog to immediately display any emergency level or daemon alert events to the management console. The message will display on any currently logged on administrator's console. This is an example method. Alerts must be sent immediately to the designated individuals (e.g., via Syslog configuration, SNMP trap, manned console message, or other events monitoring system).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syslog user * any emergency</t>
    </r>
    <r>
      <rPr>
        <sz val="11"/>
        <color rgb="FF000000"/>
        <rFont val="Calibri"/>
      </rPr>
      <t xml:space="preserve">
</t>
    </r>
    <r>
      <rPr>
        <sz val="11"/>
        <color rgb="FF000000"/>
        <rFont val="Calibri"/>
      </rPr>
      <t>set system syslog user * daemon alert</t>
    </r>
    <r>
      <rPr>
        <sz val="11"/>
        <color rgb="FF000000"/>
        <rFont val="Calibri"/>
      </rPr>
      <t xml:space="preserve">
</t>
    </r>
    <r>
      <rPr>
        <sz val="11"/>
        <color rgb="FF000000"/>
        <rFont val="Calibri"/>
      </rPr>
      <t>set system syslog user * daemon critical</t>
    </r>
  </si>
  <si>
    <r>
      <rPr>
        <sz val="11"/>
        <color rgb="FF000000"/>
        <rFont val="Calibri"/>
      </rPr>
      <t>It is critical for the appropriate personnel to be aware if a system is at risk of failing to process logs as required. Without an immediate alert for critical system issues,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Real-time alerts provide these messages at information technology speed (i.e., the time from event detection to alert occurs in seconds or less). Automated alerts can be conveyed in a variety of ways, including, for example, telephonically, via electronic mail, via text message, or via websites.</t>
    </r>
    <r>
      <rPr>
        <sz val="11"/>
        <color rgb="FF000000"/>
        <rFont val="Calibri"/>
      </rPr>
      <t xml:space="preserve">
</t>
    </r>
    <r>
      <rPr>
        <sz val="11"/>
        <color rgb="FF000000"/>
        <rFont val="Calibri"/>
      </rPr>
      <t xml:space="preserve">Alerts must be sent immediately to the designated individuals (e.g., via Syslog configuration, SNMP trap, manned console message, or other events monitoring system). </t>
    </r>
    <r>
      <rPr>
        <sz val="11"/>
        <color rgb="FF000000"/>
        <rFont val="Calibri"/>
      </rPr>
      <t xml:space="preserve">
</t>
    </r>
    <r>
      <rPr>
        <sz val="11"/>
        <color rgb="FF000000"/>
        <rFont val="Calibri"/>
      </rPr>
      <t>Log processing failures include software/hardware errors, failures in the log capturing mechanisms, and log storage capacity being reached or exceeded.</t>
    </r>
    <r>
      <rPr>
        <sz val="11"/>
        <color rgb="FF000000"/>
        <rFont val="Calibri"/>
      </rPr>
      <t xml:space="preserve">
</t>
    </r>
    <r>
      <rPr>
        <sz val="11"/>
        <color rgb="FF000000"/>
        <rFont val="Calibri"/>
      </rPr>
      <t>While this requirement also applies to the configuration of the event monitoring system (e.g., Syslog, Security Information and Event Management [SIEM], or SNMP servers), the Juniper SRX can also be configured to generate a message to the administrator console or send via email for immediate messages.</t>
    </r>
    <r>
      <rPr>
        <sz val="11"/>
        <color rgb="FF000000"/>
        <rFont val="Calibri"/>
      </rPr>
      <t xml:space="preserve">
</t>
    </r>
    <r>
      <rPr>
        <sz val="11"/>
        <color rgb="FF000000"/>
        <rFont val="Calibri"/>
      </rPr>
      <t>Syslog and SNMP trap events with a facility of "daemon" pertaining to errors encountered by system processes.</t>
    </r>
  </si>
  <si>
    <r>
      <rPr>
        <sz val="11"/>
        <color rgb="FF000000"/>
        <rFont val="Calibri"/>
      </rPr>
      <t>Verify the system Syslog has been configured to display an alert on the console for the emergency and critical levels of the daemon facility.</t>
    </r>
    <r>
      <rPr>
        <sz val="11"/>
        <color rgb="FF000000"/>
        <rFont val="Calibri"/>
      </rPr>
      <t xml:space="preserve">
</t>
    </r>
    <r>
      <rPr>
        <sz val="11"/>
        <color rgb="FF000000"/>
        <rFont val="Calibri"/>
      </rPr>
      <t xml:space="preserve">[edit] </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the system is not configured to generate a system alert message when a component failure is detected, this is a finding.</t>
    </r>
  </si>
  <si>
    <t>V-223201</t>
  </si>
  <si>
    <r>
      <rPr>
        <sz val="11"/>
        <rFont val="Calibri"/>
      </rPr>
      <t>The Juniper SRX Services Gateway must record time stamps for log records using Coordinated Universal Time (UTC).</t>
    </r>
  </si>
  <si>
    <r>
      <rPr>
        <sz val="11"/>
        <color rgb="FF000000"/>
        <rFont val="Calibri"/>
      </rPr>
      <t>The following command sets the time zone to UTC.</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time-zone UTC</t>
    </r>
  </si>
  <si>
    <r>
      <rPr>
        <sz val="11"/>
        <color rgb="FF000000"/>
        <rFont val="Calibri"/>
      </rPr>
      <t>If time stamps are not consistently applied and there is no common time reference, it is difficult to perform forensic analysis. UTC is normally used in DoD; however, Greenwich Mean Time (GMT) may be used if needed for mission requirements.</t>
    </r>
  </si>
  <si>
    <r>
      <rPr>
        <sz val="11"/>
        <color rgb="FF000000"/>
        <rFont val="Calibri"/>
      </rPr>
      <t>Verify the time zone is set to UTC.</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time-zone</t>
    </r>
    <r>
      <rPr>
        <sz val="11"/>
        <color rgb="FF000000"/>
        <rFont val="Calibri"/>
      </rPr>
      <t xml:space="preserve">
</t>
    </r>
    <r>
      <rPr>
        <sz val="11"/>
        <color rgb="FF000000"/>
        <rFont val="Calibri"/>
      </rPr>
      <t>If the time zone is not set to UTC, this is a finding.</t>
    </r>
  </si>
  <si>
    <t>V-223202</t>
  </si>
  <si>
    <r>
      <rPr>
        <sz val="11"/>
        <rFont val="Calibri"/>
      </rPr>
      <t>The Juniper SRX Services Gateway must implement logon roles to ensure only authorized roles are allowed to install software and updates.</t>
    </r>
  </si>
  <si>
    <r>
      <rPr>
        <sz val="11"/>
        <color rgb="FF000000"/>
        <rFont val="Calibri"/>
      </rPr>
      <t>Configure the Juniper SRX to allow only the information system security manager (ISSM) user account (or administrators/roles appointed by the ISSM) to select which auditable events are to be audited. To ensure this is the case, each ISSM-appointed role on the AAA must be configured for least privilege using the following stanzas for each role.</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t>
    </r>
    <r>
      <rPr>
        <sz val="11"/>
        <color rgb="FF000000"/>
        <rFont val="Calibri"/>
      </rPr>
      <t xml:space="preserve">
</t>
    </r>
    <r>
      <rPr>
        <sz val="11"/>
        <color rgb="FF000000"/>
        <rFont val="Calibri"/>
      </rPr>
      <t>Use the delete command or retype the command to remove the permission "Maintenance" or "request system software add" from any class that is not authorized to upgrade software on the device. An explicitly Deny for the command "request system software add" can also be used if some Maintenance commands are permitted.</t>
    </r>
  </si>
  <si>
    <r>
      <rPr>
        <sz val="11"/>
        <color rgb="FF000000"/>
        <rFont val="Calibri"/>
      </rPr>
      <t>Allowing anyone to install software, without explicit privileges, creates the risk that untested or potentially malicious software will be installed on the system. This requirement applies to code changes and upgrades for all network devices.</t>
    </r>
    <r>
      <rPr>
        <sz val="11"/>
        <color rgb="FF000000"/>
        <rFont val="Calibri"/>
      </rPr>
      <t xml:space="preserve">
</t>
    </r>
    <r>
      <rPr>
        <sz val="11"/>
        <color rgb="FF000000"/>
        <rFont val="Calibri"/>
      </rPr>
      <t>For example audit admins and the account of last resort are not allowed to perform this task.</t>
    </r>
  </si>
  <si>
    <r>
      <rPr>
        <sz val="11"/>
        <color rgb="FF000000"/>
        <rFont val="Calibri"/>
      </rPr>
      <t>To verify role-based access control has been configured, view the settings for each login class defined.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t>
    </r>
    <r>
      <rPr>
        <sz val="11"/>
        <color rgb="FF000000"/>
        <rFont val="Calibri"/>
      </rPr>
      <t xml:space="preserve">
</t>
    </r>
    <r>
      <rPr>
        <sz val="11"/>
        <color rgb="FF000000"/>
        <rFont val="Calibri"/>
      </rPr>
      <t xml:space="preserve">View all login classes to see which roles are assigned the "Maintenance" or "request system software add" permissions. </t>
    </r>
    <r>
      <rPr>
        <sz val="11"/>
        <color rgb="FF000000"/>
        <rFont val="Calibri"/>
      </rPr>
      <t xml:space="preserve">
</t>
    </r>
    <r>
      <rPr>
        <sz val="11"/>
        <color rgb="FF000000"/>
        <rFont val="Calibri"/>
      </rPr>
      <t>If login classes for user roles that are not authorized to install and update software are configured, this is a finding.</t>
    </r>
  </si>
  <si>
    <t>V-223203</t>
  </si>
  <si>
    <r>
      <rPr>
        <sz val="11"/>
        <rFont val="Calibri"/>
      </rPr>
      <t>If the loopback interface is used, the Juniper SRX Services Gateway must protect the loopback interface with firewall filters for known attacks that may exploit this interface.</t>
    </r>
  </si>
  <si>
    <r>
      <rPr>
        <sz val="11"/>
        <color rgb="FF000000"/>
        <rFont val="Calibri"/>
      </rPr>
      <t>If the loopback interface is used, configure firewall filters. The following is an example of configuring a loopback address with filters on the device. It shows the format of both IPv4 and IPv6 addresses being applied to the interface. The first two commands show firewall filters being applied to the interface.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interfaces lo0 unit 0 family inet filter input protect_re</t>
    </r>
    <r>
      <rPr>
        <sz val="11"/>
        <color rgb="FF000000"/>
        <rFont val="Calibri"/>
      </rPr>
      <t xml:space="preserve">
</t>
    </r>
    <r>
      <rPr>
        <sz val="11"/>
        <color rgb="FF000000"/>
        <rFont val="Calibri"/>
      </rPr>
      <t>set interfaces lo0 unit 0 family inet6 filter input protect_re-v6</t>
    </r>
    <r>
      <rPr>
        <sz val="11"/>
        <color rgb="FF000000"/>
        <rFont val="Calibri"/>
      </rPr>
      <t xml:space="preserve">
</t>
    </r>
    <r>
      <rPr>
        <sz val="11"/>
        <color rgb="FF000000"/>
        <rFont val="Calibri"/>
      </rPr>
      <t>set interfaces lo0 unit 0 family inet address 1.1.1.250/32</t>
    </r>
    <r>
      <rPr>
        <sz val="11"/>
        <color rgb="FF000000"/>
        <rFont val="Calibri"/>
      </rPr>
      <t xml:space="preserve">
</t>
    </r>
    <r>
      <rPr>
        <sz val="11"/>
        <color rgb="FF000000"/>
        <rFont val="Calibri"/>
      </rPr>
      <t>set interfaces lo0 unit 0 family inet6 address 2100::250/128</t>
    </r>
  </si>
  <si>
    <r>
      <rPr>
        <sz val="11"/>
        <color rgb="FF000000"/>
        <rFont val="Calibri"/>
      </rPr>
      <t>The loopback interface is a logical interface and has no physical port. Since the interface and addresses ranges are well-known, this port must be filtered to protect the Juniper SRX from attacks.</t>
    </r>
  </si>
  <si>
    <r>
      <rPr>
        <sz val="11"/>
        <color rgb="FF000000"/>
        <rFont val="Calibri"/>
      </rPr>
      <t>If the loopback interface is not used, this is not applicable.</t>
    </r>
    <r>
      <rPr>
        <sz val="11"/>
        <color rgb="FF000000"/>
        <rFont val="Calibri"/>
      </rPr>
      <t xml:space="preserve">
</t>
    </r>
    <r>
      <rPr>
        <sz val="11"/>
        <color rgb="FF000000"/>
        <rFont val="Calibri"/>
      </rPr>
      <t>Verify the loopback interface is protected by firewall filters.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interfaces lo0</t>
    </r>
    <r>
      <rPr>
        <sz val="11"/>
        <color rgb="FF000000"/>
        <rFont val="Calibri"/>
      </rPr>
      <t xml:space="preserve">
</t>
    </r>
    <r>
      <rPr>
        <sz val="11"/>
        <color rgb="FF000000"/>
        <rFont val="Calibri"/>
      </rPr>
      <t>If the loopback interface is not configured with IPv6 and IPv4 firewall filters, this is a finding.</t>
    </r>
  </si>
  <si>
    <t>V-223204</t>
  </si>
  <si>
    <r>
      <rPr>
        <sz val="11"/>
        <rFont val="Calibri"/>
      </rPr>
      <t>The Juniper SRX Services Gateway must have the number of rollbacks set to 5 or more.</t>
    </r>
  </si>
  <si>
    <r>
      <rPr>
        <sz val="11"/>
        <color rgb="FF000000"/>
        <rFont val="Calibri"/>
      </rPr>
      <t>To configure number of backup configurations to be stored in the configuration partition enter the following command at the configuration hierarchy.</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max-configuration-rollbacks &lt;organization-defined number&gt;</t>
    </r>
  </si>
  <si>
    <r>
      <rPr>
        <sz val="11"/>
        <color rgb="FF000000"/>
        <rFont val="Calibri"/>
      </rPr>
      <t>Backup of the configuration files allows recovery in case of corruption, misconfiguration, or catastrophic failure. The maximum number of rollbacks for the SRX is 50 while the default is 5 which is recommended as a best practice. Increasing this backup configuration number will result in increased disk usage and increase the number of files to manage. Organizations should not set the value to zero.</t>
    </r>
  </si>
  <si>
    <r>
      <rPr>
        <sz val="11"/>
        <color rgb="FF000000"/>
        <rFont val="Calibri"/>
      </rPr>
      <t>To view the current setting for maximum number of rollbacks enter the following command.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max-configuration-rollbacks</t>
    </r>
    <r>
      <rPr>
        <sz val="11"/>
        <color rgb="FF000000"/>
        <rFont val="Calibri"/>
      </rPr>
      <t xml:space="preserve">
</t>
    </r>
    <r>
      <rPr>
        <sz val="11"/>
        <color rgb="FF000000"/>
        <rFont val="Calibri"/>
      </rPr>
      <t>If the number of back up configurations is not set to an organization-defined value which is 5 or more, this is a finding.</t>
    </r>
  </si>
  <si>
    <t>V-223205</t>
  </si>
  <si>
    <r>
      <rPr>
        <sz val="11"/>
        <rFont val="Calibri"/>
      </rPr>
      <t>The Juniper SRX Services Gateway must be configured to synchronize internal information system clocks with the primary and secondary NTP servers for the network.</t>
    </r>
  </si>
  <si>
    <r>
      <rPr>
        <sz val="11"/>
        <color rgb="FF000000"/>
        <rFont val="Calibri"/>
      </rPr>
      <t>The following commands allow the device to keep time synchronized with the network. To designate a primary NTP server, add the “prefer” keyword to the server statement.</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ntp server &lt;NTP-server1-IP&gt; prefer</t>
    </r>
    <r>
      <rPr>
        <sz val="11"/>
        <color rgb="FF000000"/>
        <rFont val="Calibri"/>
      </rPr>
      <t xml:space="preserve">
</t>
    </r>
    <r>
      <rPr>
        <sz val="11"/>
        <color rgb="FF000000"/>
        <rFont val="Calibri"/>
      </rPr>
      <t>set system ntp source-address &lt;MGT-IP-Address&gt;</t>
    </r>
    <r>
      <rPr>
        <sz val="11"/>
        <color rgb="FF000000"/>
        <rFont val="Calibri"/>
      </rPr>
      <t xml:space="preserve">
</t>
    </r>
    <r>
      <rPr>
        <sz val="11"/>
        <color rgb="FF000000"/>
        <rFont val="Calibri"/>
      </rPr>
      <t>set system ntp server &lt;NTP-server2-IP&gt;</t>
    </r>
    <r>
      <rPr>
        <sz val="11"/>
        <color rgb="FF000000"/>
        <rFont val="Calibri"/>
      </rPr>
      <t xml:space="preserve">
</t>
    </r>
    <r>
      <rPr>
        <sz val="11"/>
        <color rgb="FF000000"/>
        <rFont val="Calibri"/>
      </rPr>
      <t>set system ntp source-address &lt;MGT-IP-Address&gt;</t>
    </r>
  </si>
  <si>
    <r>
      <rPr>
        <sz val="11"/>
        <color rgb="FF000000"/>
        <rFont val="Calibri"/>
      </rPr>
      <t xml:space="preserve">The loss of connectivity to a particular authoritative time source will result in the loss of time synchronization (free-run mode) and increasingly inaccurate time stamps on log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t>
    </r>
  </si>
  <si>
    <r>
      <rPr>
        <sz val="11"/>
        <color rgb="FF000000"/>
        <rFont val="Calibri"/>
      </rPr>
      <t>Verify the Juniper SRX is configured to synchronize internal information system clocks with the primary and secondary NTP sources.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ntp</t>
    </r>
    <r>
      <rPr>
        <sz val="11"/>
        <color rgb="FF000000"/>
        <rFont val="Calibri"/>
      </rPr>
      <t xml:space="preserve">
</t>
    </r>
    <r>
      <rPr>
        <sz val="11"/>
        <color rgb="FF000000"/>
        <rFont val="Calibri"/>
      </rPr>
      <t>If the Juniper SRX is not configured to synchronize internal information system clocks with an NTP server, this is a finding.</t>
    </r>
  </si>
  <si>
    <t>V-223206</t>
  </si>
  <si>
    <r>
      <rPr>
        <sz val="11"/>
        <rFont val="Calibri"/>
      </rPr>
      <t>The Juniper SRX Services Gateway must be configured to use an authentication server to centrally manage authentication and logon settings for remote and nonlocal access.</t>
    </r>
  </si>
  <si>
    <r>
      <rPr>
        <sz val="11"/>
        <color rgb="FF000000"/>
        <rFont val="Calibri"/>
      </rPr>
      <t xml:space="preserve">Configure the Juniper SRX to support the use of AAA services to centrally manage user authentication and logon settings. To completely set up AAA authentication, use a user template account (the default name is remote) and specify a system authentication server and an authentication order. </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set system tacplus-server address &lt;server ipaddress&gt; port 1812 secret &lt;shared secret&gt;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set system radius-server address &lt;server ipaddress&gt; port 1812 secret &lt;shared secret&gt; </t>
    </r>
    <r>
      <rPr>
        <sz val="11"/>
        <color rgb="FF000000"/>
        <rFont val="Calibri"/>
      </rPr>
      <t xml:space="preserve">
</t>
    </r>
    <r>
      <rPr>
        <sz val="11"/>
        <color rgb="FF000000"/>
        <rFont val="Calibri"/>
      </rPr>
      <t>Note: DOD policy is that redundant AAA servers are required to mitigate the risk of a failure of the primary AAA device. Also see CCI-000213 for further details.</t>
    </r>
  </si>
  <si>
    <r>
      <rPr>
        <sz val="11"/>
        <color rgb="FF000000"/>
        <rFont val="Calibri"/>
      </rPr>
      <t xml:space="preserve">Centralized management of authentication settings increases the security of remote and nonlocal access methods. This control is a particularly important protection against the insider threat. Audit records for administrator accounts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 </t>
    </r>
    <r>
      <rPr>
        <sz val="11"/>
        <color rgb="FF000000"/>
        <rFont val="Calibri"/>
      </rPr>
      <t xml:space="preserve">
</t>
    </r>
    <r>
      <rPr>
        <sz val="11"/>
        <color rgb="FF000000"/>
        <rFont val="Calibri"/>
      </rPr>
      <t>The Juniper SRX supports three methods of user authentication: local password authentication, Remote Authentication Dial-In User Service (RADIUS), and Terminal Access Controller Access Control System Plus (TACACS+). RADIUS and TACACS+ are remote access methods used for management of the Juniper SRX. The local password method will be configured for use only for the account of last resort.</t>
    </r>
    <r>
      <rPr>
        <sz val="11"/>
        <color rgb="FF000000"/>
        <rFont val="Calibri"/>
      </rPr>
      <t xml:space="preserve">
</t>
    </r>
    <r>
      <rPr>
        <sz val="11"/>
        <color rgb="FF000000"/>
        <rFont val="Calibri"/>
      </rPr>
      <t>To completely set up AAA authentication, create a user template account (the default name is remote) and specify a system authentication server and an authentication order. See CCI-000213 for more details. The remote user template is not a logon account. Once the AAA server option is configured, any remote or nonlocal access attempts are redirected to the AAA server. Since individual user accounts are not defined on the SRX, the authentication server must be used to manage individual account settings.</t>
    </r>
  </si>
  <si>
    <r>
      <rPr>
        <sz val="11"/>
        <color rgb="FF000000"/>
        <rFont val="Calibri"/>
      </rPr>
      <t xml:space="preserve">Verify the Juniper SRX is configured to support the use of AAA services to centrally manage user authentication and logon settings. </t>
    </r>
    <r>
      <rPr>
        <sz val="11"/>
        <color rgb="FF000000"/>
        <rFont val="Calibri"/>
      </rPr>
      <t xml:space="preserve">
</t>
    </r>
    <r>
      <rPr>
        <sz val="11"/>
        <color rgb="FF000000"/>
        <rFont val="Calibri"/>
      </rPr>
      <t xml:space="preserve">From the CLI operational mode enter: </t>
    </r>
    <r>
      <rPr>
        <sz val="11"/>
        <color rgb="FF000000"/>
        <rFont val="Calibri"/>
      </rPr>
      <t xml:space="preserve">
</t>
    </r>
    <r>
      <rPr>
        <sz val="11"/>
        <color rgb="FF000000"/>
        <rFont val="Calibri"/>
      </rPr>
      <t xml:space="preserve">show system radius-server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show system tacplus-server</t>
    </r>
    <r>
      <rPr>
        <sz val="11"/>
        <color rgb="FF000000"/>
        <rFont val="Calibri"/>
      </rPr>
      <t xml:space="preserve">
</t>
    </r>
    <r>
      <rPr>
        <sz val="11"/>
        <color rgb="FF000000"/>
        <rFont val="Calibri"/>
      </rPr>
      <t>If the Juniper SRX has not been configured to support the use RADIUS and/or TACACS+ servers to centrally manage authentication and logon settings for remote and nonlocal access, this is a finding.</t>
    </r>
  </si>
  <si>
    <t>V-223207</t>
  </si>
  <si>
    <r>
      <rPr>
        <sz val="11"/>
        <rFont val="Calibri"/>
      </rPr>
      <t>The Juniper SRX Services Gateway must use DOD-approved PKI rather than proprietary or self-signed device certificates.</t>
    </r>
  </si>
  <si>
    <r>
      <rPr>
        <sz val="11"/>
        <color rgb="FF000000"/>
        <rFont val="Calibri"/>
      </rPr>
      <t>Generate a new key-pair from a DOD-approved certificate issuer. Sites must consult the PKI/PKI pages on the https://cyber.mil/ website for procedures for NIPRNet and SIPRNet.</t>
    </r>
    <r>
      <rPr>
        <sz val="11"/>
        <color rgb="FF000000"/>
        <rFont val="Calibri"/>
      </rPr>
      <t xml:space="preserve">
</t>
    </r>
    <r>
      <rPr>
        <sz val="11"/>
        <color rgb="FF000000"/>
        <rFont val="Calibri"/>
      </rPr>
      <t>RSA:</t>
    </r>
    <r>
      <rPr>
        <sz val="11"/>
        <color rgb="FF000000"/>
        <rFont val="Calibri"/>
      </rPr>
      <t xml:space="preserve">
</t>
    </r>
    <r>
      <rPr>
        <sz val="11"/>
        <color rgb="FF000000"/>
        <rFont val="Calibri"/>
      </rPr>
      <t>request security pki generate-key-pair certificate-id &lt;cert name&gt; type rsa size &lt;512 | 1024 | 2048 | 4096&gt;</t>
    </r>
    <r>
      <rPr>
        <sz val="11"/>
        <color rgb="FF000000"/>
        <rFont val="Calibri"/>
      </rPr>
      <t xml:space="preserve">
</t>
    </r>
    <r>
      <rPr>
        <sz val="11"/>
        <color rgb="FF000000"/>
        <rFont val="Calibri"/>
      </rPr>
      <t>ECDSA:</t>
    </r>
    <r>
      <rPr>
        <sz val="11"/>
        <color rgb="FF000000"/>
        <rFont val="Calibri"/>
      </rPr>
      <t xml:space="preserve">
</t>
    </r>
    <r>
      <rPr>
        <sz val="11"/>
        <color rgb="FF000000"/>
        <rFont val="Calibri"/>
      </rPr>
      <t>request security pki generate-key-pair certificate-id &lt;cert_name&gt; type ecdsa size &lt;256 | 384&gt;</t>
    </r>
    <r>
      <rPr>
        <sz val="11"/>
        <color rgb="FF000000"/>
        <rFont val="Calibri"/>
      </rPr>
      <t xml:space="preserve">
</t>
    </r>
    <r>
      <rPr>
        <sz val="11"/>
        <color rgb="FF000000"/>
        <rFont val="Calibri"/>
      </rPr>
      <t>Generate a CSR from RSA key-pair using the following command and options.</t>
    </r>
    <r>
      <rPr>
        <sz val="11"/>
        <color rgb="FF000000"/>
        <rFont val="Calibri"/>
      </rPr>
      <t xml:space="preserve">
</t>
    </r>
    <r>
      <rPr>
        <sz val="11"/>
        <color rgb="FF000000"/>
        <rFont val="Calibri"/>
      </rPr>
      <t>request security generate-certificate-request certificate-id &lt;cert_name_from_key_file&gt; digest &lt;sha1 | sha256&gt; domain &lt;FQDN&gt; email &lt;admin_email&gt; ip-address &lt;ip_address&gt; subject “CN=&lt;hostname&gt;,DC=&lt;domain_part&gt;,DC=&lt;TLD_domain&gt;,O=&lt;organization&gt;,OU=&lt;organization_dept&gt;,</t>
    </r>
    <r>
      <rPr>
        <sz val="11"/>
        <color rgb="FF000000"/>
        <rFont val="Calibri"/>
      </rPr>
      <t xml:space="preserve">
</t>
    </r>
    <r>
      <rPr>
        <sz val="11"/>
        <color rgb="FF000000"/>
        <rFont val="Calibri"/>
      </rPr>
      <t>L=&lt;city&gt;,ST=&lt;state&gt;,C=&lt;us&gt;” filename &lt;path/filename&gt;</t>
    </r>
    <r>
      <rPr>
        <sz val="11"/>
        <color rgb="FF000000"/>
        <rFont val="Calibri"/>
      </rPr>
      <t xml:space="preserve">
</t>
    </r>
    <r>
      <rPr>
        <sz val="11"/>
        <color rgb="FF000000"/>
        <rFont val="Calibri"/>
      </rPr>
      <t>Generate a CSR from ECDSA key-pair use the following command and options.</t>
    </r>
    <r>
      <rPr>
        <sz val="11"/>
        <color rgb="FF000000"/>
        <rFont val="Calibri"/>
      </rPr>
      <t xml:space="preserve">
</t>
    </r>
    <r>
      <rPr>
        <sz val="11"/>
        <color rgb="FF000000"/>
        <rFont val="Calibri"/>
      </rPr>
      <t>request security generate-certificate-request certificate-id &lt;cert_name_from_key_file&gt; digest &lt;sha256 | sha384&gt; domain &lt;FQDN&gt; email &lt;admin_email&gt; ip-address &lt;ip_address&gt; subject “CN=&lt;hostname&gt;,DC=&lt;domain_part&gt;,DC=&lt;TLD_domain&gt;,O=&lt;organization&gt;,OU=&lt;organization_dept&gt;,</t>
    </r>
    <r>
      <rPr>
        <sz val="11"/>
        <color rgb="FF000000"/>
        <rFont val="Calibri"/>
      </rPr>
      <t xml:space="preserve">
</t>
    </r>
    <r>
      <rPr>
        <sz val="11"/>
        <color rgb="FF000000"/>
        <rFont val="Calibri"/>
      </rPr>
      <t>L=&lt;city&gt;,ST=&lt;state&gt;,C=&lt;us&gt;” filename &lt;path/filename&gt;</t>
    </r>
    <r>
      <rPr>
        <sz val="11"/>
        <color rgb="FF000000"/>
        <rFont val="Calibri"/>
      </rPr>
      <t xml:space="preserve">
</t>
    </r>
    <r>
      <rPr>
        <sz val="11"/>
        <color rgb="FF000000"/>
        <rFont val="Calibri"/>
      </rPr>
      <t>If no filename is specified, the CSR is displayed on the standard out (terminal)</t>
    </r>
    <r>
      <rPr>
        <sz val="11"/>
        <color rgb="FF000000"/>
        <rFont val="Calibri"/>
      </rPr>
      <t xml:space="preserve">
</t>
    </r>
    <r>
      <rPr>
        <sz val="11"/>
        <color rgb="FF000000"/>
        <rFont val="Calibri"/>
      </rPr>
      <t>After receiving the approved certificate from the CA, enter the following command and options to upload the certificate.</t>
    </r>
    <r>
      <rPr>
        <sz val="11"/>
        <color rgb="FF000000"/>
        <rFont val="Calibri"/>
      </rPr>
      <t xml:space="preserve">
</t>
    </r>
    <r>
      <rPr>
        <sz val="11"/>
        <color rgb="FF000000"/>
        <rFont val="Calibri"/>
      </rPr>
      <t>request security pki local-certificate certificate-id &lt;cert_name_from_key_file&gt; filename &lt;path/filename_of_uploaded_certificate&gt;</t>
    </r>
    <r>
      <rPr>
        <sz val="11"/>
        <color rgb="FF000000"/>
        <rFont val="Calibri"/>
      </rPr>
      <t xml:space="preserve">
</t>
    </r>
    <r>
      <rPr>
        <sz val="11"/>
        <color rgb="FF000000"/>
        <rFont val="Calibri"/>
      </rPr>
      <t>From the operational mode of the hierarchy:</t>
    </r>
    <r>
      <rPr>
        <sz val="11"/>
        <color rgb="FF000000"/>
        <rFont val="Calibri"/>
      </rPr>
      <t xml:space="preserve">
</t>
    </r>
    <r>
      <rPr>
        <sz val="11"/>
        <color rgb="FF000000"/>
        <rFont val="Calibri"/>
      </rPr>
      <t xml:space="preserve">set security certificates local new load-key-file /var/tmp/new.pem </t>
    </r>
    <r>
      <rPr>
        <sz val="11"/>
        <color rgb="FF000000"/>
        <rFont val="Calibri"/>
      </rPr>
      <t xml:space="preserve">
</t>
    </r>
    <r>
      <rPr>
        <sz val="11"/>
        <color rgb="FF000000"/>
        <rFont val="Calibri"/>
      </rPr>
      <t>Type the following command to load the X.509 certificate into the certificate store in operations mode.</t>
    </r>
    <r>
      <rPr>
        <sz val="11"/>
        <color rgb="FF000000"/>
        <rFont val="Calibri"/>
      </rPr>
      <t xml:space="preserve">
</t>
    </r>
    <r>
      <rPr>
        <sz val="11"/>
        <color rgb="FF000000"/>
        <rFont val="Calibri"/>
      </rPr>
      <t>&gt;request security pki local-certificate load certificate-id &lt;ID&gt; filename &lt;PATH TO CERTIFICATE FILE&gt;</t>
    </r>
    <r>
      <rPr>
        <sz val="11"/>
        <color rgb="FF000000"/>
        <rFont val="Calibri"/>
      </rPr>
      <t xml:space="preserve">
</t>
    </r>
    <r>
      <rPr>
        <sz val="11"/>
        <color rgb="FF000000"/>
        <rFont val="Calibri"/>
      </rPr>
      <t>For this example, assume the transferred the X.509 certificate called "device-cert.crt" to the /var/tmp directory on the SRXD. The following command will load the device-cert.crt certificate file and associate it with the public/private keypair named “device-keypair” generated in a previous step.</t>
    </r>
    <r>
      <rPr>
        <sz val="11"/>
        <color rgb="FF000000"/>
        <rFont val="Calibri"/>
      </rPr>
      <t xml:space="preserve">
</t>
    </r>
    <r>
      <rPr>
        <sz val="11"/>
        <color rgb="FF000000"/>
        <rFont val="Calibri"/>
      </rPr>
      <t>&gt;request security pki local-certificate load certificate-id device-keypair filename /var/tmp/device-cert.crt</t>
    </r>
  </si>
  <si>
    <r>
      <rPr>
        <sz val="11"/>
        <color rgb="FF000000"/>
        <rFont val="Calibri"/>
      </rPr>
      <t>To mitigate the risk of unauthorized access to sensitive information by entities that have been issued certificates by DOD-approved PKIs.</t>
    </r>
    <r>
      <rPr>
        <sz val="11"/>
        <color rgb="FF000000"/>
        <rFont val="Calibri"/>
      </rPr>
      <t xml:space="preserve">
</t>
    </r>
    <r>
      <rPr>
        <sz val="11"/>
        <color rgb="FF000000"/>
        <rFont val="Calibri"/>
      </rPr>
      <t xml:space="preserve">The SRX generates a key-pair and a CSR. The CSR is sent to the approved Certification Authority (CA), who signs it and returns it as a certificate. That certificate is then installed. </t>
    </r>
    <r>
      <rPr>
        <sz val="11"/>
        <color rgb="FF000000"/>
        <rFont val="Calibri"/>
      </rPr>
      <t xml:space="preserve">
</t>
    </r>
    <r>
      <rPr>
        <sz val="11"/>
        <color rgb="FF000000"/>
        <rFont val="Calibri"/>
      </rPr>
      <t>The process to obtain a device PKI certificate requires the generation of a Certificate Signing Request (CSR), submission of the CSR to a CA, approval of the request by an RA, and retrieval of the issued certificate from the CA.</t>
    </r>
  </si>
  <si>
    <r>
      <rPr>
        <sz val="11"/>
        <color rgb="FF000000"/>
        <rFont val="Calibri"/>
      </rPr>
      <t>To validate that the certificate was loaded, type the following command:</t>
    </r>
    <r>
      <rPr>
        <sz val="11"/>
        <color rgb="FF000000"/>
        <rFont val="Calibri"/>
      </rPr>
      <t xml:space="preserve">
</t>
    </r>
    <r>
      <rPr>
        <sz val="11"/>
        <color rgb="FF000000"/>
        <rFont val="Calibri"/>
      </rPr>
      <t>show security pki local-certificate</t>
    </r>
    <r>
      <rPr>
        <sz val="11"/>
        <color rgb="FF000000"/>
        <rFont val="Calibri"/>
      </rPr>
      <t xml:space="preserve">
</t>
    </r>
    <r>
      <rPr>
        <sz val="11"/>
        <color rgb="FF000000"/>
        <rFont val="Calibri"/>
      </rPr>
      <t>View the installed device certificates.</t>
    </r>
    <r>
      <rPr>
        <sz val="11"/>
        <color rgb="FF000000"/>
        <rFont val="Calibri"/>
      </rPr>
      <t xml:space="preserve">
</t>
    </r>
    <r>
      <rPr>
        <sz val="11"/>
        <color rgb="FF000000"/>
        <rFont val="Calibri"/>
      </rPr>
      <t>If any of the certificates have the name or identifier of a nonapproved source in the Issuer field, this is a finding.</t>
    </r>
  </si>
  <si>
    <t>V-223208</t>
  </si>
  <si>
    <r>
      <rPr>
        <sz val="11"/>
        <rFont val="Calibri"/>
      </rPr>
      <t>The Juniper SRX Services Gateway must be configured to prohibit the use of unnecessary and/or nonsecure functions, ports, protocols, and/or services, as defined in the PPSM CAL and vulnerability assessments.</t>
    </r>
  </si>
  <si>
    <r>
      <rPr>
        <sz val="11"/>
        <color rgb="FF000000"/>
        <rFont val="Calibri"/>
      </rPr>
      <t>Ensure functions, ports, protocols, and services identified on the PPSM CAL are not used for system services configuration.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services</t>
    </r>
    <r>
      <rPr>
        <sz val="11"/>
        <color rgb="FF000000"/>
        <rFont val="Calibri"/>
      </rPr>
      <t xml:space="preserve">
</t>
    </r>
    <r>
      <rPr>
        <sz val="11"/>
        <color rgb="FF000000"/>
        <rFont val="Calibri"/>
      </rPr>
      <t>Compare the services that are enabled, including the port, services, protocols, and functions.</t>
    </r>
    <r>
      <rPr>
        <sz val="11"/>
        <color rgb="FF000000"/>
        <rFont val="Calibri"/>
      </rPr>
      <t xml:space="preserve">
</t>
    </r>
    <r>
      <rPr>
        <sz val="11"/>
        <color rgb="FF000000"/>
        <rFont val="Calibri"/>
      </rPr>
      <t>Consult the Juniper knowledge base and configuration guides to determine the commands for disabling each port, protocol, service, or function that is not in compliance with the PPSM CAL and vulnerability assessments.</t>
    </r>
  </si>
  <si>
    <r>
      <rPr>
        <sz val="11"/>
        <color rgb="FF000000"/>
        <rFont val="Calibri"/>
      </rPr>
      <t>In order 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The control plane is responsible for operating most of the system services on the SRX. The control plane is responsible not only for acting as the interface for the administrator operating the device, but also for controlling the operation of the chassis, pushing the configuration to the data plane, and operating the daemons that provide functionality to the system. The control plane operates the Junos OS, which is a FreeBSD variant. </t>
    </r>
    <r>
      <rPr>
        <sz val="11"/>
        <color rgb="FF000000"/>
        <rFont val="Calibri"/>
      </rPr>
      <t xml:space="preserve">
</t>
    </r>
    <r>
      <rPr>
        <sz val="11"/>
        <color rgb="FF000000"/>
        <rFont val="Calibri"/>
      </rPr>
      <t>The Juniper SRX control plane services include, but are not limited to, the following: Management Daemon (MGD), Routing Protocol Daemon (RPD) (e.g., RIP, OSPF, IS-IS, BGP, PIM, IPv6 counterparts), User interfaces (SSH, J-Web, NetConf), File system interfaces (SCP), Syslogd (DNS, DHCP, NTP, ICMP, ARP/ND, SNMP), Chassisd, JSRPD (HA clustering).</t>
    </r>
  </si>
  <si>
    <r>
      <rPr>
        <sz val="11"/>
        <color rgb="FF000000"/>
        <rFont val="Calibri"/>
      </rPr>
      <t>Entering the following commands from the configuration level of the hierarchy.</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services</t>
    </r>
    <r>
      <rPr>
        <sz val="11"/>
        <color rgb="FF000000"/>
        <rFont val="Calibri"/>
      </rPr>
      <t xml:space="preserve">
</t>
    </r>
    <r>
      <rPr>
        <sz val="11"/>
        <color rgb="FF000000"/>
        <rFont val="Calibri"/>
      </rPr>
      <t>If functions, ports, protocols, and services identified on the PPSM CAL are not disabled, this is a finding.</t>
    </r>
  </si>
  <si>
    <t>V-223209</t>
  </si>
  <si>
    <r>
      <rPr>
        <sz val="11"/>
        <rFont val="Calibri"/>
      </rPr>
      <t>For nonlocal maintenance sessions, the Juniper SRX Services Gateway must remove or explicitly deny the use of nonsecure protocols.</t>
    </r>
  </si>
  <si>
    <r>
      <rPr>
        <sz val="11"/>
        <color rgb="FF000000"/>
        <rFont val="Calibri"/>
      </rPr>
      <t>Remove or deny nonsecure protocols to prevent their usage for nonlocal management and diagnostic communications.</t>
    </r>
    <r>
      <rPr>
        <sz val="11"/>
        <color rgb="FF000000"/>
        <rFont val="Calibri"/>
      </rPr>
      <t xml:space="preserve">
</t>
    </r>
    <r>
      <rPr>
        <sz val="11"/>
        <color rgb="FF000000"/>
        <rFont val="Calibri"/>
      </rPr>
      <t>Use the delete command to disable services that should not be enabled.</t>
    </r>
    <r>
      <rPr>
        <sz val="11"/>
        <color rgb="FF000000"/>
        <rFont val="Calibri"/>
      </rPr>
      <t xml:space="preserve">
</t>
    </r>
    <r>
      <rPr>
        <sz val="11"/>
        <color rgb="FF000000"/>
        <rFont val="Calibri"/>
      </rPr>
      <t>Example deletion commands:</t>
    </r>
    <r>
      <rPr>
        <sz val="11"/>
        <color rgb="FF000000"/>
        <rFont val="Calibri"/>
      </rPr>
      <t xml:space="preserve">
</t>
    </r>
    <r>
      <rPr>
        <sz val="11"/>
        <color rgb="FF000000"/>
        <rFont val="Calibri"/>
      </rPr>
      <t>[edit]</t>
    </r>
    <r>
      <rPr>
        <sz val="11"/>
        <color rgb="FF000000"/>
        <rFont val="Calibri"/>
      </rPr>
      <t xml:space="preserve">
</t>
    </r>
    <r>
      <rPr>
        <sz val="11"/>
        <color rgb="FF000000"/>
        <rFont val="Calibri"/>
      </rPr>
      <t>delete system services telnet</t>
    </r>
    <r>
      <rPr>
        <sz val="11"/>
        <color rgb="FF000000"/>
        <rFont val="Calibri"/>
      </rPr>
      <t xml:space="preserve">
</t>
    </r>
    <r>
      <rPr>
        <sz val="11"/>
        <color rgb="FF000000"/>
        <rFont val="Calibri"/>
      </rPr>
      <t>delete system services ftp</t>
    </r>
    <r>
      <rPr>
        <sz val="11"/>
        <color rgb="FF000000"/>
        <rFont val="Calibri"/>
      </rPr>
      <t xml:space="preserve">
</t>
    </r>
    <r>
      <rPr>
        <sz val="11"/>
        <color rgb="FF000000"/>
        <rFont val="Calibri"/>
      </rPr>
      <t>delete snmp v1</t>
    </r>
    <r>
      <rPr>
        <sz val="11"/>
        <color rgb="FF000000"/>
        <rFont val="Calibri"/>
      </rPr>
      <t xml:space="preserve">
</t>
    </r>
    <r>
      <rPr>
        <sz val="11"/>
        <color rgb="FF000000"/>
        <rFont val="Calibri"/>
      </rPr>
      <t>delete snmp v2c</t>
    </r>
    <r>
      <rPr>
        <sz val="11"/>
        <color rgb="FF000000"/>
        <rFont val="Calibri"/>
      </rPr>
      <t xml:space="preserve">
</t>
    </r>
    <r>
      <rPr>
        <sz val="11"/>
        <color rgb="FF000000"/>
        <rFont val="Calibri"/>
      </rPr>
      <t>delete set system services ssh protocol-version v1</t>
    </r>
  </si>
  <si>
    <r>
      <rPr>
        <sz val="11"/>
        <color rgb="FF000000"/>
        <rFont val="Calibri"/>
      </rPr>
      <t>If unsecured protocols (lacking cryptographic mechanisms) are used for sessions, the contents of those sessions will be susceptible to manipulation, potentially allowing alteration and hijacking of maintenance sessions.</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Tools used for nonlocal management and diagnostics with the Juniper SRX include SSH but may also include compatible enterprise maintenance and diagnostics servers. Regardless of the tool used, the Juniper SRX must permit only the use of protocols with the capability to be configured securely with integrity protections. Specifically, use SSH instead of Telnet, SCP instead of FTP, and SNMPv3 rather than other versions SNMP.</t>
    </r>
  </si>
  <si>
    <r>
      <rPr>
        <sz val="11"/>
        <color rgb="FF000000"/>
        <rFont val="Calibri"/>
      </rPr>
      <t>Verify nonsecure protocols are not enabled for management access by viewing the enabled system services.</t>
    </r>
    <r>
      <rPr>
        <sz val="11"/>
        <color rgb="FF000000"/>
        <rFont val="Calibri"/>
      </rPr>
      <t xml:space="preserve">
</t>
    </r>
    <r>
      <rPr>
        <sz val="11"/>
        <color rgb="FF000000"/>
        <rFont val="Calibri"/>
      </rPr>
      <t>From the operational hierarchy:</t>
    </r>
    <r>
      <rPr>
        <sz val="11"/>
        <color rgb="FF000000"/>
        <rFont val="Calibri"/>
      </rPr>
      <t xml:space="preserve">
</t>
    </r>
    <r>
      <rPr>
        <sz val="11"/>
        <color rgb="FF000000"/>
        <rFont val="Calibri"/>
      </rPr>
      <t xml:space="preserve">&gt; show config | match "set system services" | display set </t>
    </r>
    <r>
      <rPr>
        <sz val="11"/>
        <color rgb="FF000000"/>
        <rFont val="Calibri"/>
      </rPr>
      <t xml:space="preserve">
</t>
    </r>
    <r>
      <rPr>
        <sz val="11"/>
        <color rgb="FF000000"/>
        <rFont val="Calibri"/>
      </rPr>
      <t>From the configuration hierarchy:</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snmp</t>
    </r>
    <r>
      <rPr>
        <sz val="11"/>
        <color rgb="FF000000"/>
        <rFont val="Calibri"/>
      </rPr>
      <t xml:space="preserve">
</t>
    </r>
    <r>
      <rPr>
        <sz val="11"/>
        <color rgb="FF000000"/>
        <rFont val="Calibri"/>
      </rPr>
      <t>show system services telnet</t>
    </r>
    <r>
      <rPr>
        <sz val="11"/>
        <color rgb="FF000000"/>
        <rFont val="Calibri"/>
      </rPr>
      <t xml:space="preserve">
</t>
    </r>
    <r>
      <rPr>
        <sz val="11"/>
        <color rgb="FF000000"/>
        <rFont val="Calibri"/>
      </rPr>
      <t>show system services ftp</t>
    </r>
    <r>
      <rPr>
        <sz val="11"/>
        <color rgb="FF000000"/>
        <rFont val="Calibri"/>
      </rPr>
      <t xml:space="preserve">
</t>
    </r>
    <r>
      <rPr>
        <sz val="11"/>
        <color rgb="FF000000"/>
        <rFont val="Calibri"/>
      </rPr>
      <t>show system services ssh</t>
    </r>
    <r>
      <rPr>
        <sz val="11"/>
        <color rgb="FF000000"/>
        <rFont val="Calibri"/>
      </rPr>
      <t xml:space="preserve">
</t>
    </r>
    <r>
      <rPr>
        <sz val="11"/>
        <color rgb="FF000000"/>
        <rFont val="Calibri"/>
      </rPr>
      <t>If nonsecure protocols and protocol versions such as Telnet, FTP, SNMPv1, SNMPv2c, or SSHv1 are enabled, this is a finding.</t>
    </r>
  </si>
  <si>
    <t>V-223211</t>
  </si>
  <si>
    <r>
      <rPr>
        <sz val="11"/>
        <rFont val="Calibri"/>
      </rPr>
      <t>The Juniper SRX Services Gateway must use and securely configure SNMPv3 if SNMP is enabled.</t>
    </r>
  </si>
  <si>
    <r>
      <rPr>
        <sz val="11"/>
        <color rgb="FF000000"/>
        <rFont val="Calibri"/>
      </rPr>
      <t>Enable and configure SNMPv3 and configure a trap and community string.</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snmp location &lt;LOCATION-NAME&gt;</t>
    </r>
    <r>
      <rPr>
        <sz val="11"/>
        <color rgb="FF000000"/>
        <rFont val="Calibri"/>
      </rPr>
      <t xml:space="preserve">
</t>
    </r>
    <r>
      <rPr>
        <sz val="11"/>
        <color rgb="FF000000"/>
        <rFont val="Calibri"/>
      </rPr>
      <t>set snmp v3 usm local-engine user &lt;USER-NAME&gt; privacy-AES128 authentication-sha256</t>
    </r>
    <r>
      <rPr>
        <sz val="11"/>
        <color rgb="FF000000"/>
        <rFont val="Calibri"/>
      </rPr>
      <t xml:space="preserve">
</t>
    </r>
    <r>
      <rPr>
        <sz val="11"/>
        <color rgb="FF000000"/>
        <rFont val="Calibri"/>
      </rPr>
      <t>set snmp v3 vacm security-to-group security-model usm security-name &lt;SECURITY-NAME&gt; group &lt;GROUP-NAME&gt;</t>
    </r>
    <r>
      <rPr>
        <sz val="11"/>
        <color rgb="FF000000"/>
        <rFont val="Calibri"/>
      </rPr>
      <t xml:space="preserve">
</t>
    </r>
    <r>
      <rPr>
        <sz val="11"/>
        <color rgb="FF000000"/>
        <rFont val="Calibri"/>
      </rPr>
      <t>set snmp v3 vacm access group &lt;GROUP-NAME&gt; default-context-prefix security-model usm</t>
    </r>
    <r>
      <rPr>
        <sz val="11"/>
        <color rgb="FF000000"/>
        <rFont val="Calibri"/>
      </rPr>
      <t xml:space="preserve">
</t>
    </r>
    <r>
      <rPr>
        <sz val="11"/>
        <color rgb="FF000000"/>
        <rFont val="Calibri"/>
      </rPr>
      <t>security-level privacy read-view all</t>
    </r>
    <r>
      <rPr>
        <sz val="11"/>
        <color rgb="FF000000"/>
        <rFont val="Calibri"/>
      </rPr>
      <t xml:space="preserve">
</t>
    </r>
    <r>
      <rPr>
        <sz val="11"/>
        <color rgb="FF000000"/>
        <rFont val="Calibri"/>
      </rPr>
      <t>set snmp v3 vacm access group &lt;GROUP-NAME&gt; default-context-prefix security-model usm</t>
    </r>
    <r>
      <rPr>
        <sz val="11"/>
        <color rgb="FF000000"/>
        <rFont val="Calibri"/>
      </rPr>
      <t xml:space="preserve">
</t>
    </r>
    <r>
      <rPr>
        <sz val="11"/>
        <color rgb="FF000000"/>
        <rFont val="Calibri"/>
      </rPr>
      <t>security-level privacy notify-view all</t>
    </r>
    <r>
      <rPr>
        <sz val="11"/>
        <color rgb="FF000000"/>
        <rFont val="Calibri"/>
      </rPr>
      <t xml:space="preserve">
</t>
    </r>
    <r>
      <rPr>
        <sz val="11"/>
        <color rgb="FF000000"/>
        <rFont val="Calibri"/>
      </rPr>
      <t>set snmp v3 target-address &lt;target-address-name&gt; tag-list &lt;SNMP-trap-receiver&gt;</t>
    </r>
    <r>
      <rPr>
        <sz val="11"/>
        <color rgb="FF000000"/>
        <rFont val="Calibri"/>
      </rPr>
      <t xml:space="preserve">
</t>
    </r>
    <r>
      <rPr>
        <sz val="11"/>
        <color rgb="FF000000"/>
        <rFont val="Calibri"/>
      </rPr>
      <t>set snmp v3 target-address &lt;TARGER-ADDRESS-NAME&gt; target-parameters &lt;PARMS-NAME&gt;</t>
    </r>
    <r>
      <rPr>
        <sz val="11"/>
        <color rgb="FF000000"/>
        <rFont val="Calibri"/>
      </rPr>
      <t xml:space="preserve">
</t>
    </r>
    <r>
      <rPr>
        <sz val="11"/>
        <color rgb="FF000000"/>
        <rFont val="Calibri"/>
      </rPr>
      <t>set snmp v3 target-parameters &lt;PARMS-NAME&gt; parameters message-processing-model v3</t>
    </r>
    <r>
      <rPr>
        <sz val="11"/>
        <color rgb="FF000000"/>
        <rFont val="Calibri"/>
      </rPr>
      <t xml:space="preserve">
</t>
    </r>
    <r>
      <rPr>
        <sz val="11"/>
        <color rgb="FF000000"/>
        <rFont val="Calibri"/>
      </rPr>
      <t>set snmp v3 target-parameters &lt;PARMS-NAME&gt; parameters security-model usm</t>
    </r>
    <r>
      <rPr>
        <sz val="11"/>
        <color rgb="FF000000"/>
        <rFont val="Calibri"/>
      </rPr>
      <t xml:space="preserve">
</t>
    </r>
    <r>
      <rPr>
        <sz val="11"/>
        <color rgb="FF000000"/>
        <rFont val="Calibri"/>
      </rPr>
      <t>set snmp v3 target-parameters &lt;PARMS-NAME&gt; parameters security-level privacy</t>
    </r>
    <r>
      <rPr>
        <sz val="11"/>
        <color rgb="FF000000"/>
        <rFont val="Calibri"/>
      </rPr>
      <t xml:space="preserve">
</t>
    </r>
    <r>
      <rPr>
        <sz val="11"/>
        <color rgb="FF000000"/>
        <rFont val="Calibri"/>
      </rPr>
      <t>set snmp v3 target-parameters &lt;PARMS-NAME&gt; parameters security-name &lt;SECURITY-NAME&gt;</t>
    </r>
    <r>
      <rPr>
        <sz val="11"/>
        <color rgb="FF000000"/>
        <rFont val="Calibri"/>
      </rPr>
      <t xml:space="preserve">
</t>
    </r>
    <r>
      <rPr>
        <sz val="11"/>
        <color rgb="FF000000"/>
        <rFont val="Calibri"/>
      </rPr>
      <t>set snmp v3 target-parameters &lt;PARMS-NAME&gt; notify-filter device-traps</t>
    </r>
    <r>
      <rPr>
        <sz val="11"/>
        <color rgb="FF000000"/>
        <rFont val="Calibri"/>
      </rPr>
      <t xml:space="preserve">
</t>
    </r>
    <r>
      <rPr>
        <sz val="11"/>
        <color rgb="FF000000"/>
        <rFont val="Calibri"/>
      </rPr>
      <t>set snmp v3 notify &lt;SNMP-TRAPS&gt; type trap</t>
    </r>
    <r>
      <rPr>
        <sz val="11"/>
        <color rgb="FF000000"/>
        <rFont val="Calibri"/>
      </rPr>
      <t xml:space="preserve">
</t>
    </r>
    <r>
      <rPr>
        <sz val="11"/>
        <color rgb="FF000000"/>
        <rFont val="Calibri"/>
      </rPr>
      <t>set snmp v3 notify &lt;SNMP-TRAPS&gt; tag &lt;SNMP-TRAP-RECEIVER&gt;</t>
    </r>
    <r>
      <rPr>
        <sz val="11"/>
        <color rgb="FF000000"/>
        <rFont val="Calibri"/>
      </rPr>
      <t xml:space="preserve">
</t>
    </r>
    <r>
      <rPr>
        <sz val="11"/>
        <color rgb="FF000000"/>
        <rFont val="Calibri"/>
      </rPr>
      <t>set snmp v3 notify-filter device-traps oid jnxChassisTraps include</t>
    </r>
    <r>
      <rPr>
        <sz val="11"/>
        <color rgb="FF000000"/>
        <rFont val="Calibri"/>
      </rPr>
      <t xml:space="preserve">
</t>
    </r>
    <r>
      <rPr>
        <sz val="11"/>
        <color rgb="FF000000"/>
        <rFont val="Calibri"/>
      </rPr>
      <t>set snmp v3 notify-filter device-traps oid jnxChassisOKTraps include</t>
    </r>
    <r>
      <rPr>
        <sz val="11"/>
        <color rgb="FF000000"/>
        <rFont val="Calibri"/>
      </rPr>
      <t xml:space="preserve">
</t>
    </r>
    <r>
      <rPr>
        <sz val="11"/>
        <color rgb="FF000000"/>
        <rFont val="Calibri"/>
      </rPr>
      <t>set snmp v3 notify-filter device-traps oid system include</t>
    </r>
    <r>
      <rPr>
        <sz val="11"/>
        <color rgb="FF000000"/>
        <rFont val="Calibri"/>
      </rPr>
      <t xml:space="preserve">
</t>
    </r>
    <r>
      <rPr>
        <sz val="11"/>
        <color rgb="FF000000"/>
        <rFont val="Calibri"/>
      </rPr>
      <t>set snmp v3 notify-filter device-traps oid .1 include</t>
    </r>
    <r>
      <rPr>
        <sz val="11"/>
        <color rgb="FF000000"/>
        <rFont val="Calibri"/>
      </rPr>
      <t xml:space="preserve">
</t>
    </r>
    <r>
      <rPr>
        <sz val="11"/>
        <color rgb="FF000000"/>
        <rFont val="Calibri"/>
      </rPr>
      <t>set snmp v3 notify-filter device-traps oid snmpMIBObjects include</t>
    </r>
    <r>
      <rPr>
        <sz val="11"/>
        <color rgb="FF000000"/>
        <rFont val="Calibri"/>
      </rPr>
      <t xml:space="preserve">
</t>
    </r>
    <r>
      <rPr>
        <sz val="11"/>
        <color rgb="FF000000"/>
        <rFont val="Calibri"/>
      </rPr>
      <t>set snmp engine-id use-mac-address</t>
    </r>
    <r>
      <rPr>
        <sz val="11"/>
        <color rgb="FF000000"/>
        <rFont val="Calibri"/>
      </rPr>
      <t xml:space="preserve">
</t>
    </r>
    <r>
      <rPr>
        <sz val="11"/>
        <color rgb="FF000000"/>
        <rFont val="Calibri"/>
      </rPr>
      <t>set snmp view all oid .1 include</t>
    </r>
    <r>
      <rPr>
        <sz val="11"/>
        <color rgb="FF000000"/>
        <rFont val="Calibri"/>
      </rPr>
      <t xml:space="preserve">
</t>
    </r>
    <r>
      <rPr>
        <sz val="11"/>
        <color rgb="FF000000"/>
        <rFont val="Calibri"/>
      </rPr>
      <t>set snmp view all oid system include</t>
    </r>
    <r>
      <rPr>
        <sz val="11"/>
        <color rgb="FF000000"/>
        <rFont val="Calibri"/>
      </rPr>
      <t xml:space="preserve">
</t>
    </r>
    <r>
      <rPr>
        <sz val="11"/>
        <color rgb="FF000000"/>
        <rFont val="Calibri"/>
      </rPr>
      <t>set snmp view all oid jnxBoxAnatomy include</t>
    </r>
    <r>
      <rPr>
        <sz val="11"/>
        <color rgb="FF000000"/>
        <rFont val="Calibri"/>
      </rPr>
      <t xml:space="preserve">
</t>
    </r>
    <r>
      <rPr>
        <sz val="11"/>
        <color rgb="FF000000"/>
        <rFont val="Calibri"/>
      </rPr>
      <t>set snmp view all oid snmpMIBObjects include</t>
    </r>
  </si>
  <si>
    <r>
      <rPr>
        <sz val="11"/>
        <color rgb="FF000000"/>
        <rFont val="Calibri"/>
      </rPr>
      <t>To prevent nonsecure protocol communications with the organization's local SNMPv3 services, the SNMP client on the Juniper SRX must be configured for proper identification and strong cryptographically based protocol for authentication.</t>
    </r>
    <r>
      <rPr>
        <sz val="11"/>
        <color rgb="FF000000"/>
        <rFont val="Calibri"/>
      </rPr>
      <t xml:space="preserve">
</t>
    </r>
    <r>
      <rPr>
        <sz val="11"/>
        <color rgb="FF000000"/>
        <rFont val="Calibri"/>
      </rPr>
      <t>SNMPv3 defines a user-based security model (USM) and a view-based access control model (VACM). SNMPv3 USM provides data integrity, data origin authentication, message replay protection, and protection against disclosure of the message payload. SNMPv3 VACM provides access control to determine whether a specific type of access (read or write) to the management information is allowed.</t>
    </r>
    <r>
      <rPr>
        <sz val="11"/>
        <color rgb="FF000000"/>
        <rFont val="Calibri"/>
      </rPr>
      <t xml:space="preserve">
</t>
    </r>
    <r>
      <rPr>
        <sz val="11"/>
        <color rgb="FF000000"/>
        <rFont val="Calibri"/>
      </rPr>
      <t>The Junos operating system allows the use of SNMPv3 to monitor or query the device for management purposes. Junos does not allow SNMPv3, of any type, to be used to make configuration changes to the device. SNMPv3 is disabled by default and must be enabled for use. SNMPv3 is the DOD-preferred method for monitoring the device securely. If SNMPv3 is not being used, it must be disabled. The commands in the Fix Text will configure SNMPv3. The Junos operating system allows the use of FIPS 140-2/140-3 validated protocols for secure connections.</t>
    </r>
  </si>
  <si>
    <r>
      <rPr>
        <sz val="11"/>
        <color rgb="FF000000"/>
        <rFont val="Calibri"/>
      </rPr>
      <t>If an SNMP stanza does not exist, this is not a finding.</t>
    </r>
    <r>
      <rPr>
        <sz val="11"/>
        <color rgb="FF000000"/>
        <rFont val="Calibri"/>
      </rPr>
      <t xml:space="preserve">
</t>
    </r>
    <r>
      <rPr>
        <sz val="11"/>
        <color rgb="FF000000"/>
        <rFont val="Calibri"/>
      </rPr>
      <t>Verify SNMPv3 is enabled and configured.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snmp</t>
    </r>
    <r>
      <rPr>
        <sz val="11"/>
        <color rgb="FF000000"/>
        <rFont val="Calibri"/>
      </rPr>
      <t xml:space="preserve">
</t>
    </r>
    <r>
      <rPr>
        <sz val="11"/>
        <color rgb="FF000000"/>
        <rFont val="Calibri"/>
      </rPr>
      <t>If versions earlier than SNMPv3 are enabled, this is a finding.</t>
    </r>
  </si>
  <si>
    <t>V-223212</t>
  </si>
  <si>
    <r>
      <rPr>
        <sz val="11"/>
        <rFont val="Calibri"/>
      </rPr>
      <t>The Juniper SRX Services Gateway must ensure SSH is disabled for root user logon to prevent remote access using the root account.</t>
    </r>
  </si>
  <si>
    <r>
      <rPr>
        <sz val="11"/>
        <color rgb="FF000000"/>
        <rFont val="Calibri"/>
      </rPr>
      <t>From the configuration mode, enter the following commands to disable root-login using SSH.</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services ssh root-login deny</t>
    </r>
  </si>
  <si>
    <r>
      <rPr>
        <sz val="11"/>
        <color rgb="FF000000"/>
        <rFont val="Calibri"/>
      </rPr>
      <t>Since the identity of the root account is well-known for systems based upon Linux or UNIX and this account does not have a setting to limit access attempts, there is risk of a brute force attack on the password. Root access would give superuser access to an attacker. Preventing attackers from remotely accessing management functions using root account mitigates the risk that unauthorized individuals or processes may gain superuser access to information or privileges.</t>
    </r>
    <r>
      <rPr>
        <sz val="11"/>
        <color rgb="FF000000"/>
        <rFont val="Calibri"/>
      </rPr>
      <t xml:space="preserve">
</t>
    </r>
    <r>
      <rPr>
        <sz val="11"/>
        <color rgb="FF000000"/>
        <rFont val="Calibri"/>
      </rPr>
      <t>A separate account should be used for access and then the administrator can sudo to root when necessary.</t>
    </r>
  </si>
  <si>
    <r>
      <rPr>
        <sz val="11"/>
        <color rgb="FF000000"/>
        <rFont val="Calibri"/>
      </rPr>
      <t xml:space="preserve">Use the CLI to view this setting for disabled for SSH. </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services ssh root-login</t>
    </r>
    <r>
      <rPr>
        <sz val="11"/>
        <color rgb="FF000000"/>
        <rFont val="Calibri"/>
      </rPr>
      <t xml:space="preserve">
</t>
    </r>
    <r>
      <rPr>
        <sz val="11"/>
        <color rgb="FF000000"/>
        <rFont val="Calibri"/>
      </rPr>
      <t>If SSH is not disabled for the root user, this is a finding.</t>
    </r>
  </si>
  <si>
    <t>V-223213</t>
  </si>
  <si>
    <r>
      <rPr>
        <sz val="11"/>
        <rFont val="Calibri"/>
      </rPr>
      <t>The Juniper SRX Services Gateway must ensure access to start a UNIX-level shell is restricted to only the root account.</t>
    </r>
  </si>
  <si>
    <r>
      <rPr>
        <sz val="11"/>
        <color rgb="FF000000"/>
        <rFont val="Calibri"/>
      </rPr>
      <t>For each login class, add the following command to the stanza.</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class &lt;class name&gt; deny-commands "(start shell)"</t>
    </r>
  </si>
  <si>
    <r>
      <rPr>
        <sz val="11"/>
        <color rgb="FF000000"/>
        <rFont val="Calibri"/>
      </rPr>
      <t>Restricting the privilege to create a UNIX-level shell limits access to this powerful function. System administrators, regardless of their other permissions, will need to also know the root password for this access, thus limiting the possibility of malicious or accidental circumvention of security controls.</t>
    </r>
  </si>
  <si>
    <r>
      <rPr>
        <sz val="11"/>
        <color rgb="FF000000"/>
        <rFont val="Calibri"/>
      </rPr>
      <t>Verify each login class is configured to deny access to the UNIX shell.</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t>
    </r>
    <r>
      <rPr>
        <sz val="11"/>
        <color rgb="FF000000"/>
        <rFont val="Calibri"/>
      </rPr>
      <t xml:space="preserve">
</t>
    </r>
    <r>
      <rPr>
        <sz val="11"/>
        <color rgb="FF000000"/>
        <rFont val="Calibri"/>
      </rPr>
      <t>If each configured login class is not configured to deny access to the UNIX shell, this is a finding.</t>
    </r>
  </si>
  <si>
    <t>V-223214</t>
  </si>
  <si>
    <r>
      <rPr>
        <sz val="11"/>
        <rFont val="Calibri"/>
      </rPr>
      <t>The Juniper SRX Services Gateway must ensure TCP forwarding is disabled for SSH to prevent unauthorized access.</t>
    </r>
  </si>
  <si>
    <r>
      <rPr>
        <sz val="11"/>
        <color rgb="FF000000"/>
        <rFont val="Calibri"/>
      </rPr>
      <t>From the configuration mode, enter the following commands to disable TCP forwarding for the SSH protocol.</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services ssh no-tcp-forwarding</t>
    </r>
  </si>
  <si>
    <r>
      <rPr>
        <sz val="11"/>
        <color rgb="FF000000"/>
        <rFont val="Calibri"/>
      </rPr>
      <t>Use this configuration option to prevent a user from creating an SSH tunnel over a CLI session to the Juniper SRX via SSH. This type of tunnel could be used to forward TCP traffic, bypassing any firewall filters or ACLs, allowing unauthorized access.</t>
    </r>
  </si>
  <si>
    <r>
      <rPr>
        <sz val="11"/>
        <color rgb="FF000000"/>
        <rFont val="Calibri"/>
      </rPr>
      <t xml:space="preserve">Use the CLI to view this setting for disabled for SSH. </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services ssh</t>
    </r>
    <r>
      <rPr>
        <sz val="11"/>
        <color rgb="FF000000"/>
        <rFont val="Calibri"/>
      </rPr>
      <t xml:space="preserve">
</t>
    </r>
    <r>
      <rPr>
        <sz val="11"/>
        <color rgb="FF000000"/>
        <rFont val="Calibri"/>
      </rPr>
      <t>If TCP forwarding is not disabled for the root user, this is a finding.</t>
    </r>
  </si>
  <si>
    <t>V-223215</t>
  </si>
  <si>
    <r>
      <rPr>
        <sz val="11"/>
        <rFont val="Calibri"/>
      </rPr>
      <t>The Juniper SRX Services Gateway must be configured with only one local user account to be used as the account of last resort.</t>
    </r>
  </si>
  <si>
    <r>
      <rPr>
        <sz val="11"/>
        <color rgb="FF000000"/>
        <rFont val="Calibri"/>
      </rPr>
      <t>If more than one account has an authentication stanza, and it is not documented, delete the authentication stanza (if the account is a template account) or the entire account (if the account is unauthorized or no longer needed).</t>
    </r>
    <r>
      <rPr>
        <sz val="11"/>
        <color rgb="FF000000"/>
        <rFont val="Calibri"/>
      </rPr>
      <t xml:space="preserve">
</t>
    </r>
    <r>
      <rPr>
        <sz val="11"/>
        <color rgb="FF000000"/>
        <rFont val="Calibri"/>
      </rPr>
      <t>To delete a template account:</t>
    </r>
    <r>
      <rPr>
        <sz val="11"/>
        <color rgb="FF000000"/>
        <rFont val="Calibri"/>
      </rPr>
      <t xml:space="preserve">
</t>
    </r>
    <r>
      <rPr>
        <sz val="11"/>
        <color rgb="FF000000"/>
        <rFont val="Calibri"/>
      </rPr>
      <t>[edit]</t>
    </r>
    <r>
      <rPr>
        <sz val="11"/>
        <color rgb="FF000000"/>
        <rFont val="Calibri"/>
      </rPr>
      <t xml:space="preserve">
</t>
    </r>
    <r>
      <rPr>
        <sz val="11"/>
        <color rgb="FF000000"/>
        <rFont val="Calibri"/>
      </rPr>
      <t>delete system login user &lt;account name&gt; authentication</t>
    </r>
    <r>
      <rPr>
        <sz val="11"/>
        <color rgb="FF000000"/>
        <rFont val="Calibri"/>
      </rPr>
      <t xml:space="preserve">
</t>
    </r>
    <r>
      <rPr>
        <sz val="11"/>
        <color rgb="FF000000"/>
        <rFont val="Calibri"/>
      </rPr>
      <t>commit</t>
    </r>
    <r>
      <rPr>
        <sz val="11"/>
        <color rgb="FF000000"/>
        <rFont val="Calibri"/>
      </rPr>
      <t xml:space="preserve">
</t>
    </r>
    <r>
      <rPr>
        <sz val="11"/>
        <color rgb="FF000000"/>
        <rFont val="Calibri"/>
      </rPr>
      <t>To delete an unneeded or unauthorized account:</t>
    </r>
    <r>
      <rPr>
        <sz val="11"/>
        <color rgb="FF000000"/>
        <rFont val="Calibri"/>
      </rPr>
      <t xml:space="preserve">
</t>
    </r>
    <r>
      <rPr>
        <sz val="11"/>
        <color rgb="FF000000"/>
        <rFont val="Calibri"/>
      </rPr>
      <t>[edit]</t>
    </r>
    <r>
      <rPr>
        <sz val="11"/>
        <color rgb="FF000000"/>
        <rFont val="Calibri"/>
      </rPr>
      <t xml:space="preserve">
</t>
    </r>
    <r>
      <rPr>
        <sz val="11"/>
        <color rgb="FF000000"/>
        <rFont val="Calibri"/>
      </rPr>
      <t>delete system login user &lt;account name&gt;</t>
    </r>
  </si>
  <si>
    <r>
      <rPr>
        <sz val="11"/>
        <color rgb="FF000000"/>
        <rFont val="Calibri"/>
      </rPr>
      <t xml:space="preserve">Without centralized management, credentials for some network devices will be forgotten, leading to delays in administration, which itself leads to delays in remediating production problems and in addressing compromises in a timely fashion. Maintaining local administrator accounts for daily usage on each network device without centralized management is not scalable or feasible. </t>
    </r>
    <r>
      <rPr>
        <sz val="11"/>
        <color rgb="FF000000"/>
        <rFont val="Calibri"/>
      </rPr>
      <t xml:space="preserve">
</t>
    </r>
    <r>
      <rPr>
        <sz val="11"/>
        <color rgb="FF000000"/>
        <rFont val="Calibri"/>
      </rPr>
      <t>Local accounts are configured using the local password authentication method which does not meet the multifactor authentication criteria. The account of last resort is a group authenticator which does not provide nonrepudiation, thus must be used only rare cases where the device must be accessed using the local console and an individual authenticator is not possible, including when network access is not available.</t>
    </r>
  </si>
  <si>
    <r>
      <rPr>
        <sz val="11"/>
        <color rgb="FF000000"/>
        <rFont val="Calibri"/>
      </rPr>
      <t>Verify only a single local account has an authentication stanza and that the name is the account of last resort.</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t>
    </r>
    <r>
      <rPr>
        <sz val="11"/>
        <color rgb="FF000000"/>
        <rFont val="Calibri"/>
      </rPr>
      <t xml:space="preserve">
</t>
    </r>
    <r>
      <rPr>
        <sz val="11"/>
        <color rgb="FF000000"/>
        <rFont val="Calibri"/>
      </rPr>
      <t>user &lt;account of last resort&gt; {</t>
    </r>
    <r>
      <rPr>
        <sz val="11"/>
        <color rgb="FF000000"/>
        <rFont val="Calibri"/>
      </rPr>
      <t xml:space="preserve">
</t>
    </r>
    <r>
      <rPr>
        <sz val="11"/>
        <color rgb="FF000000"/>
        <rFont val="Calibri"/>
      </rPr>
      <t xml:space="preserve">  uid 2001;</t>
    </r>
    <r>
      <rPr>
        <sz val="11"/>
        <color rgb="FF000000"/>
        <rFont val="Calibri"/>
      </rPr>
      <t xml:space="preserve">
</t>
    </r>
    <r>
      <rPr>
        <sz val="11"/>
        <color rgb="FF000000"/>
        <rFont val="Calibri"/>
      </rPr>
      <t xml:space="preserve">  class &lt;appropriate class name&gt;;</t>
    </r>
    <r>
      <rPr>
        <sz val="11"/>
        <color rgb="FF000000"/>
        <rFont val="Calibri"/>
      </rPr>
      <t xml:space="preserve">
</t>
    </r>
    <r>
      <rPr>
        <sz val="11"/>
        <color rgb="FF000000"/>
        <rFont val="Calibri"/>
      </rPr>
      <t xml:space="preserve">  authentication { &lt;--- This stanza permits local login</t>
    </r>
    <r>
      <rPr>
        <sz val="11"/>
        <color rgb="FF000000"/>
        <rFont val="Calibri"/>
      </rPr>
      <t xml:space="preserve">
</t>
    </r>
    <r>
      <rPr>
        <sz val="11"/>
        <color rgb="FF000000"/>
        <rFont val="Calibri"/>
      </rPr>
      <t xml:space="preserve">    encrypted-password "$sha2$22895$aVBPaRVa$o6xIqNSYg9D7yt8pI47etAjZV9uuwHrhAFT6R021HNsy"; ## SECRET-DATA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OR</t>
    </r>
    <r>
      <rPr>
        <sz val="11"/>
        <color rgb="FF000000"/>
        <rFont val="Calibri"/>
      </rPr>
      <t xml:space="preserve">
</t>
    </r>
    <r>
      <rPr>
        <sz val="11"/>
        <color rgb="FF000000"/>
        <rFont val="Calibri"/>
      </rPr>
      <t>user &lt;template account&gt; {</t>
    </r>
    <r>
      <rPr>
        <sz val="11"/>
        <color rgb="FF000000"/>
        <rFont val="Calibri"/>
      </rPr>
      <t xml:space="preserve">
</t>
    </r>
    <r>
      <rPr>
        <sz val="11"/>
        <color rgb="FF000000"/>
        <rFont val="Calibri"/>
      </rPr>
      <t xml:space="preserve">  uid 2001;</t>
    </r>
    <r>
      <rPr>
        <sz val="11"/>
        <color rgb="FF000000"/>
        <rFont val="Calibri"/>
      </rPr>
      <t xml:space="preserve">
</t>
    </r>
    <r>
      <rPr>
        <sz val="11"/>
        <color rgb="FF000000"/>
        <rFont val="Calibri"/>
      </rPr>
      <t xml:space="preserve">  class &lt;appropriate class name&gt;;</t>
    </r>
    <r>
      <rPr>
        <sz val="11"/>
        <color rgb="FF000000"/>
        <rFont val="Calibri"/>
      </rPr>
      <t xml:space="preserve">
</t>
    </r>
    <r>
      <rPr>
        <sz val="11"/>
        <color rgb="FF000000"/>
        <rFont val="Calibri"/>
      </rPr>
      <t>}</t>
    </r>
    <r>
      <rPr>
        <sz val="11"/>
        <color rgb="FF000000"/>
        <rFont val="Calibri"/>
      </rPr>
      <t xml:space="preserve">
</t>
    </r>
    <r>
      <rPr>
        <sz val="11"/>
        <color rgb="FF000000"/>
        <rFont val="Calibri"/>
      </rPr>
      <t>If accounts other than the account of last resort contain an authentication stanza, and that account is not documented, this is a finding.</t>
    </r>
  </si>
  <si>
    <t>V-223216</t>
  </si>
  <si>
    <r>
      <rPr>
        <sz val="11"/>
        <rFont val="Calibri"/>
      </rPr>
      <t>The Juniper SRX Services Gateway must implement replay-resistant authentication mechanisms for network access to privileged accounts.</t>
    </r>
  </si>
  <si>
    <r>
      <rPr>
        <sz val="11"/>
        <color rgb="FF000000"/>
        <rFont val="Calibri"/>
      </rPr>
      <t>Configure SSH to use a replay-resistant authentication mechanism. The following is an example stanza.</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services ssh macs hmac-sha2-512</t>
    </r>
    <r>
      <rPr>
        <sz val="11"/>
        <color rgb="FF000000"/>
        <rFont val="Calibri"/>
      </rPr>
      <t xml:space="preserve">
</t>
    </r>
    <r>
      <rPr>
        <sz val="11"/>
        <color rgb="FF000000"/>
        <rFont val="Calibri"/>
      </rPr>
      <t>set system services ssh macs hmac-sha2-256</t>
    </r>
    <r>
      <rPr>
        <sz val="11"/>
        <color rgb="FF000000"/>
        <rFont val="Calibri"/>
      </rPr>
      <t xml:space="preserve">
</t>
    </r>
    <r>
      <rPr>
        <sz val="11"/>
        <color rgb="FF000000"/>
        <rFont val="Calibri"/>
      </rPr>
      <t>set system services ssh macs hmac-sha1</t>
    </r>
    <r>
      <rPr>
        <sz val="11"/>
        <color rgb="FF000000"/>
        <rFont val="Calibri"/>
      </rPr>
      <t xml:space="preserve">
</t>
    </r>
    <r>
      <rPr>
        <sz val="11"/>
        <color rgb="FF000000"/>
        <rFont val="Calibri"/>
      </rPr>
      <t>set system services ssh macs hmac-sha1-96</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</si>
  <si>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There are 2 approved methods for accessing the Juniper SRX which are, in order of preference, the SSH protocol and the console port.</t>
    </r>
  </si>
  <si>
    <r>
      <rPr>
        <sz val="11"/>
        <color rgb="FF000000"/>
        <rFont val="Calibri"/>
      </rPr>
      <t>Verify SSH is configured to use a replay-resistant authentication mechanism.</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services ssh</t>
    </r>
    <r>
      <rPr>
        <sz val="11"/>
        <color rgb="FF000000"/>
        <rFont val="Calibri"/>
      </rPr>
      <t xml:space="preserve">
</t>
    </r>
    <r>
      <rPr>
        <sz val="11"/>
        <color rgb="FF000000"/>
        <rFont val="Calibri"/>
      </rPr>
      <t>If SSH is not configured to use the MAC authentication protocol, this is a finding.</t>
    </r>
  </si>
  <si>
    <t>V-223217</t>
  </si>
  <si>
    <r>
      <rPr>
        <sz val="11"/>
        <rFont val="Calibri"/>
      </rPr>
      <t>For local accounts using password authentication (i.e., the root account and the account of last resort), the Juniper SRX Services Gateway must enforce a minimum 15-character password length.</t>
    </r>
  </si>
  <si>
    <r>
      <rPr>
        <sz val="11"/>
        <color rgb="FF000000"/>
        <rFont val="Calibri"/>
      </rPr>
      <t>Set the global password option for all accounts created on the Juniper SRX.</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password minimum-length 15</t>
    </r>
    <r>
      <rPr>
        <sz val="11"/>
        <color rgb="FF000000"/>
        <rFont val="Calibri"/>
      </rPr>
      <t xml:space="preserve">
</t>
    </r>
    <r>
      <rPr>
        <sz val="11"/>
        <color rgb="FF000000"/>
        <rFont val="Calibri"/>
      </rPr>
      <t>Note: This setting only enforces the minimum character password length for newly created passwords. The password of the existing account must be changed if it is not already complaint.</t>
    </r>
    <r>
      <rPr>
        <sz val="11"/>
        <color rgb="FF000000"/>
        <rFont val="Calibri"/>
      </rPr>
      <t xml:space="preserve">
</t>
    </r>
    <r>
      <rPr>
        <sz val="11"/>
        <color rgb="FF000000"/>
        <rFont val="Calibri"/>
      </rPr>
      <t>To set or change the root user password, in configuration mode enter the following command.</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root-authentication plain-text-password</t>
    </r>
    <r>
      <rPr>
        <sz val="11"/>
        <color rgb="FF000000"/>
        <rFont val="Calibri"/>
      </rPr>
      <t xml:space="preserve">
</t>
    </r>
    <r>
      <rPr>
        <sz val="11"/>
        <color rgb="FF000000"/>
        <rFont val="Calibri"/>
      </rPr>
      <t xml:space="preserve">When prompted, enter the password for the root user. </t>
    </r>
    <r>
      <rPr>
        <sz val="11"/>
        <color rgb="FF000000"/>
        <rFont val="Calibri"/>
      </rPr>
      <t xml:space="preserve">
</t>
    </r>
    <r>
      <rPr>
        <sz val="11"/>
        <color rgb="FF000000"/>
        <rFont val="Calibri"/>
      </rPr>
      <t>Retype new password to confirm</t>
    </r>
    <r>
      <rPr>
        <sz val="11"/>
        <color rgb="FF000000"/>
        <rFont val="Calibri"/>
      </rPr>
      <t xml:space="preserve">
</t>
    </r>
    <r>
      <rPr>
        <sz val="11"/>
        <color rgb="FF000000"/>
        <rFont val="Calibri"/>
      </rPr>
      <t>To set or change the account of last resort, in configuration mode enter the following command.</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user &lt;name of the account of last resort&gt; plain-text-password</t>
    </r>
    <r>
      <rPr>
        <sz val="11"/>
        <color rgb="FF000000"/>
        <rFont val="Calibri"/>
      </rPr>
      <t xml:space="preserve">
</t>
    </r>
    <r>
      <rPr>
        <sz val="11"/>
        <color rgb="FF000000"/>
        <rFont val="Calibri"/>
      </rPr>
      <t xml:space="preserve">When prompted, enter the password for the root user. </t>
    </r>
    <r>
      <rPr>
        <sz val="11"/>
        <color rgb="FF000000"/>
        <rFont val="Calibri"/>
      </rPr>
      <t xml:space="preserve">
</t>
    </r>
    <r>
      <rPr>
        <sz val="11"/>
        <color rgb="FF000000"/>
        <rFont val="Calibri"/>
      </rPr>
      <t>Retype new password to confirm.</t>
    </r>
  </si>
  <si>
    <r>
      <rPr>
        <sz val="11"/>
        <color rgb="FF000000"/>
        <rFont val="Calibri"/>
      </rPr>
      <t>Password complexity, or strength, is a measure of the effectiveness of a password in resisting attempts at guessing and brute-force attacks. The shorter the password, the lower the number of possible combinations that need to be tested before the password is compromised. Use of more characters in a password helps to exponentially increase the time and/or resources required to compromise the password.</t>
    </r>
    <r>
      <rPr>
        <sz val="11"/>
        <color rgb="FF000000"/>
        <rFont val="Calibri"/>
      </rPr>
      <t xml:space="preserve">
</t>
    </r>
    <r>
      <rPr>
        <sz val="11"/>
        <color rgb="FF000000"/>
        <rFont val="Calibri"/>
      </rPr>
      <t>Compliance with this requirement also prevents the system from being configured with default or no passwords.</t>
    </r>
  </si>
  <si>
    <r>
      <rPr>
        <sz val="11"/>
        <color rgb="FF000000"/>
        <rFont val="Calibri"/>
      </rPr>
      <t>Verify the SRX password enforces this complexity requirement. In configuration mode, enter the following command.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 password</t>
    </r>
    <r>
      <rPr>
        <sz val="11"/>
        <color rgb="FF000000"/>
        <rFont val="Calibri"/>
      </rPr>
      <t xml:space="preserve">
</t>
    </r>
    <r>
      <rPr>
        <sz val="11"/>
        <color rgb="FF000000"/>
        <rFont val="Calibri"/>
      </rPr>
      <t>If the minimum password length for local accounts is not set to at least a 15-character length, this is a finding.</t>
    </r>
  </si>
  <si>
    <t>V-223218</t>
  </si>
  <si>
    <r>
      <rPr>
        <sz val="11"/>
        <rFont val="Calibri"/>
      </rPr>
      <t>For local accounts using password authentication (i.e., the root account and the account of last resort), the Juniper SRX Services Gateway must enforce password complexity by setting the password change type to character sets.</t>
    </r>
  </si>
  <si>
    <r>
      <rPr>
        <sz val="11"/>
        <color rgb="FF000000"/>
        <rFont val="Calibri"/>
      </rPr>
      <t>Configure the default local password to enforce password complexity by setting the password change type to character sets.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password change-type character-sets</t>
    </r>
  </si>
  <si>
    <r>
      <rPr>
        <sz val="11"/>
        <color rgb="FF000000"/>
        <rFont val="Calibri"/>
      </rPr>
      <t xml:space="preserve">Use of a complex passwords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The password change-type command specifies whether a minimum number of character-sets or a minimum number of character-set transitions are enforced. The DOD requires this setting be set to character-sets.</t>
    </r>
  </si>
  <si>
    <r>
      <rPr>
        <sz val="11"/>
        <color rgb="FF000000"/>
        <rFont val="Calibri"/>
      </rPr>
      <t>Verify the default local password enforces password complexity by setting the password change type to character sets.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 password</t>
    </r>
    <r>
      <rPr>
        <sz val="11"/>
        <color rgb="FF000000"/>
        <rFont val="Calibri"/>
      </rPr>
      <t xml:space="preserve">
</t>
    </r>
    <r>
      <rPr>
        <sz val="11"/>
        <color rgb="FF000000"/>
        <rFont val="Calibri"/>
      </rPr>
      <t>If the password change-type is not set to character-sets, this is a finding.</t>
    </r>
  </si>
  <si>
    <t>V-223219</t>
  </si>
  <si>
    <r>
      <rPr>
        <sz val="11"/>
        <rFont val="Calibri"/>
      </rPr>
      <t>For local accounts using password authentication (i.e., the root account and the account of last resort), the Juniper SRX Services Gateway must enforce password complexity by requiring at least one uppercase character be used.</t>
    </r>
  </si>
  <si>
    <r>
      <rPr>
        <sz val="11"/>
        <color rgb="FF000000"/>
        <rFont val="Calibri"/>
      </rPr>
      <t>Configure the default local password to enforce password complexity by requiring at least one uppercase character be used.</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password minimum-upper-cases 1</t>
    </r>
  </si>
  <si>
    <r>
      <rPr>
        <sz val="11"/>
        <color rgb="FF000000"/>
        <rFont val="Calibri"/>
      </rPr>
      <t xml:space="preserve">Use of a complex passwords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</si>
  <si>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Verify the default local password enforces password complexity by requiring at least one uppercase character be used.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 password</t>
    </r>
    <r>
      <rPr>
        <sz val="11"/>
        <color rgb="FF000000"/>
        <rFont val="Calibri"/>
      </rPr>
      <t xml:space="preserve">
</t>
    </r>
    <r>
      <rPr>
        <sz val="11"/>
        <color rgb="FF000000"/>
        <rFont val="Calibri"/>
      </rPr>
      <t>If the minimum-upper-cases is not set to at least 1, this is a finding.</t>
    </r>
  </si>
  <si>
    <t>V-223220</t>
  </si>
  <si>
    <r>
      <rPr>
        <sz val="11"/>
        <rFont val="Calibri"/>
      </rPr>
      <t>For local accounts using password authentication (i.e., the root account and the account of last resort), the Juniper SRX Services Gateway must enforce password complexity by requiring at least one lowercase character be used.</t>
    </r>
  </si>
  <si>
    <r>
      <rPr>
        <sz val="11"/>
        <color rgb="FF000000"/>
        <rFont val="Calibri"/>
      </rPr>
      <t>Configure the default local password to enforce password complexity by requiring at least one lowercase character be used.</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password minimum-lower-cases 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</si>
  <si>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</si>
  <si>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Verify the default local password enforces password complexity by requiring at least one lowercase character be used.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 password</t>
    </r>
    <r>
      <rPr>
        <sz val="11"/>
        <color rgb="FF000000"/>
        <rFont val="Calibri"/>
      </rPr>
      <t xml:space="preserve">
</t>
    </r>
    <r>
      <rPr>
        <sz val="11"/>
        <color rgb="FF000000"/>
        <rFont val="Calibri"/>
      </rPr>
      <t>If the minimum-lower-cases is not set to at least 1, this is a finding.</t>
    </r>
  </si>
  <si>
    <t>V-223221</t>
  </si>
  <si>
    <r>
      <rPr>
        <sz val="11"/>
        <rFont val="Calibri"/>
      </rPr>
      <t>For local accounts using password authentication (i.e., the root account and the account of last resort), the Juniper SRX Services Gateway must enforce password complexity by requiring at least one numeric character be used.</t>
    </r>
  </si>
  <si>
    <r>
      <rPr>
        <sz val="11"/>
        <color rgb="FF000000"/>
        <rFont val="Calibri"/>
      </rPr>
      <t>Configure the default local password to enforce password complexity by requiring at least one numeric character be used.</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password minimum -numerics to 1</t>
    </r>
  </si>
  <si>
    <r>
      <rPr>
        <sz val="11"/>
        <color rgb="FF000000"/>
        <rFont val="Calibri"/>
      </rPr>
      <t>Verify the default local password enforces password complexity by requiring at least one numeric character be used.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 password</t>
    </r>
    <r>
      <rPr>
        <sz val="11"/>
        <color rgb="FF000000"/>
        <rFont val="Calibri"/>
      </rPr>
      <t xml:space="preserve">
</t>
    </r>
    <r>
      <rPr>
        <sz val="11"/>
        <color rgb="FF000000"/>
        <rFont val="Calibri"/>
      </rPr>
      <t>If the minimum numerics are not set to at least 1, this is a finding.</t>
    </r>
  </si>
  <si>
    <t>V-223222</t>
  </si>
  <si>
    <r>
      <rPr>
        <sz val="11"/>
        <rFont val="Calibri"/>
      </rPr>
      <t>For local accounts using password authentication (i.e., the root account and the account of last resort), the Juniper SRX Services Gateway must enforce password complexity by requiring at least one special character be used.</t>
    </r>
  </si>
  <si>
    <r>
      <rPr>
        <sz val="11"/>
        <color rgb="FF000000"/>
        <rFont val="Calibri"/>
      </rPr>
      <t>Configure the default local password to enforce password complexity by requiring at least one special character be used.</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password minimum-punctuations 1</t>
    </r>
  </si>
  <si>
    <r>
      <rPr>
        <sz val="11"/>
        <color rgb="FF000000"/>
        <rFont val="Calibri"/>
      </rPr>
      <t>Verify the default local password enforces password complexity by requiring at least one special character be used.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 password</t>
    </r>
    <r>
      <rPr>
        <sz val="11"/>
        <color rgb="FF000000"/>
        <rFont val="Calibri"/>
      </rPr>
      <t xml:space="preserve">
</t>
    </r>
    <r>
      <rPr>
        <sz val="11"/>
        <color rgb="FF000000"/>
        <rFont val="Calibri"/>
      </rPr>
      <t>If the minimum-punctuation is not set to at least 1, this is a finding.</t>
    </r>
  </si>
  <si>
    <t>V-223223</t>
  </si>
  <si>
    <r>
      <rPr>
        <sz val="11"/>
        <rFont val="Calibri"/>
      </rPr>
      <t>The Juniper SRX Services Gateway must use the SHA256 or later protocol for password authentication for local accounts using password authentication (i.e., the root account and the account of last resort).</t>
    </r>
  </si>
  <si>
    <r>
      <rPr>
        <sz val="11"/>
        <color rgb="FF000000"/>
        <rFont val="Calibri"/>
      </rPr>
      <t>Enter the following example command from the configuration mode.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password format sha256</t>
    </r>
  </si>
  <si>
    <r>
      <rPr>
        <sz val="11"/>
        <color rgb="FF000000"/>
        <rFont val="Calibri"/>
      </rPr>
      <t>Passwords must be protected at all times, and encryption is the standard method for protecting passwords. If passwords are not encrypted, they can be plainly read (i.e., clear text) and easily compromised.</t>
    </r>
  </si>
  <si>
    <r>
      <rPr>
        <sz val="11"/>
        <color rgb="FF000000"/>
        <rFont val="Calibri"/>
      </rPr>
      <t>Verify the default local password enforces this requirement by entering the following in configuration mode.</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 password</t>
    </r>
    <r>
      <rPr>
        <sz val="11"/>
        <color rgb="FF000000"/>
        <rFont val="Calibri"/>
      </rPr>
      <t xml:space="preserve">
</t>
    </r>
    <r>
      <rPr>
        <sz val="11"/>
        <color rgb="FF000000"/>
        <rFont val="Calibri"/>
      </rPr>
      <t>If the password format is not set to SHA256 or higher, this is a finding.</t>
    </r>
  </si>
  <si>
    <t>V-223224</t>
  </si>
  <si>
    <r>
      <rPr>
        <sz val="11"/>
        <rFont val="Calibri"/>
      </rPr>
      <t>For nonlocal maintenance sessions using SNMP, the Juniper SRX Services Gateway must use and securely configure SNMPv3 with SHA256 or higher to protect the integrity of maintenance and diagnostic communications.</t>
    </r>
  </si>
  <si>
    <r>
      <rPr>
        <sz val="11"/>
        <color rgb="FF000000"/>
        <rFont val="Calibri"/>
      </rPr>
      <t>Configure snmp to use version 3 with SHA256 authentication.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snmp v3 usm local-engine user &lt;NAME&gt; authentication-sha256</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</si>
  <si>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 xml:space="preserve">Nonlocal maintenance and diagnostic activities are activities conducted by individuals communicating through an external network (e.g., the internet) or internal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Juniper SRX allows the use of SNMP to monitor or query the device in support of diagnostic information. SNMP cannot be used to make configuration changes; however, it is a valuable diagnostic tool. SNMP is disabled by default and must be enabled for use. SNMPv3 is the DOD-required version but must be configured to be used securely.</t>
    </r>
  </si>
  <si>
    <r>
      <rPr>
        <sz val="11"/>
        <color rgb="FF000000"/>
        <rFont val="Calibri"/>
      </rPr>
      <t>Verify SNMP is configured for version 3.</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snmp v3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SNMPv3 is not configured for version 3 using SHA256 or higher, this is a finding.</t>
    </r>
  </si>
  <si>
    <t>V-223225</t>
  </si>
  <si>
    <r>
      <rPr>
        <sz val="11"/>
        <rFont val="Calibri"/>
      </rPr>
      <t>The Juniper SRX Services Gateway must securely configure SSHv2 FIPS 140-2/140-3 validated Keyed-Hash Message Authentication Code (HMAC) to protect the integrity of maintenance and diagnostic communications for nonlocal maintenance sessions.</t>
    </r>
  </si>
  <si>
    <r>
      <rPr>
        <sz val="11"/>
        <color rgb="FF000000"/>
        <rFont val="Calibri"/>
      </rPr>
      <t>Configure SSH integrity options.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services ssh protocol-version v2</t>
    </r>
    <r>
      <rPr>
        <sz val="11"/>
        <color rgb="FF000000"/>
        <rFont val="Calibri"/>
      </rPr>
      <t xml:space="preserve">
</t>
    </r>
    <r>
      <rPr>
        <sz val="11"/>
        <color rgb="FF000000"/>
        <rFont val="Calibri"/>
      </rPr>
      <t>set system services ssh macs hmac-sha2-512</t>
    </r>
    <r>
      <rPr>
        <sz val="11"/>
        <color rgb="FF000000"/>
        <rFont val="Calibri"/>
      </rPr>
      <t xml:space="preserve">
</t>
    </r>
    <r>
      <rPr>
        <sz val="11"/>
        <color rgb="FF000000"/>
        <rFont val="Calibri"/>
      </rPr>
      <t>set system services ssh macs hmac-sha2-256</t>
    </r>
  </si>
  <si>
    <r>
      <rPr>
        <sz val="11"/>
        <color rgb="FF000000"/>
        <rFont val="Calibri"/>
      </rPr>
      <t xml:space="preserve">To protect the integrity of nonlocal maintenance sessions, SSHv2 with HMAC algorithms for integrity checking must be configured. </t>
    </r>
    <r>
      <rPr>
        <sz val="11"/>
        <color rgb="FF000000"/>
        <rFont val="Calibri"/>
      </rPr>
      <t xml:space="preserve">
</t>
    </r>
    <r>
      <rPr>
        <sz val="11"/>
        <color rgb="FF000000"/>
        <rFont val="Calibri"/>
      </rPr>
      <t>Nonlocal maintenance and diagnostic activities are activities conducted by individuals communicating through an external network (e.g., the internet) or internal network. The SSHv2 protocol suite includes Layer 7 protocols such as SCP and SFTP, which can be used for secure file transfers.</t>
    </r>
  </si>
  <si>
    <r>
      <rPr>
        <sz val="11"/>
        <color rgb="FF000000"/>
        <rFont val="Calibri"/>
      </rPr>
      <t>Verify SSHv2 and HMAC algorithms for integrity checking.</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services ssh</t>
    </r>
    <r>
      <rPr>
        <sz val="11"/>
        <color rgb="FF000000"/>
        <rFont val="Calibri"/>
      </rPr>
      <t xml:space="preserve">
</t>
    </r>
    <r>
      <rPr>
        <sz val="11"/>
        <color rgb="FF000000"/>
        <rFont val="Calibri"/>
      </rPr>
      <t>If SSHv2 and integrity options are not configured in compliance with DOD requirements for nonlocal maintenance session, this is a finding.</t>
    </r>
  </si>
  <si>
    <t>V-223226</t>
  </si>
  <si>
    <r>
      <rPr>
        <sz val="11"/>
        <rFont val="Calibri"/>
      </rPr>
      <t>The Juniper SRX Services Gateway must securely configure SNMPv3 with privacy options to protect the confidentiality of nonlocal maintenance and diagnostic communications using SNMP.</t>
    </r>
  </si>
  <si>
    <r>
      <rPr>
        <sz val="11"/>
        <color rgb="FF000000"/>
        <rFont val="Calibri"/>
      </rPr>
      <t>Configure SNMP to use version 3 with privacy options. The following is an 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snmp location &lt;NAME&gt;</t>
    </r>
    <r>
      <rPr>
        <sz val="11"/>
        <color rgb="FF000000"/>
        <rFont val="Calibri"/>
      </rPr>
      <t xml:space="preserve">
</t>
    </r>
    <r>
      <rPr>
        <sz val="11"/>
        <color rgb="FF000000"/>
        <rFont val="Calibri"/>
      </rPr>
      <t>set snmp v3 usm local-engine user &lt;NAME&gt; privacy-AES128</t>
    </r>
    <r>
      <rPr>
        <sz val="11"/>
        <color rgb="FF000000"/>
        <rFont val="Calibri"/>
      </rPr>
      <t xml:space="preserve">
</t>
    </r>
    <r>
      <rPr>
        <sz val="11"/>
        <color rgb="FF000000"/>
        <rFont val="Calibri"/>
      </rPr>
      <t>set snmp v3 vacm security-to-group security-model usm security-name &lt;NAME&gt; group &lt;NAMEGROUP&gt;</t>
    </r>
    <r>
      <rPr>
        <sz val="11"/>
        <color rgb="FF000000"/>
        <rFont val="Calibri"/>
      </rPr>
      <t xml:space="preserve">
</t>
    </r>
    <r>
      <rPr>
        <sz val="11"/>
        <color rgb="FF000000"/>
        <rFont val="Calibri"/>
      </rPr>
      <t>set snmp v3 vacm access group &lt;NAME-GROUP&gt; default-context-prefix security-model usm</t>
    </r>
    <r>
      <rPr>
        <sz val="11"/>
        <color rgb="FF000000"/>
        <rFont val="Calibri"/>
      </rPr>
      <t xml:space="preserve">
</t>
    </r>
    <r>
      <rPr>
        <sz val="11"/>
        <color rgb="FF000000"/>
        <rFont val="Calibri"/>
      </rPr>
      <t>security-level privacy read-view all</t>
    </r>
    <r>
      <rPr>
        <sz val="11"/>
        <color rgb="FF000000"/>
        <rFont val="Calibri"/>
      </rPr>
      <t xml:space="preserve">
</t>
    </r>
    <r>
      <rPr>
        <sz val="11"/>
        <color rgb="FF000000"/>
        <rFont val="Calibri"/>
      </rPr>
      <t>set snmp v3 vacm access group &lt;NAME-GROUP&gt; default-context-prefix security-model usm</t>
    </r>
    <r>
      <rPr>
        <sz val="11"/>
        <color rgb="FF000000"/>
        <rFont val="Calibri"/>
      </rPr>
      <t xml:space="preserve">
</t>
    </r>
    <r>
      <rPr>
        <sz val="11"/>
        <color rgb="FF000000"/>
        <rFont val="Calibri"/>
      </rPr>
      <t>security-level privacy notify-view all</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</si>
  <si>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 xml:space="preserve">Nonlocal maintenance and diagnostic activities are activities conducted by individuals communicating through an external network (e.g., the internet) or internal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protect the confidentiality of nonlocal maintenance sessions, SNMPv3 with AES encryption must be configured to provide confidentiality. The Juniper SRX allows the use of SNMPv3 to monitor or query the device in support of diagnostics information. SNMP cannot be used to make configuration changes; however, it is a valuable diagnostic tool. SNMP is disabled by default and must be enabled for use. SNMPv3 is the DOD-required version but must be configured to be used securely.</t>
    </r>
  </si>
  <si>
    <r>
      <rPr>
        <sz val="11"/>
        <color rgb="FF000000"/>
        <rFont val="Calibri"/>
      </rPr>
      <t>Verify SNMPv3 is configured with privacy options.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snmp v3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SNMPv3 is not configured using AES, and other privacy options are not configured, this is a finding.</t>
    </r>
  </si>
  <si>
    <t>V-223227</t>
  </si>
  <si>
    <r>
      <rPr>
        <sz val="11"/>
        <rFont val="Calibri"/>
      </rPr>
      <t>The Juniper SRX Services Gateway must use SSHv2 with privacy options to protect the confidentiality of maintenance and diagnostic communications for nonlocal maintenance sessions using SSH.</t>
    </r>
  </si>
  <si>
    <r>
      <rPr>
        <sz val="11"/>
        <color rgb="FF000000"/>
        <rFont val="Calibri"/>
      </rPr>
      <t>Configure SSH confidentiality options to comply with DOD requirements.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services ssh protocol-version v2</t>
    </r>
    <r>
      <rPr>
        <sz val="11"/>
        <color rgb="FF000000"/>
        <rFont val="Calibri"/>
      </rPr>
      <t xml:space="preserve">
</t>
    </r>
    <r>
      <rPr>
        <sz val="11"/>
        <color rgb="FF000000"/>
        <rFont val="Calibri"/>
      </rPr>
      <t>set system services ssh ciphers aes256-ctr</t>
    </r>
    <r>
      <rPr>
        <sz val="11"/>
        <color rgb="FF000000"/>
        <rFont val="Calibri"/>
      </rPr>
      <t xml:space="preserve">
</t>
    </r>
    <r>
      <rPr>
        <sz val="11"/>
        <color rgb="FF000000"/>
        <rFont val="Calibri"/>
      </rPr>
      <t>set system services ssh ciphers aes192-ctr</t>
    </r>
    <r>
      <rPr>
        <sz val="11"/>
        <color rgb="FF000000"/>
        <rFont val="Calibri"/>
      </rPr>
      <t xml:space="preserve">
</t>
    </r>
    <r>
      <rPr>
        <sz val="11"/>
        <color rgb="FF000000"/>
        <rFont val="Calibri"/>
      </rPr>
      <t>set system services ssh ciphers aes128-ctr</t>
    </r>
    <r>
      <rPr>
        <sz val="11"/>
        <color rgb="FF000000"/>
        <rFont val="Calibri"/>
      </rPr>
      <t xml:space="preserve">
</t>
    </r>
    <r>
      <rPr>
        <sz val="11"/>
        <color rgb="FF000000"/>
        <rFont val="Calibri"/>
      </rPr>
      <t>set system services ssh macs hmac-sha2-512</t>
    </r>
    <r>
      <rPr>
        <sz val="11"/>
        <color rgb="FF000000"/>
        <rFont val="Calibri"/>
      </rPr>
      <t xml:space="preserve">
</t>
    </r>
    <r>
      <rPr>
        <sz val="11"/>
        <color rgb="FF000000"/>
        <rFont val="Calibri"/>
      </rPr>
      <t>set system services ssh macs hmac-sha2-256</t>
    </r>
    <r>
      <rPr>
        <sz val="11"/>
        <color rgb="FF000000"/>
        <rFont val="Calibri"/>
      </rPr>
      <t xml:space="preserve">
</t>
    </r>
    <r>
      <rPr>
        <sz val="11"/>
        <color rgb="FF000000"/>
        <rFont val="Calibri"/>
      </rPr>
      <t>set system services ssh key-exchange ecdh-sha2-nistp521</t>
    </r>
    <r>
      <rPr>
        <sz val="11"/>
        <color rgb="FF000000"/>
        <rFont val="Calibri"/>
      </rPr>
      <t xml:space="preserve">
</t>
    </r>
    <r>
      <rPr>
        <sz val="11"/>
        <color rgb="FF000000"/>
        <rFont val="Calibri"/>
      </rPr>
      <t>set system services ssh key-exchange ecdh-sha2-nistp384</t>
    </r>
    <r>
      <rPr>
        <sz val="11"/>
        <color rgb="FF000000"/>
        <rFont val="Calibri"/>
      </rPr>
      <t xml:space="preserve">
</t>
    </r>
    <r>
      <rPr>
        <sz val="11"/>
        <color rgb="FF000000"/>
        <rFont val="Calibri"/>
      </rPr>
      <t>set system services ssh key-exchange ecdh-sha2-nistp256</t>
    </r>
  </si>
  <si>
    <r>
      <rPr>
        <sz val="11"/>
        <color rgb="FF000000"/>
        <rFont val="Calibri"/>
      </rPr>
      <t xml:space="preserve">To protect the confidentiality of nonlocal maintenance sessions when using SSH communications, SSHv2, AES ciphers, and key-exchange commands are configured. </t>
    </r>
    <r>
      <rPr>
        <sz val="11"/>
        <color rgb="FF000000"/>
        <rFont val="Calibri"/>
      </rPr>
      <t xml:space="preserve">
</t>
    </r>
    <r>
      <rPr>
        <sz val="11"/>
        <color rgb="FF000000"/>
        <rFont val="Calibri"/>
      </rPr>
      <t xml:space="preserve">Nonlocal maintenance and diagnostic activities are activities conducted by individuals communicating through an external network (e.g., the internet) or internal network. </t>
    </r>
    <r>
      <rPr>
        <sz val="11"/>
        <color rgb="FF000000"/>
        <rFont val="Calibri"/>
      </rPr>
      <t xml:space="preserve">
</t>
    </r>
    <r>
      <rPr>
        <sz val="11"/>
        <color rgb="FF000000"/>
        <rFont val="Calibri"/>
      </rPr>
      <t>The SSHv2 protocol suite includes Layer 7 protocols such as SCP and SFTP, which can be used for secure file transfers. The key-exchange commands limit the key exchanges to FIPS and DOD-approved methods.</t>
    </r>
  </si>
  <si>
    <r>
      <rPr>
        <sz val="11"/>
        <color rgb="FF000000"/>
        <rFont val="Calibri"/>
      </rPr>
      <t>Verify SSHv2, AES ciphers, and key-exchange commands are configured to protect confidentiality.</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services ssh</t>
    </r>
    <r>
      <rPr>
        <sz val="11"/>
        <color rgb="FF000000"/>
        <rFont val="Calibri"/>
      </rPr>
      <t xml:space="preserve">
</t>
    </r>
    <r>
      <rPr>
        <sz val="11"/>
        <color rgb="FF000000"/>
        <rFont val="Calibri"/>
      </rPr>
      <t>If SSHv2 is not configured to use AES ciphers and key-exchange commands, this is a finding.</t>
    </r>
  </si>
  <si>
    <t>V-223228</t>
  </si>
  <si>
    <r>
      <rPr>
        <sz val="11"/>
        <rFont val="Calibri"/>
      </rPr>
      <t>For nonlocal maintenance sessions, the Juniper SRX Services Gateway must ensure only zones where management functionality is desired have host-inbound-traffic system-services configured.</t>
    </r>
  </si>
  <si>
    <r>
      <rPr>
        <sz val="11"/>
        <color rgb="FF000000"/>
        <rFont val="Calibri"/>
      </rPr>
      <t>Remove host-inbound-traffic systems-services option from zones not authorized for management traffic.</t>
    </r>
    <r>
      <rPr>
        <sz val="11"/>
        <color rgb="FF000000"/>
        <rFont val="Calibri"/>
      </rPr>
      <t xml:space="preserve">
</t>
    </r>
    <r>
      <rPr>
        <sz val="11"/>
        <color rgb="FF000000"/>
        <rFont val="Calibri"/>
      </rPr>
      <t>Remove unauthorized protocols (e.g., HTTP, HTTPS) from management zones that are configured to allow host-inbound-traffic system-services.</t>
    </r>
  </si>
  <si>
    <r>
      <rPr>
        <sz val="11"/>
        <color rgb="FF000000"/>
        <rFont val="Calibri"/>
      </rPr>
      <t>Add a firewall filter to protect the management interface. Note: The dedicated management interface (if present), and an interface placed in the functional zone management, will not participate in routing network traffic. It will only support device management traffic.</t>
    </r>
    <r>
      <rPr>
        <sz val="11"/>
        <color rgb="FF000000"/>
        <rFont val="Calibri"/>
      </rPr>
      <t xml:space="preserve">
</t>
    </r>
    <r>
      <rPr>
        <sz val="11"/>
        <color rgb="FF000000"/>
        <rFont val="Calibri"/>
      </rPr>
      <t>The host-inbound-traffic feature of the SRX is an additional layer of security for system services. This function can be configured on either a per zone or a per interface basis within each individual security zone. By default, a security zone has all system services disabled, which means that it will not accept any inbound management or protocol requests on the control plane without explicitly enabling the service at either the interface or zone in the security zone stanzas.</t>
    </r>
  </si>
  <si>
    <r>
      <rPr>
        <sz val="11"/>
        <color rgb="FF000000"/>
        <rFont val="Calibri"/>
      </rPr>
      <t>Verify only those zones where management functionality is allowed have host-inbound-traffic system-services configured and that protocols such as HTTP and HTTPS are not assigned to these zones.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security zones functional-zone management</t>
    </r>
    <r>
      <rPr>
        <sz val="11"/>
        <color rgb="FF000000"/>
        <rFont val="Calibri"/>
      </rPr>
      <t xml:space="preserve">
</t>
    </r>
    <r>
      <rPr>
        <sz val="11"/>
        <color rgb="FF000000"/>
        <rFont val="Calibri"/>
      </rPr>
      <t>If zones configured for host-inbound-traffic system-services have protocols other than SSH configured, this is a finding.</t>
    </r>
  </si>
  <si>
    <t>V-223231</t>
  </si>
  <si>
    <r>
      <rPr>
        <sz val="11"/>
        <rFont val="Calibri"/>
      </rPr>
      <t>The Juniper SRX Services Gateway must terminate a device management session after 10 minutes of inactivity, except to fulfill documented and validated mission requirements.</t>
    </r>
  </si>
  <si>
    <r>
      <rPr>
        <sz val="11"/>
        <color rgb="FF000000"/>
        <rFont val="Calibri"/>
      </rPr>
      <t xml:space="preserve">Configure all login classes with an idle timeout value.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login-class &lt;class name&gt; idle-timeout 10</t>
    </r>
    <r>
      <rPr>
        <sz val="11"/>
        <color rgb="FF000000"/>
        <rFont val="Calibri"/>
      </rPr>
      <t xml:space="preserve">
</t>
    </r>
    <r>
      <rPr>
        <sz val="11"/>
        <color rgb="FF000000"/>
        <rFont val="Calibri"/>
      </rPr>
      <t xml:space="preserve">All users must be set to a login-class; however, to ensure that the CLI is set to a default timeout value, enter the following in operational mode: </t>
    </r>
    <r>
      <rPr>
        <sz val="11"/>
        <color rgb="FF000000"/>
        <rFont val="Calibri"/>
      </rPr>
      <t xml:space="preserve">
</t>
    </r>
    <r>
      <rPr>
        <sz val="11"/>
        <color rgb="FF000000"/>
        <rFont val="Calibri"/>
      </rPr>
      <t>set cli idle-timeout 10</t>
    </r>
  </si>
  <si>
    <r>
      <rPr>
        <sz val="11"/>
        <color rgb="FF000000"/>
        <rFont val="Calibri"/>
      </rPr>
      <t xml:space="preserve">Terminating an idle session within a short time period reduces the window of opportunity for unauthorized personnel to take control of a management session. Quickly terminating an idle session also frees up resources. </t>
    </r>
    <r>
      <rPr>
        <sz val="11"/>
        <color rgb="FF000000"/>
        <rFont val="Calibri"/>
      </rPr>
      <t xml:space="preserve">
</t>
    </r>
    <r>
      <rPr>
        <sz val="11"/>
        <color rgb="FF000000"/>
        <rFont val="Calibri"/>
      </rPr>
      <t>This requirement does not mean that the device terminates all sessions or network access; it only ends the inactive session.</t>
    </r>
    <r>
      <rPr>
        <sz val="11"/>
        <color rgb="FF000000"/>
        <rFont val="Calibri"/>
      </rPr>
      <t xml:space="preserve">
</t>
    </r>
    <r>
      <rPr>
        <sz val="11"/>
        <color rgb="FF000000"/>
        <rFont val="Calibri"/>
      </rPr>
      <t>User accounts, including the account of last resort must be assigned to a login class. Configure all login classes with an idle timeout value. Pre-defined classes do not support configurations, therefore should not be used for DoD implementations. The root account cannot be assigned to a login-class which is why it is critical that this account be secured in accordance with DoD policy.</t>
    </r>
  </si>
  <si>
    <r>
      <rPr>
        <sz val="11"/>
        <color rgb="FF000000"/>
        <rFont val="Calibri"/>
      </rPr>
      <t>Verify idle-timeout is set for 10 minutes.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t>
    </r>
    <r>
      <rPr>
        <sz val="11"/>
        <color rgb="FF000000"/>
        <rFont val="Calibri"/>
      </rPr>
      <t xml:space="preserve">
</t>
    </r>
    <r>
      <rPr>
        <sz val="11"/>
        <color rgb="FF000000"/>
        <rFont val="Calibri"/>
      </rPr>
      <t>If a timeout value of 10 or less is not set for each class, this is a finding.</t>
    </r>
  </si>
  <si>
    <t>V-223232</t>
  </si>
  <si>
    <r>
      <rPr>
        <sz val="11"/>
        <rFont val="Calibri"/>
      </rPr>
      <t>The Juniper SRX Services Gateway must terminate a device management session if the keep-alive count is exceeded.</t>
    </r>
  </si>
  <si>
    <r>
      <rPr>
        <sz val="11"/>
        <color rgb="FF000000"/>
        <rFont val="Calibri"/>
      </rPr>
      <t>Configure this setting by entering the following commands in configuration mode.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services ssh client-alive-count-max &lt;organization-defined value&gt;</t>
    </r>
    <r>
      <rPr>
        <sz val="11"/>
        <color rgb="FF000000"/>
        <rFont val="Calibri"/>
      </rPr>
      <t xml:space="preserve">
</t>
    </r>
    <r>
      <rPr>
        <sz val="11"/>
        <color rgb="FF000000"/>
        <rFont val="Calibri"/>
      </rPr>
      <t>set system services ssh client-alive-interval &lt;organization-defined value&gt;</t>
    </r>
  </si>
  <si>
    <r>
      <rPr>
        <sz val="11"/>
        <color rgb="FF000000"/>
        <rFont val="Calibri"/>
      </rPr>
      <t>Configuring the keep-alive for management protocols mitigates the risk of an open connection being hijacked by an attacker.</t>
    </r>
    <r>
      <rPr>
        <sz val="11"/>
        <color rgb="FF000000"/>
        <rFont val="Calibri"/>
      </rPr>
      <t xml:space="preserve">
</t>
    </r>
    <r>
      <rPr>
        <sz val="11"/>
        <color rgb="FF000000"/>
        <rFont val="Calibri"/>
      </rPr>
      <t>The keep-alive messages and the interval between each message are used to force the system to disconnect a user that has lost network connectivity to the device. This differs from inactivity timeouts because the device does not wait the 10 minutes to log the user out but, instead, immediately logs the user out if the number of keep-alive messages are exceeded. The interval between messages should also be configured. These values should be set to an organization-defined value based on mission requirements and network performance.</t>
    </r>
  </si>
  <si>
    <r>
      <rPr>
        <sz val="11"/>
        <color rgb="FF000000"/>
        <rFont val="Calibri"/>
      </rPr>
      <t>Verify this setting by entering the following commands in configuration mode.</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services ssh</t>
    </r>
    <r>
      <rPr>
        <sz val="11"/>
        <color rgb="FF000000"/>
        <rFont val="Calibri"/>
      </rPr>
      <t xml:space="preserve">
</t>
    </r>
    <r>
      <rPr>
        <sz val="11"/>
        <color rgb="FF000000"/>
        <rFont val="Calibri"/>
      </rPr>
      <t>If the keep-alive count and keep-alive interval is not set to an organization-defined value, this is a finding.</t>
    </r>
  </si>
  <si>
    <t>V-223233</t>
  </si>
  <si>
    <r>
      <rPr>
        <sz val="11"/>
        <rFont val="Calibri"/>
      </rPr>
      <t>The Juniper SRX Services Gateway must configure the control plane to protect against or limit the effects of common types of Denial of Service (DoS) attacks on the device itself by configuring applicable system options and internet-options.</t>
    </r>
  </si>
  <si>
    <r>
      <rPr>
        <sz val="11"/>
        <color rgb="FF000000"/>
        <rFont val="Calibri"/>
      </rPr>
      <t>Configure the system and system-options to protect against DoS attacks.</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no-redirects</t>
    </r>
    <r>
      <rPr>
        <sz val="11"/>
        <color rgb="FF000000"/>
        <rFont val="Calibri"/>
      </rPr>
      <t xml:space="preserve">
</t>
    </r>
    <r>
      <rPr>
        <sz val="11"/>
        <color rgb="FF000000"/>
        <rFont val="Calibri"/>
      </rPr>
      <t>set system no-ping-record-route</t>
    </r>
    <r>
      <rPr>
        <sz val="11"/>
        <color rgb="FF000000"/>
        <rFont val="Calibri"/>
      </rPr>
      <t xml:space="preserve">
</t>
    </r>
    <r>
      <rPr>
        <sz val="11"/>
        <color rgb="FF000000"/>
        <rFont val="Calibri"/>
      </rPr>
      <t>set system no-ping-time-stamp</t>
    </r>
    <r>
      <rPr>
        <sz val="11"/>
        <color rgb="FF000000"/>
        <rFont val="Calibri"/>
      </rPr>
      <t xml:space="preserve">
</t>
    </r>
    <r>
      <rPr>
        <sz val="11"/>
        <color rgb="FF000000"/>
        <rFont val="Calibri"/>
      </rPr>
      <t>set system internet-options icmpv4-rate-limit packet-rate 50</t>
    </r>
    <r>
      <rPr>
        <sz val="11"/>
        <color rgb="FF000000"/>
        <rFont val="Calibri"/>
      </rPr>
      <t xml:space="preserve">
</t>
    </r>
    <r>
      <rPr>
        <sz val="11"/>
        <color rgb="FF000000"/>
        <rFont val="Calibri"/>
      </rPr>
      <t>set system internet-options icmpv6-rate-limit packet-rate 50</t>
    </r>
    <r>
      <rPr>
        <sz val="11"/>
        <color rgb="FF000000"/>
        <rFont val="Calibri"/>
      </rPr>
      <t xml:space="preserve">
</t>
    </r>
    <r>
      <rPr>
        <sz val="11"/>
        <color rgb="FF000000"/>
        <rFont val="Calibri"/>
      </rPr>
      <t>set system internet-options no-ipip-path-mtu-discovery</t>
    </r>
    <r>
      <rPr>
        <sz val="11"/>
        <color rgb="FF000000"/>
        <rFont val="Calibri"/>
      </rPr>
      <t xml:space="preserve">
</t>
    </r>
    <r>
      <rPr>
        <sz val="11"/>
        <color rgb="FF000000"/>
        <rFont val="Calibri"/>
      </rPr>
      <t>set system internet-options no-source-quench</t>
    </r>
    <r>
      <rPr>
        <sz val="11"/>
        <color rgb="FF000000"/>
        <rFont val="Calibri"/>
      </rPr>
      <t xml:space="preserve">
</t>
    </r>
    <r>
      <rPr>
        <sz val="11"/>
        <color rgb="FF000000"/>
        <rFont val="Calibri"/>
      </rPr>
      <t>set system internet-options tcp-drop-synfin-set</t>
    </r>
    <r>
      <rPr>
        <sz val="11"/>
        <color rgb="FF000000"/>
        <rFont val="Calibri"/>
      </rPr>
      <t xml:space="preserve">
</t>
    </r>
    <r>
      <rPr>
        <sz val="11"/>
        <color rgb="FF000000"/>
        <rFont val="Calibri"/>
      </rPr>
      <t>set system internet-options no-ipv6-path-mtu-discovery</t>
    </r>
    <r>
      <rPr>
        <sz val="11"/>
        <color rgb="FF000000"/>
        <rFont val="Calibri"/>
      </rPr>
      <t xml:space="preserve">
</t>
    </r>
    <r>
      <rPr>
        <sz val="11"/>
        <color rgb="FF000000"/>
        <rFont val="Calibri"/>
      </rPr>
      <t>set system internet-options no-tcp-reset drop-all-tcp</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</si>
  <si>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Juniper SRX uses the system commands, system internet-options, and screens to mitigate the impact of DoS attacks on device availability.</t>
    </r>
  </si>
  <si>
    <r>
      <rPr>
        <sz val="11"/>
        <color rgb="FF000000"/>
        <rFont val="Calibri"/>
      </rPr>
      <t>Verify the system options are configured to protect against DoS attacks.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t>
    </r>
    <r>
      <rPr>
        <sz val="11"/>
        <color rgb="FF000000"/>
        <rFont val="Calibri"/>
      </rPr>
      <t xml:space="preserve">
</t>
    </r>
    <r>
      <rPr>
        <sz val="11"/>
        <color rgb="FF000000"/>
        <rFont val="Calibri"/>
      </rPr>
      <t>show system internet-options</t>
    </r>
    <r>
      <rPr>
        <sz val="11"/>
        <color rgb="FF000000"/>
        <rFont val="Calibri"/>
      </rPr>
      <t xml:space="preserve">
</t>
    </r>
    <r>
      <rPr>
        <sz val="11"/>
        <color rgb="FF000000"/>
        <rFont val="Calibri"/>
      </rPr>
      <t>If the system and system-options which limit the effects of common types of DoS attacks are not configured in compliance with DoD requirements, this is a finding.</t>
    </r>
  </si>
  <si>
    <t>V-223234</t>
  </si>
  <si>
    <r>
      <rPr>
        <sz val="11"/>
        <rFont val="Calibri"/>
      </rPr>
      <t>The Juniper SRX Services Gateway must limit the number of sessions per minute to an organization-defined number for SSH to protect remote access management from unauthorized access.</t>
    </r>
  </si>
  <si>
    <r>
      <rPr>
        <sz val="11"/>
        <color rgb="FF000000"/>
        <rFont val="Calibri"/>
      </rPr>
      <t>Configure the SSH protocol with a rate limit.</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services ssh rate-limit 4</t>
    </r>
    <r>
      <rPr>
        <sz val="11"/>
        <color rgb="FF000000"/>
        <rFont val="Calibri"/>
      </rPr>
      <t xml:space="preserve">
</t>
    </r>
    <r>
      <rPr>
        <sz val="11"/>
        <color rgb="FF000000"/>
        <rFont val="Calibri"/>
      </rPr>
      <t>Note: Juniper Networks recommends a best practice of 4 for the rate limit; however, the limit should be as restrictive as operationally practical.</t>
    </r>
  </si>
  <si>
    <r>
      <rPr>
        <sz val="11"/>
        <color rgb="FF000000"/>
        <rFont val="Calibri"/>
      </rPr>
      <t>The rate-limit command limits the number of SSH session attempts allowed per minute which helps limit an attacker's ability to perform DoS attacks. The rate limit should be as restrictive as operationally practical.</t>
    </r>
    <r>
      <rPr>
        <sz val="11"/>
        <color rgb="FF000000"/>
        <rFont val="Calibri"/>
      </rPr>
      <t xml:space="preserve">
</t>
    </r>
    <r>
      <rPr>
        <sz val="11"/>
        <color rgb="FF000000"/>
        <rFont val="Calibri"/>
      </rPr>
      <t xml:space="preserve">Juniper Networks recommends a best practice of 4 for the rate limit, however the limit should be as restrictive as operationally practical. </t>
    </r>
    <r>
      <rPr>
        <sz val="11"/>
        <color rgb="FF000000"/>
        <rFont val="Calibri"/>
      </rPr>
      <t xml:space="preserve">
</t>
    </r>
    <r>
      <rPr>
        <sz val="11"/>
        <color rgb="FF000000"/>
        <rFont val="Calibri"/>
      </rPr>
      <t>User connections that exceed the rate-limit will be closed immediately after the connection is initiated. They will not be in a waiting state.</t>
    </r>
  </si>
  <si>
    <r>
      <rPr>
        <sz val="11"/>
        <color rgb="FF000000"/>
        <rFont val="Calibri"/>
      </rPr>
      <t>Verify the Juniper SRX sets a connection-limit for the SSH protocol.</t>
    </r>
    <r>
      <rPr>
        <sz val="11"/>
        <color rgb="FF000000"/>
        <rFont val="Calibri"/>
      </rPr>
      <t xml:space="preserve">
</t>
    </r>
    <r>
      <rPr>
        <sz val="11"/>
        <color rgb="FF000000"/>
        <rFont val="Calibri"/>
      </rPr>
      <t>Show system services ssh</t>
    </r>
    <r>
      <rPr>
        <sz val="11"/>
        <color rgb="FF000000"/>
        <rFont val="Calibri"/>
      </rPr>
      <t xml:space="preserve">
</t>
    </r>
    <r>
      <rPr>
        <sz val="11"/>
        <color rgb="FF000000"/>
        <rFont val="Calibri"/>
      </rPr>
      <t>If the SSH connection-limit is not set to 4 or an organization-defined value, this is a finding.</t>
    </r>
  </si>
  <si>
    <t>V-223235</t>
  </si>
  <si>
    <r>
      <rPr>
        <sz val="11"/>
        <rFont val="Calibri"/>
      </rPr>
      <t>The Juniper SRX Services Gateway must implement service redundancy to protect against or limit the effects of common types of Denial of Service (DoS) attacks on the device itself.</t>
    </r>
  </si>
  <si>
    <r>
      <rPr>
        <sz val="11"/>
        <color rgb="FF000000"/>
        <rFont val="Calibri"/>
      </rPr>
      <t>Interfaces can be monitored by a redundancy group for automatic failover to another node. Assign a weight to the interface to be monitored.</t>
    </r>
    <r>
      <rPr>
        <sz val="11"/>
        <color rgb="FF000000"/>
        <rFont val="Calibri"/>
      </rPr>
      <t xml:space="preserve">
</t>
    </r>
    <r>
      <rPr>
        <sz val="11"/>
        <color rgb="FF000000"/>
        <rFont val="Calibri"/>
      </rPr>
      <t>This configuration is an extremely complex configuration. Consult the vendor documentation.</t>
    </r>
    <r>
      <rPr>
        <sz val="11"/>
        <color rgb="FF000000"/>
        <rFont val="Calibri"/>
      </rPr>
      <t xml:space="preserve">
</t>
    </r>
    <r>
      <rPr>
        <sz val="11"/>
        <color rgb="FF000000"/>
        <rFont val="Calibri"/>
      </rPr>
      <t xml:space="preserve">Set the chassis cluster node ID and cluster ID. </t>
    </r>
    <r>
      <rPr>
        <sz val="11"/>
        <color rgb="FF000000"/>
        <rFont val="Calibri"/>
      </rPr>
      <t xml:space="preserve">
</t>
    </r>
    <r>
      <rPr>
        <sz val="11"/>
        <color rgb="FF000000"/>
        <rFont val="Calibri"/>
      </rPr>
      <t>Configure the chassis cluster management interface.</t>
    </r>
    <r>
      <rPr>
        <sz val="11"/>
        <color rgb="FF000000"/>
        <rFont val="Calibri"/>
      </rPr>
      <t xml:space="preserve">
</t>
    </r>
    <r>
      <rPr>
        <sz val="11"/>
        <color rgb="FF000000"/>
        <rFont val="Calibri"/>
      </rPr>
      <t>Configure the chassis cluster fabric.</t>
    </r>
    <r>
      <rPr>
        <sz val="11"/>
        <color rgb="FF000000"/>
        <rFont val="Calibri"/>
      </rPr>
      <t xml:space="preserve">
</t>
    </r>
    <r>
      <rPr>
        <sz val="11"/>
        <color rgb="FF000000"/>
        <rFont val="Calibri"/>
      </rPr>
      <t xml:space="preserve">Configure the chassis cluster redundancy group </t>
    </r>
    <r>
      <rPr>
        <sz val="11"/>
        <color rgb="FF000000"/>
        <rFont val="Calibri"/>
      </rPr>
      <t xml:space="preserve">
</t>
    </r>
    <r>
      <rPr>
        <sz val="11"/>
        <color rgb="FF000000"/>
        <rFont val="Calibri"/>
      </rPr>
      <t xml:space="preserve">Specify the interface to be monitored by a redundancy group. </t>
    </r>
    <r>
      <rPr>
        <sz val="11"/>
        <color rgb="FF000000"/>
        <rFont val="Calibri"/>
      </rPr>
      <t xml:space="preserve">
</t>
    </r>
    <r>
      <rPr>
        <sz val="11"/>
        <color rgb="FF000000"/>
        <rFont val="Calibri"/>
      </rPr>
      <t>Specify the interface to be monitored by a redundancy group. Example: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chassis cluster redundancy-group 1 interface-monitor ge-6/0/2 weight 255</t>
    </r>
  </si>
  <si>
    <r>
      <rPr>
        <sz val="11"/>
        <color rgb="FF000000"/>
        <rFont val="Calibri"/>
      </rPr>
      <t>Service redundancy, may reduce the susceptibility to some DoS attacks.</t>
    </r>
    <r>
      <rPr>
        <sz val="11"/>
        <color rgb="FF000000"/>
        <rFont val="Calibri"/>
      </rPr>
      <t xml:space="preserve">
</t>
    </r>
    <r>
      <rPr>
        <sz val="11"/>
        <color rgb="FF000000"/>
        <rFont val="Calibri"/>
      </rPr>
      <t>Organizations must consider the need for service redundancy in accordance with DoD policy. If service redundancy is required then this technical control is applicable.</t>
    </r>
    <r>
      <rPr>
        <sz val="11"/>
        <color rgb="FF000000"/>
        <rFont val="Calibri"/>
      </rPr>
      <t xml:space="preserve">
</t>
    </r>
    <r>
      <rPr>
        <sz val="11"/>
        <color rgb="FF000000"/>
        <rFont val="Calibri"/>
      </rPr>
      <t>The Juniper SRX can configure your system to monitor the health of the interfaces belonging to a redundancy group.</t>
    </r>
  </si>
  <si>
    <r>
      <rPr>
        <sz val="11"/>
        <color rgb="FF000000"/>
        <rFont val="Calibri"/>
      </rPr>
      <t>If service redundancy is not required by the organization's policy, this is not a finding.</t>
    </r>
    <r>
      <rPr>
        <sz val="11"/>
        <color rgb="FF000000"/>
        <rFont val="Calibri"/>
      </rPr>
      <t xml:space="preserve">
</t>
    </r>
    <r>
      <rPr>
        <sz val="11"/>
        <color rgb="FF000000"/>
        <rFont val="Calibri"/>
      </rPr>
      <t xml:space="preserve">Verify the configuration is working properly: </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chassis cluster interfaces command.</t>
    </r>
    <r>
      <rPr>
        <sz val="11"/>
        <color rgb="FF000000"/>
        <rFont val="Calibri"/>
      </rPr>
      <t xml:space="preserve">
</t>
    </r>
    <r>
      <rPr>
        <sz val="11"/>
        <color rgb="FF000000"/>
        <rFont val="Calibri"/>
      </rPr>
      <t>If service redundancy is not configured, this is a finding.</t>
    </r>
  </si>
  <si>
    <t>V-223236</t>
  </si>
  <si>
    <r>
      <rPr>
        <sz val="11"/>
        <rFont val="Calibri"/>
      </rPr>
      <t>The Juniper SRX Services Gateway must be configured to use Junos 12.1 X46 or later to meet the minimum required version for DoD.</t>
    </r>
  </si>
  <si>
    <r>
      <rPr>
        <sz val="11"/>
        <color rgb="FF000000"/>
        <rFont val="Calibri"/>
      </rPr>
      <t>Follow the manufacturer's instructions for upgrading the Junos version. Software updates must be from an approved site and follow approved DoD procedures and verification processes in accordance with site testing procedures.</t>
    </r>
  </si>
  <si>
    <r>
      <rPr>
        <sz val="11"/>
        <color rgb="FF000000"/>
        <rFont val="Calibri"/>
      </rPr>
      <t>Earlier versions of Junos may have reached the end of life cycle support by the vendor. Junos 12.1X46 is not a UC APL certified version, while 12.1X46 is UC APL Certified. The SRX with Junos 12.1X46 has been NIAP certified as a firewall and VPN. Junos 12.1X46 contains a number of enhancements, particularly related to IPv6, that are relevant to the STIG.</t>
    </r>
  </si>
  <si>
    <r>
      <rPr>
        <sz val="11"/>
        <color rgb="FF000000"/>
        <rFont val="Calibri"/>
      </rPr>
      <t>Verify the version installed is Junos 12.1 X46 or later. In operational mode, type the following:</t>
    </r>
    <r>
      <rPr>
        <sz val="11"/>
        <color rgb="FF000000"/>
        <rFont val="Calibri"/>
      </rPr>
      <t xml:space="preserve">
</t>
    </r>
    <r>
      <rPr>
        <sz val="11"/>
        <color rgb="FF000000"/>
        <rFont val="Calibri"/>
      </rPr>
      <t>show version</t>
    </r>
    <r>
      <rPr>
        <sz val="11"/>
        <color rgb="FF000000"/>
        <rFont val="Calibri"/>
      </rPr>
      <t xml:space="preserve">
</t>
    </r>
    <r>
      <rPr>
        <sz val="11"/>
        <color rgb="FF000000"/>
        <rFont val="Calibri"/>
      </rPr>
      <t>If the Junos version installed is not 12.1 X46 or later, this is a finding.</t>
    </r>
  </si>
  <si>
    <t>V-223237</t>
  </si>
  <si>
    <r>
      <rPr>
        <sz val="11"/>
        <rFont val="Calibri"/>
      </rPr>
      <t>For nonlocal maintenance sessions, the Juniper SRX Services Gateway must explicitly deny the use of J-Web.</t>
    </r>
  </si>
  <si>
    <r>
      <rPr>
        <sz val="11"/>
        <color rgb="FF000000"/>
        <rFont val="Calibri"/>
      </rPr>
      <t>Remove the web-management service.</t>
    </r>
    <r>
      <rPr>
        <sz val="11"/>
        <color rgb="FF000000"/>
        <rFont val="Calibri"/>
      </rPr>
      <t xml:space="preserve">
</t>
    </r>
    <r>
      <rPr>
        <sz val="11"/>
        <color rgb="FF000000"/>
        <rFont val="Calibri"/>
      </rPr>
      <t>[edit]</t>
    </r>
    <r>
      <rPr>
        <sz val="11"/>
        <color rgb="FF000000"/>
        <rFont val="Calibri"/>
      </rPr>
      <t xml:space="preserve">
</t>
    </r>
    <r>
      <rPr>
        <sz val="11"/>
        <color rgb="FF000000"/>
        <rFont val="Calibri"/>
      </rPr>
      <t>delete system services web-management</t>
    </r>
  </si>
  <si>
    <r>
      <rPr>
        <sz val="11"/>
        <color rgb="FF000000"/>
        <rFont val="Calibri"/>
      </rPr>
      <t>If unsecured functions (lacking FIPS-validated cryptographic mechanisms) are used for management sessions, the contents of those sessions are susceptible to manipulation, potentially allowing alteration and hijacking.</t>
    </r>
    <r>
      <rPr>
        <sz val="11"/>
        <color rgb="FF000000"/>
        <rFont val="Calibri"/>
      </rPr>
      <t xml:space="preserve">
</t>
    </r>
    <r>
      <rPr>
        <sz val="11"/>
        <color rgb="FF000000"/>
        <rFont val="Calibri"/>
      </rPr>
      <t>J-Web (configured using the system services web-management option) does not meet the DoD requirement for management tools. It also does not work with all Juniper SRX hardware. By default, the web interface is disabled; however, it is easily enabled.</t>
    </r>
  </si>
  <si>
    <r>
      <rPr>
        <sz val="11"/>
        <color rgb="FF000000"/>
        <rFont val="Calibri"/>
      </rPr>
      <t>Verify web-management is not enabled.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services web-management</t>
    </r>
    <r>
      <rPr>
        <sz val="11"/>
        <color rgb="FF000000"/>
        <rFont val="Calibri"/>
      </rPr>
      <t xml:space="preserve">
</t>
    </r>
    <r>
      <rPr>
        <sz val="11"/>
        <color rgb="FF000000"/>
        <rFont val="Calibri"/>
      </rPr>
      <t>If a stanza exists that configures web-management service options, this is a finding.</t>
    </r>
  </si>
  <si>
    <t>V-229014</t>
  </si>
  <si>
    <r>
      <rPr>
        <sz val="11"/>
        <rFont val="Calibri"/>
      </rPr>
      <t>The Juniper SRX Services Gateway must automatically terminate a network administrator session after organization-defined conditions or trigger events requiring session disconnect.</t>
    </r>
  </si>
  <si>
    <r>
      <rPr>
        <sz val="11"/>
        <color rgb="FF000000"/>
        <rFont val="Calibri"/>
      </rPr>
      <t>To configure user access on specific days of the week for a specified duration, include the allowed-days, access-start, and access-end statements. The following is an example of a configuration for a class which would automatically log out users. Consult the Juniper SRX documentation for other options.</t>
    </r>
    <r>
      <rPr>
        <sz val="11"/>
        <color rgb="FF000000"/>
        <rFont val="Calibri"/>
      </rPr>
      <t xml:space="preserve">
</t>
    </r>
    <r>
      <rPr>
        <sz val="11"/>
        <color rgb="FF000000"/>
        <rFont val="Calibri"/>
      </rPr>
      <t>[edit system login]</t>
    </r>
    <r>
      <rPr>
        <sz val="11"/>
        <color rgb="FF000000"/>
        <rFont val="Calibri"/>
      </rPr>
      <t xml:space="preserve">
</t>
    </r>
    <r>
      <rPr>
        <sz val="11"/>
        <color rgb="FF000000"/>
        <rFont val="Calibri"/>
      </rPr>
      <t>class class-name allowed-days [ days-of-the-week ];</t>
    </r>
    <r>
      <rPr>
        <sz val="11"/>
        <color rgb="FF000000"/>
        <rFont val="Calibri"/>
      </rPr>
      <t xml:space="preserve">
</t>
    </r>
    <r>
      <rPr>
        <sz val="11"/>
        <color rgb="FF000000"/>
        <rFont val="Calibri"/>
      </rPr>
      <t>class class-name access-start HH:MM;</t>
    </r>
    <r>
      <rPr>
        <sz val="11"/>
        <color rgb="FF000000"/>
        <rFont val="Calibri"/>
      </rPr>
      <t xml:space="preserve">
</t>
    </r>
    <r>
      <rPr>
        <sz val="11"/>
        <color rgb="FF000000"/>
        <rFont val="Calibri"/>
      </rPr>
      <t>class class-name access-end HH:MM;</t>
    </r>
  </si>
  <si>
    <r>
      <rPr>
        <sz val="11"/>
        <color rgb="FF000000"/>
        <rFont val="Calibri"/>
      </rPr>
      <t xml:space="preserve">Automatic session termination addresses the termination of administrator-initiated logical sessions in contrast to the termination of network connections that are associated with communications sessions (i.e., network disconnect).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 These conditions will vary across environments and network device types.</t>
    </r>
    <r>
      <rPr>
        <sz val="11"/>
        <color rgb="FF000000"/>
        <rFont val="Calibri"/>
      </rPr>
      <t xml:space="preserve">
</t>
    </r>
    <r>
      <rPr>
        <sz val="11"/>
        <color rgb="FF000000"/>
        <rFont val="Calibri"/>
      </rPr>
      <t>The Juniper SRX can be configured to limit login times or to logout users after a certain time period if desired by the organization. These setting are configured as options on the login class to which they apply.</t>
    </r>
  </si>
  <si>
    <r>
      <rPr>
        <sz val="11"/>
        <color rgb="FF000000"/>
        <rFont val="Calibri"/>
      </rPr>
      <t>If the organization does not have a requirement for triggered, automated logout, this is not a finding.</t>
    </r>
    <r>
      <rPr>
        <sz val="11"/>
        <color rgb="FF000000"/>
        <rFont val="Calibri"/>
      </rPr>
      <t xml:space="preserve">
</t>
    </r>
    <r>
      <rPr>
        <sz val="11"/>
        <color rgb="FF000000"/>
        <rFont val="Calibri"/>
      </rPr>
      <t xml:space="preserve">Obtain a list of organization-defined triggered, automated requirements that are required for the Juniper SRX. </t>
    </r>
    <r>
      <rPr>
        <sz val="11"/>
        <color rgb="FF000000"/>
        <rFont val="Calibri"/>
      </rPr>
      <t xml:space="preserve">
</t>
    </r>
    <r>
      <rPr>
        <sz val="11"/>
        <color rgb="FF000000"/>
        <rFont val="Calibri"/>
      </rPr>
      <t>To verify configuration of special user access controls.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t>
    </r>
    <r>
      <rPr>
        <sz val="11"/>
        <color rgb="FF000000"/>
        <rFont val="Calibri"/>
      </rPr>
      <t xml:space="preserve">
</t>
    </r>
    <r>
      <rPr>
        <sz val="11"/>
        <color rgb="FF000000"/>
        <rFont val="Calibri"/>
      </rPr>
      <t>View time-based or other triggers which are configured to control automated logout.</t>
    </r>
    <r>
      <rPr>
        <sz val="11"/>
        <color rgb="FF000000"/>
        <rFont val="Calibri"/>
      </rPr>
      <t xml:space="preserve">
</t>
    </r>
    <r>
      <rPr>
        <sz val="11"/>
        <color rgb="FF000000"/>
        <rFont val="Calibri"/>
      </rPr>
      <t>If the organization has documented requirements for triggered, automated termination and they are not configured, this is a finding.</t>
    </r>
  </si>
  <si>
    <t>V-229015</t>
  </si>
  <si>
    <r>
      <rPr>
        <sz val="11"/>
        <rFont val="Calibri"/>
      </rPr>
      <t>For local accounts, the Juniper SRX Services Gateway must generate an alert message to the management console and generate a log event record that can be forwarded to the ISSO and designated system administrators when local accounts are created.</t>
    </r>
  </si>
  <si>
    <r>
      <rPr>
        <sz val="11"/>
        <color rgb="FF000000"/>
        <rFont val="Calibri"/>
      </rPr>
      <t>Configure the Juniper SRX to generate and send a notification or log message immediately that can be forwarded via an event monitoring system (e.g., via Syslog configuration, SNMP trap, manned console message, or other events monitoring system). The NSM, Syslog, or SNMP server must then be configured to send the message.</t>
    </r>
    <r>
      <rPr>
        <sz val="11"/>
        <color rgb="FF000000"/>
        <rFont val="Calibri"/>
      </rPr>
      <t xml:space="preserve">
</t>
    </r>
    <r>
      <rPr>
        <sz val="11"/>
        <color rgb="FF000000"/>
        <rFont val="Calibri"/>
      </rPr>
      <t xml:space="preserve">The following commands configure the device to immediately display a message to any currently logged on administrator's console when changes are made to the configuration. This is an example method. Alerts must be sent immediately to the designated individuals (e.g., via Syslog configuration, SNMP trap, manned console message, or other events monitoring system). </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set system syslog users * change-log &lt;info | any&gt; </t>
    </r>
    <r>
      <rPr>
        <sz val="11"/>
        <color rgb="FF000000"/>
        <rFont val="Calibri"/>
      </rPr>
      <t xml:space="preserve">
</t>
    </r>
    <r>
      <rPr>
        <sz val="11"/>
        <color rgb="FF000000"/>
        <rFont val="Calibri"/>
      </rPr>
      <t>set system syslog host &lt;IP-syslog-server&gt; any any</t>
    </r>
    <r>
      <rPr>
        <sz val="11"/>
        <color rgb="FF000000"/>
        <rFont val="Calibri"/>
      </rPr>
      <t xml:space="preserve">
</t>
    </r>
    <r>
      <rPr>
        <sz val="11"/>
        <color rgb="FF000000"/>
        <rFont val="Calibri"/>
      </rPr>
      <t>set system syslog file account-actions change-log any any</t>
    </r>
  </si>
  <si>
    <r>
      <rPr>
        <sz val="11"/>
        <color rgb="FF000000"/>
        <rFont val="Calibri"/>
      </rPr>
      <t>An authorized insider or individual who maliciously creates a local account could gain immediate access from a remote location to privileged information on a critical security device. Sending an alert to the administrators and ISSO when this action occurs greatly reduces the risk that accounts will be surreptitiously created.</t>
    </r>
    <r>
      <rPr>
        <sz val="11"/>
        <color rgb="FF000000"/>
        <rFont val="Calibri"/>
      </rPr>
      <t xml:space="preserve">
</t>
    </r>
    <r>
      <rPr>
        <sz val="11"/>
        <color rgb="FF000000"/>
        <rFont val="Calibri"/>
      </rPr>
      <t>Automated mechanisms can be used to send automatic alerts or notifications. Such automatic alerts or notifications can be conveyed in a variety of ways (e.g., telephonically, via electronic mail, via text message, or via websites). The ALG must either send the alert to a management console that is actively monitored by authorized personnel or use a messaging capability to send the alert directly to designated personnel. Alerts must be sent immediately to designated individuals. Alerts may be sent via NMS, SIEM, Syslog configuration, SNMP trap or notice, or manned console message.</t>
    </r>
    <r>
      <rPr>
        <sz val="11"/>
        <color rgb="FF000000"/>
        <rFont val="Calibri"/>
      </rPr>
      <t xml:space="preserve">
</t>
    </r>
    <r>
      <rPr>
        <sz val="11"/>
        <color rgb="FF000000"/>
        <rFont val="Calibri"/>
      </rPr>
      <t>Although, based on policy, administrator accounts must be created on the AAA server, thus this requirement addresses the creation of unauthorized accounts on the Juniper SRX itself. This does not negate the need to address this requirement on the AAA server and the event monitoring server (e.g., Syslog, Security Information and Event Management [SIEM], or SNMP servers).</t>
    </r>
  </si>
  <si>
    <r>
      <rPr>
        <sz val="11"/>
        <color rgb="FF000000"/>
        <rFont val="Calibri"/>
      </rPr>
      <t>Verify the device is configured to display change-log events of severity info.</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the system is not configured to display account creation actions on the management console and generate an event log message to the Syslog server and a local file, this is a finding.</t>
    </r>
  </si>
  <si>
    <t>V-229016</t>
  </si>
  <si>
    <r>
      <rPr>
        <sz val="11"/>
        <rFont val="Calibri"/>
      </rPr>
      <t>The Juniper SRX Services Gateway must generate an alert message to the management console and generate a log event record that can be forwarded to the ISSO and designated system administrators when the local accounts (i.e., the account of last resort or root account) are modified.</t>
    </r>
  </si>
  <si>
    <r>
      <rPr>
        <sz val="11"/>
        <color rgb="FF000000"/>
        <rFont val="Calibri"/>
      </rPr>
      <t>An authorized insider or individual who maliciously modifies a local account could gain immediate access from a remote location to privileged information on a critical security device. Sending an alert to the administrators and ISSO when this action occurs greatly reduces the risk that accounts will be surreptitiously modified.</t>
    </r>
    <r>
      <rPr>
        <sz val="11"/>
        <color rgb="FF000000"/>
        <rFont val="Calibri"/>
      </rPr>
      <t xml:space="preserve">
</t>
    </r>
    <r>
      <rPr>
        <sz val="11"/>
        <color rgb="FF000000"/>
        <rFont val="Calibri"/>
      </rPr>
      <t>Automated mechanisms can be used to send automatic alerts or notifications. Such automatic alerts or notifications can be conveyed in a variety of ways (e.g., telephonically, via electronic mail, via text message, or via websites). The ALG must either send the alert to a management console that is actively monitored by authorized personnel or use a messaging capability to send the alert directly to designated personnel. Alerts must be sent immediately to designated individuals. Alerts may be sent via NMS, SIEM, Syslog configuration, SNMP trap or notice, or manned console message.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Although, based on policy, administrator accounts must be modified on the AAA server, thus this requirement addresses the modification of unauthorized accounts on the Juniper SRX itself. This does not negate the need to address this requirement on the AAA server and the event monitoring server (e.g., Syslog, Security Information and Event Management [SIEM], or SNMP servers).</t>
    </r>
  </si>
  <si>
    <r>
      <rPr>
        <sz val="11"/>
        <color rgb="FF000000"/>
        <rFont val="Calibri"/>
      </rPr>
      <t>Verify the device is configured to display change-log events of severity info.</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the system does not display account modification actions on the management console and generate an event log message to the Syslog server and a local file, this is a finding.</t>
    </r>
  </si>
  <si>
    <t>V-229017</t>
  </si>
  <si>
    <r>
      <rPr>
        <sz val="11"/>
        <rFont val="Calibri"/>
      </rPr>
      <t>The Juniper SRX Services Gateway must generate an alert message to the management console and generate a log event record that can be forwarded to the ISSO and designated system administrators when accounts are disabled.</t>
    </r>
  </si>
  <si>
    <r>
      <rPr>
        <sz val="11"/>
        <color rgb="FF000000"/>
        <rFont val="Calibri"/>
      </rPr>
      <t>Configure the Juniper SRX to generate and send a notification or log message immediately that can be forwarded via an event monitoring system (e.g., via Syslog configuration, SNMP trap, manned console message, or other events monitoring system). The NSM, Syslog, or SNMP server must then be configured to send the message.</t>
    </r>
    <r>
      <rPr>
        <sz val="11"/>
        <color rgb="FF000000"/>
        <rFont val="Calibri"/>
      </rPr>
      <t xml:space="preserve">
</t>
    </r>
    <r>
      <rPr>
        <sz val="11"/>
        <color rgb="FF000000"/>
        <rFont val="Calibri"/>
      </rPr>
      <t>The following commands configure the device to immediately display a message to any currently logged on administrator's console when changes are made to the configuration. This is an example method. Alerts must be sent immediately to the designated individuals (e.g., via Syslog configuration, SNMP trap, manned console message, or other events monitoring system).</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set system syslog users * change-log &lt;info | any&gt; </t>
    </r>
    <r>
      <rPr>
        <sz val="11"/>
        <color rgb="FF000000"/>
        <rFont val="Calibri"/>
      </rPr>
      <t xml:space="preserve">
</t>
    </r>
    <r>
      <rPr>
        <sz val="11"/>
        <color rgb="FF000000"/>
        <rFont val="Calibri"/>
      </rPr>
      <t>set system syslog host &lt;IP-syslog-server&gt; any any</t>
    </r>
    <r>
      <rPr>
        <sz val="11"/>
        <color rgb="FF000000"/>
        <rFont val="Calibri"/>
      </rPr>
      <t xml:space="preserve">
</t>
    </r>
    <r>
      <rPr>
        <sz val="11"/>
        <color rgb="FF000000"/>
        <rFont val="Calibri"/>
      </rPr>
      <t>set system syslog file account-actions change-log any any</t>
    </r>
  </si>
  <si>
    <r>
      <rPr>
        <sz val="11"/>
        <color rgb="FF000000"/>
        <rFont val="Calibri"/>
      </rPr>
      <t>An authorized insider or individual who maliciously disables a local account could gain immediate access from a remote location to privileged information on a critical security device. Sending an alert to the administrators and ISSO when this action occurs greatly reduces the risk that accounts will be surreptitiously disabled.</t>
    </r>
    <r>
      <rPr>
        <sz val="11"/>
        <color rgb="FF000000"/>
        <rFont val="Calibri"/>
      </rPr>
      <t xml:space="preserve">
</t>
    </r>
    <r>
      <rPr>
        <sz val="11"/>
        <color rgb="FF000000"/>
        <rFont val="Calibri"/>
      </rPr>
      <t>Automated mechanisms can be used to send automatic alerts or notifications. Such automatic alerts or notifications can be conveyed in a variety of ways (e.g., telephonically, via electronic mail, via text message, or via websites). The ALG must either send the alert to a management console that is actively monitored by authorized personnel or use a messaging capability to send the alert directly to designated personnel. Alerts must be sent immediately to designated individuals. Alerts may be sent via NMS, SIEM, Syslog configuration, SNMP trap or notice, or manned console message.</t>
    </r>
    <r>
      <rPr>
        <sz val="11"/>
        <color rgb="FF000000"/>
        <rFont val="Calibri"/>
      </rPr>
      <t xml:space="preserve">
</t>
    </r>
    <r>
      <rPr>
        <sz val="11"/>
        <color rgb="FF000000"/>
        <rFont val="Calibri"/>
      </rPr>
      <t>Although, based on policy, administrator accounts must be disabled on the AAA server,  this requirement addresses the disabling of unauthorized accounts on the Juniper SRX itself. This does not negate the need to address this requirement on the AAA server and the event monitoring server (e.g., Syslog, Security Information and Event Management [SIEM], or SNMP servers).</t>
    </r>
  </si>
  <si>
    <r>
      <rPr>
        <sz val="11"/>
        <color rgb="FF000000"/>
        <rFont val="Calibri"/>
      </rPr>
      <t>Verify the device is configured to display change-log events of severity info.</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the system does not display account disabling actions on the management console and generate an event log message to the Syslog server and a local file, this is a finding.</t>
    </r>
  </si>
  <si>
    <t>V-229018</t>
  </si>
  <si>
    <r>
      <rPr>
        <sz val="11"/>
        <rFont val="Calibri"/>
      </rPr>
      <t>The Juniper SRX Services Gateway must generate alerts to the management console and generate a log record that can be forwarded to the ISSO and designated system administrators when the local accounts (i.e., the account of last resort or root account) are deleted.</t>
    </r>
  </si>
  <si>
    <r>
      <rPr>
        <sz val="11"/>
        <color rgb="FF000000"/>
        <rFont val="Calibri"/>
      </rPr>
      <t xml:space="preserve">The following commands configure the device to immediately display a message to any currently logged on administrator's console when changes are made to the configuration. This is an example method. Alerts must be sent immediately to the designated individuals (e.g., via Syslog configuration, SNMP trap, manned console message, or other events monitoring system). </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set system syslog users * change-log &lt;info | any&gt; </t>
    </r>
    <r>
      <rPr>
        <sz val="11"/>
        <color rgb="FF000000"/>
        <rFont val="Calibri"/>
      </rPr>
      <t xml:space="preserve">
</t>
    </r>
    <r>
      <rPr>
        <sz val="11"/>
        <color rgb="FF000000"/>
        <rFont val="Calibri"/>
      </rPr>
      <t>set system syslog host &lt;IP-syslog-server&gt; any any</t>
    </r>
    <r>
      <rPr>
        <sz val="11"/>
        <color rgb="FF000000"/>
        <rFont val="Calibri"/>
      </rPr>
      <t xml:space="preserve">
</t>
    </r>
    <r>
      <rPr>
        <sz val="11"/>
        <color rgb="FF000000"/>
        <rFont val="Calibri"/>
      </rPr>
      <t>set system syslog file account-actions change-log any any</t>
    </r>
  </si>
  <si>
    <r>
      <rPr>
        <sz val="11"/>
        <color rgb="FF000000"/>
        <rFont val="Calibri"/>
      </rPr>
      <t>An authorized insider or individual who maliciously delete a local account could gain immediate access from a remote location to privileged information on a critical security device. Sending an alert to the administrators and ISSO when this action occurs greatly reduces the risk that accounts will be surreptitiously deleted.</t>
    </r>
    <r>
      <rPr>
        <sz val="11"/>
        <color rgb="FF000000"/>
        <rFont val="Calibri"/>
      </rPr>
      <t xml:space="preserve">
</t>
    </r>
    <r>
      <rPr>
        <sz val="11"/>
        <color rgb="FF000000"/>
        <rFont val="Calibri"/>
      </rPr>
      <t>Automated mechanisms can be used to send automatic alerts or notifications. Such automatic alerts or notifications can be conveyed in a variety of ways (e.g., telephonically, via electronic mail, via text message, or via websites). The ALG must either send the alert to a management console that is actively monitored by authorized personnel or use a messaging capability to send the alert directly to designated personnel. Alerts must be sent immediately to designated individuals. Alerts may be sent via NMS, SIEM, Syslog configuration, SNMP trap or notice, or manned console message.</t>
    </r>
    <r>
      <rPr>
        <sz val="11"/>
        <color rgb="FF000000"/>
        <rFont val="Calibri"/>
      </rPr>
      <t xml:space="preserve">
</t>
    </r>
    <r>
      <rPr>
        <sz val="11"/>
        <color rgb="FF000000"/>
        <rFont val="Calibri"/>
      </rPr>
      <t>Although, based on policy, administrator accounts must be deleted on the AAA server, this requirement addresses the deletion of unauthorized accounts on the Juniper SRX itself. This does not negate the need to address this requirement on the AAA server and the event monitoring server (e.g., Syslog, Security Information and Event Management [SIEM], or SNMP servers).</t>
    </r>
    <r>
      <rPr>
        <sz val="11"/>
        <color rgb="FF000000"/>
        <rFont val="Calibri"/>
      </rPr>
      <t xml:space="preserve">
</t>
    </r>
    <r>
      <rPr>
        <sz val="11"/>
        <color rgb="FF000000"/>
        <rFont val="Calibri"/>
      </rPr>
      <t>Accounts can be disabled by configuring the account with the built-in login class "unauthorized". When the command is reissued with a different login class, the account is enabled.</t>
    </r>
  </si>
  <si>
    <r>
      <rPr>
        <sz val="11"/>
        <color rgb="FF000000"/>
        <rFont val="Calibri"/>
      </rPr>
      <t>Verify the device is configured to display change-log events of severity info.</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the system is not configured to display account deletion actions on the management console and generate an event log message to the Syslog server and a local file, this is a finding.</t>
    </r>
  </si>
  <si>
    <t>V-229019</t>
  </si>
  <si>
    <r>
      <rPr>
        <sz val="11"/>
        <rFont val="Calibri"/>
      </rPr>
      <t>The Juniper SRX Services Gateway must generate an immediate alert message to the management console for account enabling actions.</t>
    </r>
  </si>
  <si>
    <r>
      <rPr>
        <sz val="11"/>
        <color rgb="FF000000"/>
        <rFont val="Calibri"/>
      </rPr>
      <t xml:space="preserve">The following commands configure the device to immediately display a message to any currently logged on administrator's console when changes are made to the configuration. This is an example method. Alerts must be sent immediately to the designated individuals (e.g., via Syslog configuration, SNMP trap, manned console message, or other events monitoring system).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syslog users * change-log &lt;info | any&gt;</t>
    </r>
  </si>
  <si>
    <r>
      <rPr>
        <sz val="11"/>
        <color rgb="FF000000"/>
        <rFont val="Calibri"/>
      </rPr>
      <t>In order to detect and respond to events that affect network administrator accessibility and device processing, network devices must audit account enabling actions and, as required, notify the appropriate individuals so they can investigate the event.</t>
    </r>
    <r>
      <rPr>
        <sz val="11"/>
        <color rgb="FF000000"/>
        <rFont val="Calibri"/>
      </rPr>
      <t xml:space="preserve">
</t>
    </r>
    <r>
      <rPr>
        <sz val="11"/>
        <color rgb="FF000000"/>
        <rFont val="Calibri"/>
      </rPr>
      <t xml:space="preserve">Alerts must be sent immediately to the designated individuals (e.g., via Syslog configuration, SNMP trap, manned console message, or other events monitoring system). </t>
    </r>
    <r>
      <rPr>
        <sz val="11"/>
        <color rgb="FF000000"/>
        <rFont val="Calibri"/>
      </rPr>
      <t xml:space="preserve">
</t>
    </r>
    <r>
      <rPr>
        <sz val="11"/>
        <color rgb="FF000000"/>
        <rFont val="Calibri"/>
      </rPr>
      <t>Accounts can be disabled by configuring the account with the built-in login class "unauthorized". When the command is reissued with a different login class, the account is enabled.</t>
    </r>
  </si>
  <si>
    <r>
      <rPr>
        <sz val="11"/>
        <color rgb="FF000000"/>
        <rFont val="Calibri"/>
      </rPr>
      <t>Verify the device is configured to display change-log events of severity info.</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the system is not configured to display account enabling actions on the management console, this is a finding.</t>
    </r>
  </si>
  <si>
    <t>V-229021</t>
  </si>
  <si>
    <r>
      <rPr>
        <sz val="11"/>
        <rFont val="Calibri"/>
      </rPr>
      <t>The Juniper SRX Services Gateway must allow only the information system security manager (ISSM) (or administrators/roles appointed by the ISSM) to select which auditable events are to be generated and forwarded to the syslog and/or local logs.</t>
    </r>
  </si>
  <si>
    <r>
      <rPr>
        <sz val="11"/>
        <color rgb="FF000000"/>
        <rFont val="Calibri"/>
      </rPr>
      <t>Configure the Juniper SRX to allow only the ISSM user account (or administrators/roles appointed by the ISSM) to select which auditable events are to be audited. To ensure this is the case, each ISSM-appointed role on the AAA must be configured for least privilege using the following stanzas for each role.</t>
    </r>
    <r>
      <rPr>
        <sz val="11"/>
        <color rgb="FF000000"/>
        <rFont val="Calibri"/>
      </rPr>
      <t xml:space="preserve">
</t>
    </r>
    <r>
      <rPr>
        <sz val="11"/>
        <color rgb="FF000000"/>
        <rFont val="Calibri"/>
      </rPr>
      <t>For audit-admin role: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class audit-admin permissions [ security trace maintenance ]</t>
    </r>
    <r>
      <rPr>
        <sz val="11"/>
        <color rgb="FF000000"/>
        <rFont val="Calibri"/>
      </rPr>
      <t xml:space="preserve">
</t>
    </r>
    <r>
      <rPr>
        <sz val="11"/>
        <color rgb="FF000000"/>
        <rFont val="Calibri"/>
      </rPr>
      <t xml:space="preserve">set system login class audit-admin allow-commands "^clear (log|security log)" </t>
    </r>
    <r>
      <rPr>
        <sz val="11"/>
        <color rgb="FF000000"/>
        <rFont val="Calibri"/>
      </rPr>
      <t xml:space="preserve">
</t>
    </r>
    <r>
      <rPr>
        <sz val="11"/>
        <color rgb="FF000000"/>
        <rFont val="Calibri"/>
      </rPr>
      <t>set system login class audit-admin deny-commands "^clear (security alarms|system login lockout)|^file (copy|delete|rename)|^request (security|system set-encryption-key)|^rollback|^set date|^show security (alarms|dynamic-policies|match-policies|policies)|^start shell"</t>
    </r>
    <r>
      <rPr>
        <sz val="11"/>
        <color rgb="FF000000"/>
        <rFont val="Calibri"/>
      </rPr>
      <t xml:space="preserve">
</t>
    </r>
    <r>
      <rPr>
        <sz val="11"/>
        <color rgb="FF000000"/>
        <rFont val="Calibri"/>
      </rPr>
      <t xml:space="preserve">set system login class audit-admin security-role audit-administrator </t>
    </r>
    <r>
      <rPr>
        <sz val="11"/>
        <color rgb="FF000000"/>
        <rFont val="Calibri"/>
      </rPr>
      <t xml:space="preserve">
</t>
    </r>
    <r>
      <rPr>
        <sz val="11"/>
        <color rgb="FF000000"/>
        <rFont val="Calibri"/>
      </rPr>
      <t xml:space="preserve">set system login user audit-officer class audit-admin </t>
    </r>
    <r>
      <rPr>
        <sz val="11"/>
        <color rgb="FF000000"/>
        <rFont val="Calibri"/>
      </rPr>
      <t xml:space="preserve">
</t>
    </r>
    <r>
      <rPr>
        <sz val="11"/>
        <color rgb="FF000000"/>
        <rFont val="Calibri"/>
      </rPr>
      <t>For the crypto admin role: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class crypto-admin permissions [ admin-control configure maintenance security-control system-control trace ]</t>
    </r>
    <r>
      <rPr>
        <sz val="11"/>
        <color rgb="FF000000"/>
        <rFont val="Calibri"/>
      </rPr>
      <t xml:space="preserve">
</t>
    </r>
    <r>
      <rPr>
        <sz val="11"/>
        <color rgb="FF000000"/>
        <rFont val="Calibri"/>
      </rPr>
      <t xml:space="preserve">set system login class crypto-admin allow-commands "^request system set-encryption-key" </t>
    </r>
    <r>
      <rPr>
        <sz val="11"/>
        <color rgb="FF000000"/>
        <rFont val="Calibri"/>
      </rPr>
      <t xml:space="preserve">
</t>
    </r>
    <r>
      <rPr>
        <sz val="11"/>
        <color rgb="FF000000"/>
        <rFont val="Calibri"/>
      </rPr>
      <t>set system login class crypto-admin deny-commands "^clear (log|security alarms|security log|system login lockout)|^file (copy|delete|rename)|^rollback|^set date|^show security (alarms|dynamic-policies|match-policies|policies)|^start shell"</t>
    </r>
    <r>
      <rPr>
        <sz val="11"/>
        <color rgb="FF000000"/>
        <rFont val="Calibri"/>
      </rPr>
      <t xml:space="preserve">
</t>
    </r>
    <r>
      <rPr>
        <sz val="11"/>
        <color rgb="FF000000"/>
        <rFont val="Calibri"/>
      </rPr>
      <t xml:space="preserve">set system login class crypto-admin allow-configuration-regexps "security (ike|ipsec) (policy|proposal)" "security ipsec ^vpn$ .* manual (authentication|encryption|protocol|spi)" "system fips self-test after-key-generation" </t>
    </r>
    <r>
      <rPr>
        <sz val="11"/>
        <color rgb="FF000000"/>
        <rFont val="Calibri"/>
      </rPr>
      <t xml:space="preserve">
</t>
    </r>
    <r>
      <rPr>
        <sz val="11"/>
        <color rgb="FF000000"/>
        <rFont val="Calibri"/>
      </rPr>
      <t xml:space="preserve">set system login class crypto-admin security-role crypto-administrator </t>
    </r>
    <r>
      <rPr>
        <sz val="11"/>
        <color rgb="FF000000"/>
        <rFont val="Calibri"/>
      </rPr>
      <t xml:space="preserve">
</t>
    </r>
    <r>
      <rPr>
        <sz val="11"/>
        <color rgb="FF000000"/>
        <rFont val="Calibri"/>
      </rPr>
      <t>For the security-admin role:</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set system login class security-admin permissions all </t>
    </r>
    <r>
      <rPr>
        <sz val="11"/>
        <color rgb="FF000000"/>
        <rFont val="Calibri"/>
      </rPr>
      <t xml:space="preserve">
</t>
    </r>
    <r>
      <rPr>
        <sz val="11"/>
        <color rgb="FF000000"/>
        <rFont val="Calibri"/>
      </rPr>
      <t>set system login class security-admin deny-commands "^clear (log|security log)|^(clear|show) security alarms alarm-type idp|^request (security|system set-encryption-key)|^rollback|^start shell"</t>
    </r>
    <r>
      <rPr>
        <sz val="11"/>
        <color rgb="FF000000"/>
        <rFont val="Calibri"/>
      </rPr>
      <t xml:space="preserve">
</t>
    </r>
    <r>
      <rPr>
        <sz val="11"/>
        <color rgb="FF000000"/>
        <rFont val="Calibri"/>
      </rPr>
      <t xml:space="preserve">set system login class security-admin deny-configuration-regexps "security alarms potential-violation idp" "security (ike|ipsec) (policy|proposal)" "security ipsec ^vpn$ .* manual (authentication| encryption|protocol|spi)" "security log cache" "security log exclude .* event-id IDP_.*" "system fips self-test after-key- generation" </t>
    </r>
    <r>
      <rPr>
        <sz val="11"/>
        <color rgb="FF000000"/>
        <rFont val="Calibri"/>
      </rPr>
      <t xml:space="preserve">
</t>
    </r>
    <r>
      <rPr>
        <sz val="11"/>
        <color rgb="FF000000"/>
        <rFont val="Calibri"/>
      </rPr>
      <t xml:space="preserve">set system login class security-admin security-role security-administrator </t>
    </r>
    <r>
      <rPr>
        <sz val="11"/>
        <color rgb="FF000000"/>
        <rFont val="Calibri"/>
      </rPr>
      <t xml:space="preserve">
</t>
    </r>
    <r>
      <rPr>
        <sz val="11"/>
        <color rgb="FF000000"/>
        <rFont val="Calibri"/>
      </rPr>
      <t>For the ids-admin role: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login class ids-admin permissions [ configure maintenance security-control trace ]</t>
    </r>
    <r>
      <rPr>
        <sz val="11"/>
        <color rgb="FF000000"/>
        <rFont val="Calibri"/>
      </rPr>
      <t xml:space="preserve">
</t>
    </r>
    <r>
      <rPr>
        <sz val="11"/>
        <color rgb="FF000000"/>
        <rFont val="Calibri"/>
      </rPr>
      <t xml:space="preserve">set system login class ids-admin allow-configuration-regexps "security alarms potential-violation idp" "security log exclude .* event-id IDP_.*" </t>
    </r>
    <r>
      <rPr>
        <sz val="11"/>
        <color rgb="FF000000"/>
        <rFont val="Calibri"/>
      </rPr>
      <t xml:space="preserve">
</t>
    </r>
    <r>
      <rPr>
        <sz val="11"/>
        <color rgb="FF000000"/>
        <rFont val="Calibri"/>
      </rPr>
      <t>set system login class ids-admin deny-commands "^clear log|^(clear|show) security alarms (alarm-id|all|newer-than|older- than|process|severity)|^(clear|show) security alarms alarm-type (authentication|cryptographic-self-test|decryption-failures|encryption-failures| ike-phase1-failures|ike-phase2-failures|key-generation-self-test| non-cryptographic-self-test|policy|replay-attacks)|^file (copy|delete|rename)|^request (security|system set-encryption-key)|^rollback|^set date|^show security (dynamic-policies|match-policies|policies)|^start shell"</t>
    </r>
    <r>
      <rPr>
        <sz val="11"/>
        <color rgb="FF000000"/>
        <rFont val="Calibri"/>
      </rPr>
      <t xml:space="preserve">
</t>
    </r>
    <r>
      <rPr>
        <sz val="11"/>
        <color rgb="FF000000"/>
        <rFont val="Calibri"/>
      </rPr>
      <t xml:space="preserve">set system login class ids-admin deny-configuration-regexps "security alarms potential-violation (authentication|cryptographic-self-test|decryption-failures|encryption-failures|ike-phase1-failures|ike-phase2-failures|key-generation-self-test|non-cryptographic-self-test|policy|replay-attacks)" </t>
    </r>
    <r>
      <rPr>
        <sz val="11"/>
        <color rgb="FF000000"/>
        <rFont val="Calibri"/>
      </rPr>
      <t xml:space="preserve">
</t>
    </r>
    <r>
      <rPr>
        <sz val="11"/>
        <color rgb="FF000000"/>
        <rFont val="Calibri"/>
      </rPr>
      <t xml:space="preserve">set system login class ids-admin security-role ids-admin </t>
    </r>
    <r>
      <rPr>
        <sz val="11"/>
        <color rgb="FF000000"/>
        <rFont val="Calibri"/>
      </rPr>
      <t xml:space="preserve">
</t>
    </r>
    <r>
      <rPr>
        <sz val="11"/>
        <color rgb="FF000000"/>
        <rFont val="Calibri"/>
      </rPr>
      <t>For the crypto-officer class:</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set system login user crypto-officer class crypto-admin </t>
    </r>
    <r>
      <rPr>
        <sz val="11"/>
        <color rgb="FF000000"/>
        <rFont val="Calibri"/>
      </rPr>
      <t xml:space="preserve">
</t>
    </r>
    <r>
      <rPr>
        <sz val="11"/>
        <color rgb="FF000000"/>
        <rFont val="Calibri"/>
      </rPr>
      <t>set system login user security-officer class security-admin</t>
    </r>
    <r>
      <rPr>
        <sz val="11"/>
        <color rgb="FF000000"/>
        <rFont val="Calibri"/>
      </rPr>
      <t xml:space="preserve">
</t>
    </r>
    <r>
      <rPr>
        <sz val="11"/>
        <color rgb="FF000000"/>
        <rFont val="Calibri"/>
      </rPr>
      <t>set system login user ids-officer class ids-admin</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</si>
  <si>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log. Misconfigured audits may also make it more difficult to establish, correlate, and investigate the events relating to an incident or identify those responsible for one.</t>
    </r>
    <r>
      <rPr>
        <sz val="11"/>
        <color rgb="FF000000"/>
        <rFont val="Calibri"/>
      </rPr>
      <t xml:space="preserve">
</t>
    </r>
    <r>
      <rPr>
        <sz val="11"/>
        <color rgb="FF000000"/>
        <rFont val="Calibri"/>
      </rPr>
      <t>The primary audit log permissions are set on the Syslog server, not the Juniper SRX. However, it is a best practice to also keep local logs for troubleshooting and backup. These logs are subject to access control requirements.</t>
    </r>
    <r>
      <rPr>
        <sz val="11"/>
        <color rgb="FF000000"/>
        <rFont val="Calibri"/>
      </rPr>
      <t xml:space="preserve">
</t>
    </r>
    <r>
      <rPr>
        <sz val="11"/>
        <color rgb="FF000000"/>
        <rFont val="Calibri"/>
      </rPr>
      <t xml:space="preserve">This configuration is a two-step process. Part of the configuration must be performed on the AAA server. After a user successfully logs on, the AAA sever passes the template or role of the user to the Juniper SRX. Each AAA template or role is mapped to a login class on the Juniper SRX. </t>
    </r>
    <r>
      <rPr>
        <sz val="11"/>
        <color rgb="FF000000"/>
        <rFont val="Calibri"/>
      </rPr>
      <t xml:space="preserve">
</t>
    </r>
    <r>
      <rPr>
        <sz val="11"/>
        <color rgb="FF000000"/>
        <rFont val="Calibri"/>
      </rPr>
      <t>On the Juniper SRX, the class name, audit-admin, is recommended as a best practice because it follows the naming convention used in NIAP testing and is self-documenting.</t>
    </r>
  </si>
  <si>
    <r>
      <rPr>
        <sz val="11"/>
        <color rgb="FF000000"/>
        <rFont val="Calibri"/>
      </rPr>
      <t>Verify only the ISSM (or administrators or roles appointed by the ISSM) have permission to configure and control audit events.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 class</t>
    </r>
    <r>
      <rPr>
        <sz val="11"/>
        <color rgb="FF000000"/>
        <rFont val="Calibri"/>
      </rPr>
      <t xml:space="preserve">
</t>
    </r>
    <r>
      <rPr>
        <sz val="11"/>
        <color rgb="FF000000"/>
        <rFont val="Calibri"/>
      </rPr>
      <t>show system login</t>
    </r>
    <r>
      <rPr>
        <sz val="11"/>
        <color rgb="FF000000"/>
        <rFont val="Calibri"/>
      </rPr>
      <t xml:space="preserve">
</t>
    </r>
    <r>
      <rPr>
        <sz val="11"/>
        <color rgb="FF000000"/>
        <rFont val="Calibri"/>
      </rPr>
      <t>View permissions for the audit-admin class (audit-admin is an example class name; local policy may dictate another name). View class assignment for all users and template users configured on the Juniper SRX.</t>
    </r>
    <r>
      <rPr>
        <sz val="11"/>
        <color rgb="FF000000"/>
        <rFont val="Calibri"/>
      </rPr>
      <t xml:space="preserve">
</t>
    </r>
    <r>
      <rPr>
        <sz val="11"/>
        <color rgb="FF000000"/>
        <rFont val="Calibri"/>
      </rPr>
      <t>If user templates or users are other than the ISSM (or administrators or roles appointed by the ISSM) have permission to select which auditable events are to be audited, this is a finding.</t>
    </r>
  </si>
  <si>
    <t>V-229022</t>
  </si>
  <si>
    <r>
      <rPr>
        <sz val="11"/>
        <rFont val="Calibri"/>
      </rPr>
      <t>For local logging, the Juniper SRX Services Gateway must generate a message to the system management console when a log processing failure occurs.</t>
    </r>
  </si>
  <si>
    <r>
      <rPr>
        <sz val="11"/>
        <color rgb="FF000000"/>
        <rFont val="Calibri"/>
      </rPr>
      <t>The following commands configure syslog to immediately display any emergency level or daemon alert events to the management console. The message will display on any currently logged on administrator's console.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syslog user * any emergency</t>
    </r>
    <r>
      <rPr>
        <sz val="11"/>
        <color rgb="FF000000"/>
        <rFont val="Calibri"/>
      </rPr>
      <t xml:space="preserve">
</t>
    </r>
    <r>
      <rPr>
        <sz val="11"/>
        <color rgb="FF000000"/>
        <rFont val="Calibri"/>
      </rPr>
      <t>set system syslog user * daemon alert</t>
    </r>
    <r>
      <rPr>
        <sz val="11"/>
        <color rgb="FF000000"/>
        <rFont val="Calibri"/>
      </rPr>
      <t xml:space="preserve">
</t>
    </r>
    <r>
      <rPr>
        <sz val="11"/>
        <color rgb="FF000000"/>
        <rFont val="Calibri"/>
      </rPr>
      <t>set system syslog user * daemon critical</t>
    </r>
  </si>
  <si>
    <r>
      <rPr>
        <sz val="11"/>
        <color rgb="FF000000"/>
        <rFont val="Calibri"/>
      </rPr>
      <t xml:space="preserve">It is critical for the appropriate personnel to be aware if a system is at risk of failing to process logs as required. Without this alert, the security personnel may be unaware of an impending failure of the log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at information technology speed (i.e., the time from event detection to alert occurs in seconds or less). Automated alerts can be conveyed in a variety of ways, including, for example, telephonically, via electronic mail, via text message, or via websites.</t>
    </r>
    <r>
      <rPr>
        <sz val="11"/>
        <color rgb="FF000000"/>
        <rFont val="Calibri"/>
      </rPr>
      <t xml:space="preserve">
</t>
    </r>
    <r>
      <rPr>
        <sz val="11"/>
        <color rgb="FF000000"/>
        <rFont val="Calibri"/>
      </rPr>
      <t>Log processing failures include software/hardware errors, failures in the log capturing mechanisms, and log storage capacity being reached or exceeded.</t>
    </r>
    <r>
      <rPr>
        <sz val="11"/>
        <color rgb="FF000000"/>
        <rFont val="Calibri"/>
      </rPr>
      <t xml:space="preserve">
</t>
    </r>
    <r>
      <rPr>
        <sz val="11"/>
        <color rgb="FF000000"/>
        <rFont val="Calibri"/>
      </rPr>
      <t>While this requirement also applies to the event monitoring system (e.g., Syslog, Security Information and Event Management [SIEM], or SNMP servers), the Juniper SRX must also be configured to generate a message to the administrator console.</t>
    </r>
    <r>
      <rPr>
        <sz val="11"/>
        <color rgb="FF000000"/>
        <rFont val="Calibri"/>
      </rPr>
      <t xml:space="preserve">
</t>
    </r>
    <r>
      <rPr>
        <sz val="11"/>
        <color rgb="FF000000"/>
        <rFont val="Calibri"/>
      </rPr>
      <t>Syslog and SNMP trap events with a facility of "daemon" pertain to errors encountered by system processes.</t>
    </r>
  </si>
  <si>
    <r>
      <rPr>
        <sz val="11"/>
        <color rgb="FF000000"/>
        <rFont val="Calibri"/>
      </rPr>
      <t>Verify the system Syslog has been configured to display an alert on the console for the emergency and alert levels of the daemon facility.</t>
    </r>
    <r>
      <rPr>
        <sz val="11"/>
        <color rgb="FF000000"/>
        <rFont val="Calibri"/>
      </rPr>
      <t xml:space="preserve">
</t>
    </r>
    <r>
      <rPr>
        <sz val="11"/>
        <color rgb="FF000000"/>
        <rFont val="Calibri"/>
      </rPr>
      <t xml:space="preserve">[edit] </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the system is not configured to generate a message to the system management console when a log processing failure occurs, this is a finding.</t>
    </r>
  </si>
  <si>
    <t>V-229023</t>
  </si>
  <si>
    <r>
      <rPr>
        <sz val="11"/>
        <rFont val="Calibri"/>
      </rPr>
      <t>In the event that communications with the events server is lost, the Juniper SRX Services Gateway must continue to queue log records locally.</t>
    </r>
  </si>
  <si>
    <r>
      <rPr>
        <sz val="11"/>
        <color rgb="FF000000"/>
        <rFont val="Calibri"/>
      </rPr>
      <t xml:space="preserve">The following example commands configure local backup files to capture DOD-defined auditable events.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syslog file messages any info</t>
    </r>
    <r>
      <rPr>
        <sz val="11"/>
        <color rgb="FF000000"/>
        <rFont val="Calibri"/>
      </rPr>
      <t xml:space="preserve">
</t>
    </r>
    <r>
      <rPr>
        <sz val="11"/>
        <color rgb="FF000000"/>
        <rFont val="Calibri"/>
      </rPr>
      <t>set system syslog file messages authorization none</t>
    </r>
    <r>
      <rPr>
        <sz val="11"/>
        <color rgb="FF000000"/>
        <rFont val="Calibri"/>
      </rPr>
      <t xml:space="preserve">
</t>
    </r>
    <r>
      <rPr>
        <sz val="11"/>
        <color rgb="FF000000"/>
        <rFont val="Calibri"/>
      </rPr>
      <t xml:space="preserve">set system syslog file messages interactive-commands none </t>
    </r>
    <r>
      <rPr>
        <sz val="11"/>
        <color rgb="FF000000"/>
        <rFont val="Calibri"/>
      </rPr>
      <t xml:space="preserve">
</t>
    </r>
    <r>
      <rPr>
        <sz val="11"/>
        <color rgb="FF000000"/>
        <rFont val="Calibri"/>
      </rPr>
      <t xml:space="preserve">set system syslog file messages daemon none </t>
    </r>
    <r>
      <rPr>
        <sz val="11"/>
        <color rgb="FF000000"/>
        <rFont val="Calibri"/>
      </rPr>
      <t xml:space="preserve">
</t>
    </r>
    <r>
      <rPr>
        <sz val="11"/>
        <color rgb="FF000000"/>
        <rFont val="Calibri"/>
      </rPr>
      <t>set system syslog file User-Auth authorization any</t>
    </r>
    <r>
      <rPr>
        <sz val="11"/>
        <color rgb="FF000000"/>
        <rFont val="Calibri"/>
      </rPr>
      <t xml:space="preserve">
</t>
    </r>
    <r>
      <rPr>
        <sz val="11"/>
        <color rgb="FF000000"/>
        <rFont val="Calibri"/>
      </rPr>
      <t>set system syslog file interactive-commands interactive-commands any</t>
    </r>
    <r>
      <rPr>
        <sz val="11"/>
        <color rgb="FF000000"/>
        <rFont val="Calibri"/>
      </rPr>
      <t xml:space="preserve">
</t>
    </r>
    <r>
      <rPr>
        <sz val="11"/>
        <color rgb="FF000000"/>
        <rFont val="Calibri"/>
      </rPr>
      <t>set system syslog file processes daemon any</t>
    </r>
    <r>
      <rPr>
        <sz val="11"/>
        <color rgb="FF000000"/>
        <rFont val="Calibri"/>
      </rPr>
      <t xml:space="preserve">
</t>
    </r>
    <r>
      <rPr>
        <sz val="11"/>
        <color rgb="FF000000"/>
        <rFont val="Calibri"/>
      </rPr>
      <t>set system syslog file account-actions change-log any any</t>
    </r>
    <r>
      <rPr>
        <sz val="11"/>
        <color rgb="FF000000"/>
        <rFont val="Calibri"/>
      </rPr>
      <t xml:space="preserve">
</t>
    </r>
    <r>
      <rPr>
        <sz val="11"/>
        <color rgb="FF000000"/>
        <rFont val="Calibri"/>
      </rPr>
      <t>set file account-actions match "system login user"</t>
    </r>
    <r>
      <rPr>
        <sz val="11"/>
        <color rgb="FF000000"/>
        <rFont val="Calibri"/>
      </rPr>
      <t xml:space="preserve">
</t>
    </r>
    <r>
      <rPr>
        <sz val="11"/>
        <color rgb="FF000000"/>
        <rFont val="Calibri"/>
      </rPr>
      <t>set system syslog console any any</t>
    </r>
  </si>
  <si>
    <r>
      <rPr>
        <sz val="11"/>
        <color rgb="FF000000"/>
        <rFont val="Calibri"/>
      </rPr>
      <t xml:space="preserve">It is critical that when the network device is at risk of failing to process logs as required, it take action to mitigate the failure. Log processing failures include: software/hardware errors; failures in the log capturing mechanisms; and audit storage capacity being reached or exceeded. Responses to log failure depend upon the nature of the failure mode. </t>
    </r>
    <r>
      <rPr>
        <sz val="11"/>
        <color rgb="FF000000"/>
        <rFont val="Calibri"/>
      </rPr>
      <t xml:space="preserve">
</t>
    </r>
    <r>
      <rPr>
        <sz val="11"/>
        <color rgb="FF000000"/>
        <rFont val="Calibri"/>
      </rPr>
      <t>Since availability is an overriding concern given the role of the Juniper SRX in the enterprise, the system must not be configured to shut down in the event of a log processing failure. The system will be configured to log events to local files, which will provide a log backup. If communication with the Syslog server is lost or the server fails, the network device must continue to queue log records locally. Upon restoration of the connection to the centralized collection server, action should be taken to synchronize the local log data with the collection server.</t>
    </r>
    <r>
      <rPr>
        <sz val="11"/>
        <color rgb="FF000000"/>
        <rFont val="Calibri"/>
      </rPr>
      <t xml:space="preserve">
</t>
    </r>
    <r>
      <rPr>
        <sz val="11"/>
        <color rgb="FF000000"/>
        <rFont val="Calibri"/>
      </rPr>
      <t>A best practice is to add log-prefixes to the log file names to help in researching the events and filters to prevent log overload. Another best practice is to add a match condition to limit the recorded events to those containing the regular expression (REGEX). Thus, the Juniper SRX will inherently and continuously capture events to local files to guard against the loss of connectivity to the primary and secondary events server.</t>
    </r>
  </si>
  <si>
    <r>
      <rPr>
        <sz val="11"/>
        <color rgb="FF000000"/>
        <rFont val="Calibri"/>
      </rPr>
      <t>Verify logging has been enabled and configured to capture to local log files in case connection with the primary and secondary log servers is lost.</t>
    </r>
    <r>
      <rPr>
        <sz val="11"/>
        <color rgb="FF000000"/>
        <rFont val="Calibri"/>
      </rPr>
      <t xml:space="preserve">
</t>
    </r>
    <r>
      <rPr>
        <sz val="11"/>
        <color rgb="FF000000"/>
        <rFont val="Calibri"/>
      </rPr>
      <t xml:space="preserve">[edit] </t>
    </r>
    <r>
      <rPr>
        <sz val="11"/>
        <color rgb="FF000000"/>
        <rFont val="Calibri"/>
      </rPr>
      <t xml:space="preserve">
</t>
    </r>
    <r>
      <rPr>
        <sz val="11"/>
        <color rgb="FF000000"/>
        <rFont val="Calibri"/>
      </rPr>
      <t>show system syslog</t>
    </r>
    <r>
      <rPr>
        <sz val="11"/>
        <color rgb="FF000000"/>
        <rFont val="Calibri"/>
      </rPr>
      <t xml:space="preserve">
</t>
    </r>
    <r>
      <rPr>
        <sz val="11"/>
        <color rgb="FF000000"/>
        <rFont val="Calibri"/>
      </rPr>
      <t>If local log files are not configured to capture events, this is a finding.</t>
    </r>
  </si>
  <si>
    <t>V-229024</t>
  </si>
  <si>
    <r>
      <rPr>
        <sz val="11"/>
        <rFont val="Calibri"/>
      </rPr>
      <t>The Juniper SRX Services Gateway must be configured to use an authentication server to centrally apply authentication and logon settings for remote and nonlocal access for device management.</t>
    </r>
  </si>
  <si>
    <r>
      <rPr>
        <sz val="11"/>
        <color rgb="FF000000"/>
        <rFont val="Calibri"/>
      </rPr>
      <t xml:space="preserve">Configure the Juniper SRX to support the use of AAA services to centrally apply user authentication and logon settings. </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set system tacplus-server address &lt;server ipaddress&gt; port 1812 secret &lt;shared secret&gt;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radius-server address &lt;server ipaddress&gt; port 1812 secret &lt;shared secret&gt;</t>
    </r>
  </si>
  <si>
    <r>
      <rPr>
        <sz val="11"/>
        <color rgb="FF000000"/>
        <rFont val="Calibri"/>
      </rPr>
      <t>Centralized application (e.g., TACACS+, RADIUS) of authentication settings increases the security of remote and nonlocal access methods. This control is a particularly important protection against the insider threat. Audit records for administrator accounts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r>
      <rPr>
        <sz val="11"/>
        <color rgb="FF000000"/>
        <rFont val="Calibri"/>
      </rPr>
      <t xml:space="preserve">
</t>
    </r>
    <r>
      <rPr>
        <sz val="11"/>
        <color rgb="FF000000"/>
        <rFont val="Calibri"/>
      </rPr>
      <t>This requirement references identification and authentication and does not prevent the configuration of privileges using the remote template account (CCI-000213).</t>
    </r>
  </si>
  <si>
    <r>
      <rPr>
        <sz val="11"/>
        <color rgb="FF000000"/>
        <rFont val="Calibri"/>
      </rPr>
      <t xml:space="preserve">Verify the Juniper SRX is configured to support the use of AAA services to centrally apply user authentication and logon settings. </t>
    </r>
    <r>
      <rPr>
        <sz val="11"/>
        <color rgb="FF000000"/>
        <rFont val="Calibri"/>
      </rPr>
      <t xml:space="preserve">
</t>
    </r>
    <r>
      <rPr>
        <sz val="11"/>
        <color rgb="FF000000"/>
        <rFont val="Calibri"/>
      </rPr>
      <t xml:space="preserve">From the CLI operational mode enter: </t>
    </r>
    <r>
      <rPr>
        <sz val="11"/>
        <color rgb="FF000000"/>
        <rFont val="Calibri"/>
      </rPr>
      <t xml:space="preserve">
</t>
    </r>
    <r>
      <rPr>
        <sz val="11"/>
        <color rgb="FF000000"/>
        <rFont val="Calibri"/>
      </rPr>
      <t xml:space="preserve">show system radius-server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show system tacplus-server</t>
    </r>
    <r>
      <rPr>
        <sz val="11"/>
        <color rgb="FF000000"/>
        <rFont val="Calibri"/>
      </rPr>
      <t xml:space="preserve">
</t>
    </r>
    <r>
      <rPr>
        <sz val="11"/>
        <color rgb="FF000000"/>
        <rFont val="Calibri"/>
      </rPr>
      <t>If the Juniper SRX has not been configured to support the use of RADIUS and/or TACACS+ servers to centrally apply authentication and logon settings for remote and nonlocal access, this is a finding.</t>
    </r>
  </si>
  <si>
    <t>V-229025</t>
  </si>
  <si>
    <r>
      <rPr>
        <sz val="11"/>
        <rFont val="Calibri"/>
      </rPr>
      <t>The Juniper SRX Services Gateway must be configured to use a centralized authentication server to authenticate privileged users for remote and nonlocal access for device management.</t>
    </r>
  </si>
  <si>
    <r>
      <rPr>
        <sz val="11"/>
        <color rgb="FF000000"/>
        <rFont val="Calibri"/>
      </rPr>
      <t xml:space="preserve">Configure the Juniper SRX to forward logon requests to a RADIUS or TACACS+. Remove local users configured on the device (CCI-000213) so the AAA server cannot default to using a local account. </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set system tacplus-server address &lt;server ipaddress&gt; port 1812 secret &lt;shared secret&gt;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[edit]</t>
    </r>
    <r>
      <rPr>
        <sz val="11"/>
        <color rgb="FF000000"/>
        <rFont val="Calibri"/>
      </rPr>
      <t xml:space="preserve">
</t>
    </r>
    <r>
      <rPr>
        <sz val="11"/>
        <color rgb="FF000000"/>
        <rFont val="Calibri"/>
      </rPr>
      <t xml:space="preserve">set system radius-server address &lt;server ipaddress&gt; port 1812 secret &lt;shared secret&gt; </t>
    </r>
    <r>
      <rPr>
        <sz val="11"/>
        <color rgb="FF000000"/>
        <rFont val="Calibri"/>
      </rPr>
      <t xml:space="preserve">
</t>
    </r>
    <r>
      <rPr>
        <sz val="11"/>
        <color rgb="FF000000"/>
        <rFont val="Calibri"/>
      </rPr>
      <t>Note: DOD policy is that redundant AAA servers are required to mitigate the risk of a failure of the primary AAA device.</t>
    </r>
  </si>
  <si>
    <r>
      <rPr>
        <sz val="11"/>
        <color rgb="FF000000"/>
        <rFont val="Calibri"/>
      </rPr>
      <t>Centralized management of authentication settings increases the security of remote and nonlocal access methods. This control is a particularly important protection against the insider threat. Audit records for administrator accounts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r>
      <rPr>
        <sz val="11"/>
        <color rgb="FF000000"/>
        <rFont val="Calibri"/>
      </rPr>
      <t xml:space="preserve">
</t>
    </r>
    <r>
      <rPr>
        <sz val="11"/>
        <color rgb="FF000000"/>
        <rFont val="Calibri"/>
      </rPr>
      <t>The Juniper SRX supports three methods of user authentication: local password authentication, Remote Authentication Dial-In User Service (RADIUS), and Terminal Access Controller Access Control System Plus (TACACS+). RADIUS and TACACS+ are remote access methods used for management of the Juniper SRX. The local password method will be configured for use only for the account of last resort; however, it will not be used for remote and nonlocal access or this will result in a CAT 1 finding (CCI-000765).</t>
    </r>
    <r>
      <rPr>
        <sz val="11"/>
        <color rgb="FF000000"/>
        <rFont val="Calibri"/>
      </rPr>
      <t xml:space="preserve">
</t>
    </r>
    <r>
      <rPr>
        <sz val="11"/>
        <color rgb="FF000000"/>
        <rFont val="Calibri"/>
      </rPr>
      <t>This requirement references identification and authentication and does not prevent the configuration of privileges using the remote template account (CCI-000213).</t>
    </r>
  </si>
  <si>
    <r>
      <rPr>
        <sz val="11"/>
        <color rgb="FF000000"/>
        <rFont val="Calibri"/>
      </rPr>
      <t xml:space="preserve">Verify the Juniper SRX is configured to forward logon requests to a RADIUS or TACACS+. </t>
    </r>
    <r>
      <rPr>
        <sz val="11"/>
        <color rgb="FF000000"/>
        <rFont val="Calibri"/>
      </rPr>
      <t xml:space="preserve">
</t>
    </r>
    <r>
      <rPr>
        <sz val="11"/>
        <color rgb="FF000000"/>
        <rFont val="Calibri"/>
      </rPr>
      <t xml:space="preserve">From the CLI operational mode enter: </t>
    </r>
    <r>
      <rPr>
        <sz val="11"/>
        <color rgb="FF000000"/>
        <rFont val="Calibri"/>
      </rPr>
      <t xml:space="preserve">
</t>
    </r>
    <r>
      <rPr>
        <sz val="11"/>
        <color rgb="FF000000"/>
        <rFont val="Calibri"/>
      </rPr>
      <t xml:space="preserve">show system radius-server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show system tacplus-server</t>
    </r>
    <r>
      <rPr>
        <sz val="11"/>
        <color rgb="FF000000"/>
        <rFont val="Calibri"/>
      </rPr>
      <t xml:space="preserve">
</t>
    </r>
    <r>
      <rPr>
        <sz val="11"/>
        <color rgb="FF000000"/>
        <rFont val="Calibri"/>
      </rPr>
      <t>If the Juniper SRX is not configured to use at least one RADIUS or TACACS+ server, this is a finding.</t>
    </r>
  </si>
  <si>
    <t>V-229026</t>
  </si>
  <si>
    <r>
      <rPr>
        <sz val="11"/>
        <rFont val="Calibri"/>
      </rPr>
      <t>The Juniper SRX Services Gateway must specify the order in which authentication servers are used.</t>
    </r>
  </si>
  <si>
    <r>
      <rPr>
        <sz val="11"/>
        <color rgb="FF000000"/>
        <rFont val="Calibri"/>
      </rPr>
      <t>Add an external RADIUS or TACACS+ server, and specify the port number and shared secret of the server. Remote logon using password results in a CAT 1 finding (CCI-000765) for failure to use two-factor authentication. Thus, if the account of last resort uses only password authentication, this configuration prevents remote access. DoD policy is that redundant AAA servers are required to mitigate the risk of a failure of the primary AAA device.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authentication-order tacplus</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authentication-order radius</t>
    </r>
    <r>
      <rPr>
        <sz val="11"/>
        <color rgb="FF000000"/>
        <rFont val="Calibri"/>
      </rPr>
      <t xml:space="preserve">
</t>
    </r>
    <r>
      <rPr>
        <sz val="11"/>
        <color rgb="FF000000"/>
        <rFont val="Calibri"/>
      </rPr>
      <t>From operational mode enter the command:</t>
    </r>
    <r>
      <rPr>
        <sz val="11"/>
        <color rgb="FF000000"/>
        <rFont val="Calibri"/>
      </rPr>
      <t xml:space="preserve">
</t>
    </r>
    <r>
      <rPr>
        <sz val="11"/>
        <color rgb="FF000000"/>
        <rFont val="Calibri"/>
      </rPr>
      <t>show system authentication-order</t>
    </r>
    <r>
      <rPr>
        <sz val="11"/>
        <color rgb="FF000000"/>
        <rFont val="Calibri"/>
      </rPr>
      <t xml:space="preserve">
</t>
    </r>
    <r>
      <rPr>
        <sz val="11"/>
        <color rgb="FF000000"/>
        <rFont val="Calibri"/>
      </rPr>
      <t>If password is set as an option, remove this command from the configuration.</t>
    </r>
    <r>
      <rPr>
        <sz val="11"/>
        <color rgb="FF000000"/>
        <rFont val="Calibri"/>
      </rPr>
      <t xml:space="preserve">
</t>
    </r>
    <r>
      <rPr>
        <sz val="11"/>
        <color rgb="FF000000"/>
        <rFont val="Calibri"/>
      </rPr>
      <t>[edit]</t>
    </r>
    <r>
      <rPr>
        <sz val="11"/>
        <color rgb="FF000000"/>
        <rFont val="Calibri"/>
      </rPr>
      <t xml:space="preserve">
</t>
    </r>
    <r>
      <rPr>
        <sz val="11"/>
        <color rgb="FF000000"/>
        <rFont val="Calibri"/>
      </rPr>
      <t>delete system authentication-order password</t>
    </r>
  </si>
  <si>
    <r>
      <rPr>
        <sz val="11"/>
        <color rgb="FF000000"/>
        <rFont val="Calibri"/>
      </rPr>
      <t>Specifying an authentication order implements an authentication, authorization, and accounting methods list to be used, thus allowing the implementation of redundant or backup AAA servers. These commands also ensure that a default method or order will not be used by the device (e.g., local passwords).</t>
    </r>
    <r>
      <rPr>
        <sz val="11"/>
        <color rgb="FF000000"/>
        <rFont val="Calibri"/>
      </rPr>
      <t xml:space="preserve">
</t>
    </r>
    <r>
      <rPr>
        <sz val="11"/>
        <color rgb="FF000000"/>
        <rFont val="Calibri"/>
      </rPr>
      <t xml:space="preserve">The Juniper SRX must specify the order in which authentication is attempted by including the authentication-order statement in the authentication server configuration. </t>
    </r>
    <r>
      <rPr>
        <sz val="11"/>
        <color rgb="FF000000"/>
        <rFont val="Calibri"/>
      </rPr>
      <t xml:space="preserve">
</t>
    </r>
    <r>
      <rPr>
        <sz val="11"/>
        <color rgb="FF000000"/>
        <rFont val="Calibri"/>
      </rPr>
      <t>Remote logon using password results in a CAT 1 finding (CCI-000765) for failure to use two-factor authentication. Thus, if the account of last resort uses only password authentication, this configuration prevents remote access. DoD policy is that redundant AAA servers are required to mitigate the risk of a failure of the primary AAA device.</t>
    </r>
  </si>
  <si>
    <r>
      <rPr>
        <sz val="11"/>
        <color rgb="FF000000"/>
        <rFont val="Calibri"/>
      </rPr>
      <t>Verify a RADIUS or TACACS+ server order has been configured.</t>
    </r>
    <r>
      <rPr>
        <sz val="11"/>
        <color rgb="FF000000"/>
        <rFont val="Calibri"/>
      </rPr>
      <t xml:space="preserve">
</t>
    </r>
    <r>
      <rPr>
        <sz val="11"/>
        <color rgb="FF000000"/>
        <rFont val="Calibri"/>
      </rPr>
      <t>From operational mode enter the command:</t>
    </r>
    <r>
      <rPr>
        <sz val="11"/>
        <color rgb="FF000000"/>
        <rFont val="Calibri"/>
      </rPr>
      <t xml:space="preserve">
</t>
    </r>
    <r>
      <rPr>
        <sz val="11"/>
        <color rgb="FF000000"/>
        <rFont val="Calibri"/>
      </rPr>
      <t>show system authentication-order</t>
    </r>
    <r>
      <rPr>
        <sz val="11"/>
        <color rgb="FF000000"/>
        <rFont val="Calibri"/>
      </rPr>
      <t xml:space="preserve">
</t>
    </r>
    <r>
      <rPr>
        <sz val="11"/>
        <color rgb="FF000000"/>
        <rFont val="Calibri"/>
      </rPr>
      <t>If the authentication-order for either or both RADIUS or TACACS+ server order has not been configured, this is a finding.</t>
    </r>
    <r>
      <rPr>
        <sz val="11"/>
        <color rgb="FF000000"/>
        <rFont val="Calibri"/>
      </rPr>
      <t xml:space="preserve">
</t>
    </r>
    <r>
      <rPr>
        <sz val="11"/>
        <color rgb="FF000000"/>
        <rFont val="Calibri"/>
      </rPr>
      <t>If the authentication-order includes the password method, this is a finding.</t>
    </r>
  </si>
  <si>
    <t>V-229027</t>
  </si>
  <si>
    <r>
      <rPr>
        <sz val="11"/>
        <rFont val="Calibri"/>
      </rPr>
      <t>The Juniper SRX Services Gateway must detect the addition of components and issue a priority 1 alert to the ISSM and SA, at a minimum.</t>
    </r>
  </si>
  <si>
    <r>
      <rPr>
        <sz val="11"/>
        <color rgb="FF000000"/>
        <rFont val="Calibri"/>
      </rPr>
      <t xml:space="preserve">Update the SNMP configuration with the following device trap settings. This is an example method. Alerts must be sent immediately to the designated individuals (e.g., via Syslog configuration, SNMP trap, manned console message, or other events monitoring system). </t>
    </r>
    <r>
      <rPr>
        <sz val="11"/>
        <color rgb="FF000000"/>
        <rFont val="Calibri"/>
      </rPr>
      <t xml:space="preserve">
</t>
    </r>
    <r>
      <rPr>
        <sz val="11"/>
        <color rgb="FF000000"/>
        <rFont val="Calibri"/>
      </rPr>
      <t>set snmp v3 notify-filter device-traps oid jnxChassisTraps include</t>
    </r>
    <r>
      <rPr>
        <sz val="11"/>
        <color rgb="FF000000"/>
        <rFont val="Calibri"/>
      </rPr>
      <t xml:space="preserve">
</t>
    </r>
    <r>
      <rPr>
        <sz val="11"/>
        <color rgb="FF000000"/>
        <rFont val="Calibri"/>
      </rPr>
      <t>set snmp v3 notify-filter device-traps oid jnxChassisOKTraps include</t>
    </r>
    <r>
      <rPr>
        <sz val="11"/>
        <color rgb="FF000000"/>
        <rFont val="Calibri"/>
      </rPr>
      <t xml:space="preserve">
</t>
    </r>
    <r>
      <rPr>
        <sz val="11"/>
        <color rgb="FF000000"/>
        <rFont val="Calibri"/>
      </rPr>
      <t>set snmp v3 notify-filter device-traps oid system include</t>
    </r>
    <r>
      <rPr>
        <sz val="11"/>
        <color rgb="FF000000"/>
        <rFont val="Calibri"/>
      </rPr>
      <t xml:space="preserve">
</t>
    </r>
    <r>
      <rPr>
        <sz val="11"/>
        <color rgb="FF000000"/>
        <rFont val="Calibri"/>
      </rPr>
      <t>set snmp v3 notify-filter device-traps oid .1 include</t>
    </r>
    <r>
      <rPr>
        <sz val="11"/>
        <color rgb="FF000000"/>
        <rFont val="Calibri"/>
      </rPr>
      <t xml:space="preserve">
</t>
    </r>
    <r>
      <rPr>
        <sz val="11"/>
        <color rgb="FF000000"/>
        <rFont val="Calibri"/>
      </rPr>
      <t>set snmp v3 notify-filter device-traps oid</t>
    </r>
  </si>
  <si>
    <r>
      <rPr>
        <sz val="11"/>
        <color rgb="FF000000"/>
        <rFont val="Calibri"/>
      </rPr>
      <t>The network device must automatically detect the installation of unauthorized software or hardware onto the device itself. Monitoring may be accomplished on an ongoing basis or by periodic monitoring. Automated mechanisms can be implemented within the network device and/or in another separate information system or device. If the addition of unauthorized components or devices is not automatically detected, then such components or devices could be used for malicious purposes, such as transferring sensitive data to removable media for compromise.</t>
    </r>
    <r>
      <rPr>
        <sz val="11"/>
        <color rgb="FF000000"/>
        <rFont val="Calibri"/>
      </rPr>
      <t xml:space="preserve">
</t>
    </r>
    <r>
      <rPr>
        <sz val="11"/>
        <color rgb="FF000000"/>
        <rFont val="Calibri"/>
      </rPr>
      <t>Alerts must be sent immediately to the designated individuals (e.g., via Syslog configuration, SNMP trap, manned console message, or other events monitoring system).</t>
    </r>
  </si>
  <si>
    <r>
      <rPr>
        <sz val="11"/>
        <color rgb="FF000000"/>
        <rFont val="Calibri"/>
      </rPr>
      <t>Verify SNMP is configured to capture chassis and device traps. If Syslog or a console method is used, verify that method instead.</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snmp v3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 immediate alert is not sent via SNMPv3 or another method, this is a finding.</t>
    </r>
  </si>
  <si>
    <t>V-229028</t>
  </si>
  <si>
    <r>
      <rPr>
        <sz val="11"/>
        <rFont val="Calibri"/>
      </rPr>
      <t>The Juniper SRX Services Gateway must generate an alarm or send an alert message to the management console when a component failure is detected.</t>
    </r>
  </si>
  <si>
    <r>
      <rPr>
        <sz val="11"/>
        <color rgb="FF000000"/>
        <rFont val="Calibri"/>
      </rPr>
      <t>The following commands configure syslog to immediately display any emergency level or daemon alert events to the management console. The message will display on any currently logged on administrator's console.</t>
    </r>
    <r>
      <rPr>
        <sz val="11"/>
        <color rgb="FF000000"/>
        <rFont val="Calibri"/>
      </rPr>
      <t xml:space="preserve">
</t>
    </r>
    <r>
      <rPr>
        <sz val="11"/>
        <color rgb="FF000000"/>
        <rFont val="Calibri"/>
      </rPr>
      <t>[edit]</t>
    </r>
    <r>
      <rPr>
        <sz val="11"/>
        <color rgb="FF000000"/>
        <rFont val="Calibri"/>
      </rPr>
      <t xml:space="preserve">
</t>
    </r>
    <r>
      <rPr>
        <sz val="11"/>
        <color rgb="FF000000"/>
        <rFont val="Calibri"/>
      </rPr>
      <t>set system syslog user * any emergency</t>
    </r>
    <r>
      <rPr>
        <sz val="11"/>
        <color rgb="FF000000"/>
        <rFont val="Calibri"/>
      </rPr>
      <t xml:space="preserve">
</t>
    </r>
    <r>
      <rPr>
        <sz val="11"/>
        <color rgb="FF000000"/>
        <rFont val="Calibri"/>
      </rPr>
      <t>set system syslog user * daemon critical</t>
    </r>
    <r>
      <rPr>
        <sz val="11"/>
        <color rgb="FF000000"/>
        <rFont val="Calibri"/>
      </rPr>
      <t xml:space="preserve">
</t>
    </r>
    <r>
      <rPr>
        <sz val="11"/>
        <color rgb="FF000000"/>
        <rFont val="Calibri"/>
      </rPr>
      <t>set system syslog user * daemon alert</t>
    </r>
  </si>
  <si>
    <r>
      <rPr>
        <sz val="11"/>
        <color rgb="FF000000"/>
        <rFont val="Calibri"/>
      </rPr>
      <t>Component (e.g., chassis, file storage, file corruption) failure may cause the system to become unavailable, which could result in mission failure since the network would be operating without a critical security traffic inspection or access function.</t>
    </r>
    <r>
      <rPr>
        <sz val="11"/>
        <color rgb="FF000000"/>
        <rFont val="Calibri"/>
      </rPr>
      <t xml:space="preserve">
</t>
    </r>
    <r>
      <rPr>
        <sz val="11"/>
        <color rgb="FF000000"/>
        <rFont val="Calibri"/>
      </rPr>
      <t>Alerts provide organizations with urgent messages. Real-time alerts provide these messages at information technology speed (i.e., the time from event detection to alert occurs in seconds or less). Automated alerts can be conveyed in a variety of ways, including, for example, telephonically, via electronic mail, via text message, or via websites.</t>
    </r>
    <r>
      <rPr>
        <sz val="11"/>
        <color rgb="FF000000"/>
        <rFont val="Calibri"/>
      </rPr>
      <t xml:space="preserve">
</t>
    </r>
    <r>
      <rPr>
        <sz val="11"/>
        <color rgb="FF000000"/>
        <rFont val="Calibri"/>
      </rPr>
      <t>While this requirement also applies to the event monitoring system (e.g., Syslog, Security Information and Event Management [SIEM], or SNMP servers), the Juniper SRX must also be configured to generate a message to the administrator console.</t>
    </r>
    <r>
      <rPr>
        <sz val="11"/>
        <color rgb="FF000000"/>
        <rFont val="Calibri"/>
      </rPr>
      <t xml:space="preserve">
</t>
    </r>
    <r>
      <rPr>
        <sz val="11"/>
        <color rgb="FF000000"/>
        <rFont val="Calibri"/>
      </rPr>
      <t>Syslog and SNMP trap events with a facility of "daemon" pertain to errors encountered by system processes.</t>
    </r>
  </si>
  <si>
    <t>V-229029</t>
  </si>
  <si>
    <r>
      <rPr>
        <sz val="11"/>
        <rFont val="Calibri"/>
      </rPr>
      <t>The Juniper SRX Services Gateway must reveal log messages or management console alerts only to the ISSO, ISSM, and SA roles).</t>
    </r>
  </si>
  <si>
    <r>
      <rPr>
        <sz val="11"/>
        <color rgb="FF000000"/>
        <rFont val="Calibri"/>
      </rPr>
      <t>Configure login classes and permissions and assign only authorized users to each class.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t>
    </r>
    <r>
      <rPr>
        <sz val="11"/>
        <color rgb="FF000000"/>
        <rFont val="Calibri"/>
      </rPr>
      <t xml:space="preserve">
</t>
    </r>
    <r>
      <rPr>
        <sz val="11"/>
        <color rgb="FF000000"/>
        <rFont val="Calibri"/>
      </rPr>
      <t>If any classes  are mapped to the audit-admin, security-admin, or system-admin login templates, delete the command from the class by typing delete in front of the command or retyping the command with the permission removed from the list.</t>
    </r>
    <r>
      <rPr>
        <sz val="11"/>
        <color rgb="FF000000"/>
        <rFont val="Calibri"/>
      </rPr>
      <t xml:space="preserve">
</t>
    </r>
    <r>
      <rPr>
        <sz val="11"/>
        <color rgb="FF000000"/>
        <rFont val="Calibri"/>
      </rPr>
      <t>Example configuration:</t>
    </r>
    <r>
      <rPr>
        <sz val="11"/>
        <color rgb="FF000000"/>
        <rFont val="Calibri"/>
      </rPr>
      <t xml:space="preserve">
</t>
    </r>
    <r>
      <rPr>
        <sz val="11"/>
        <color rgb="FF000000"/>
        <rFont val="Calibri"/>
      </rPr>
      <t>set system login class audit-admin allow-commands "(show log *)|(clear log *)|(monitor</t>
    </r>
    <r>
      <rPr>
        <sz val="11"/>
        <color rgb="FF000000"/>
        <rFont val="Calibri"/>
      </rPr>
      <t xml:space="preserve">
</t>
    </r>
    <r>
      <rPr>
        <sz val="11"/>
        <color rgb="FF000000"/>
        <rFont val="Calibri"/>
      </rPr>
      <t>log *)"</t>
    </r>
    <r>
      <rPr>
        <sz val="11"/>
        <color rgb="FF000000"/>
        <rFont val="Calibri"/>
      </rPr>
      <t xml:space="preserve">
</t>
    </r>
    <r>
      <rPr>
        <sz val="11"/>
        <color rgb="FF000000"/>
        <rFont val="Calibri"/>
      </rPr>
      <t>set system login class audit-admin allow-configuration "(system syslog)"</t>
    </r>
    <r>
      <rPr>
        <sz val="11"/>
        <color rgb="FF000000"/>
        <rFont val="Calibri"/>
      </rPr>
      <t xml:space="preserve">
</t>
    </r>
    <r>
      <rPr>
        <sz val="11"/>
        <color rgb="FF000000"/>
        <rFont val="Calibri"/>
      </rPr>
      <t>set system login class emergency permissions all</t>
    </r>
    <r>
      <rPr>
        <sz val="11"/>
        <color rgb="FF000000"/>
        <rFont val="Calibri"/>
      </rPr>
      <t xml:space="preserve">
</t>
    </r>
    <r>
      <rPr>
        <sz val="11"/>
        <color rgb="FF000000"/>
        <rFont val="Calibri"/>
      </rPr>
      <t>set system login class emergency login-alarms</t>
    </r>
    <r>
      <rPr>
        <sz val="11"/>
        <color rgb="FF000000"/>
        <rFont val="Calibri"/>
      </rPr>
      <t xml:space="preserve">
</t>
    </r>
    <r>
      <rPr>
        <sz val="11"/>
        <color rgb="FF000000"/>
        <rFont val="Calibri"/>
      </rPr>
      <t>set system login class security-admin login-alarms</t>
    </r>
    <r>
      <rPr>
        <sz val="11"/>
        <color rgb="FF000000"/>
        <rFont val="Calibri"/>
      </rPr>
      <t xml:space="preserve">
</t>
    </r>
    <r>
      <rPr>
        <sz val="11"/>
        <color rgb="FF000000"/>
        <rFont val="Calibri"/>
      </rPr>
      <t>set system login class system-admin login-alarms</t>
    </r>
  </si>
  <si>
    <r>
      <rPr>
        <sz val="11"/>
        <color rgb="FF000000"/>
        <rFont val="Calibri"/>
      </rPr>
      <t>Only authorized personnel should be aware of errors and the details of the errors. Error messages are an indicator of an organization's operational state. Additionally, sensitive account information must not be revealed through error messages to unauthorized personnel or their designated representatives.</t>
    </r>
    <r>
      <rPr>
        <sz val="11"/>
        <color rgb="FF000000"/>
        <rFont val="Calibri"/>
      </rPr>
      <t xml:space="preserve">
</t>
    </r>
    <r>
      <rPr>
        <sz val="11"/>
        <color rgb="FF000000"/>
        <rFont val="Calibri"/>
      </rPr>
      <t>Although, based on policy, administrator accounts must be created on the AAA server, thus this requirement addresses the creation of unauthorized accounts on the Juniper SRX itself. This does not negate the need to address this requirement on the AAA server and the event monitoring server (e.g., Syslog, Security Information and Event Management [SIEM], or SNMP servers).</t>
    </r>
  </si>
  <si>
    <r>
      <rPr>
        <sz val="11"/>
        <color rgb="FF000000"/>
        <rFont val="Calibri"/>
      </rPr>
      <t>Obtain a list of authorized user names that are authorized to view the audit log and console notification messages. Verify classes are created that separate administrator roles based on authorization. View user classes and class members by typing the following commands.</t>
    </r>
    <r>
      <rPr>
        <sz val="11"/>
        <color rgb="FF000000"/>
        <rFont val="Calibri"/>
      </rPr>
      <t xml:space="preserve">
</t>
    </r>
    <r>
      <rPr>
        <sz val="11"/>
        <color rgb="FF000000"/>
        <rFont val="Calibri"/>
      </rPr>
      <t>[edit]</t>
    </r>
    <r>
      <rPr>
        <sz val="11"/>
        <color rgb="FF000000"/>
        <rFont val="Calibri"/>
      </rPr>
      <t xml:space="preserve">
</t>
    </r>
    <r>
      <rPr>
        <sz val="11"/>
        <color rgb="FF000000"/>
        <rFont val="Calibri"/>
      </rPr>
      <t>show system login</t>
    </r>
    <r>
      <rPr>
        <sz val="11"/>
        <color rgb="FF000000"/>
        <rFont val="Calibri"/>
      </rPr>
      <t xml:space="preserve">
</t>
    </r>
    <r>
      <rPr>
        <sz val="11"/>
        <color rgb="FF000000"/>
        <rFont val="Calibri"/>
      </rPr>
      <t xml:space="preserve">View class assignment for all users and template users configured on the Juniper SRX. Users with login classes audit-admin, security-admin, and system-admin have permission to view error message in logs and/or notifications. </t>
    </r>
    <r>
      <rPr>
        <sz val="11"/>
        <color rgb="FF000000"/>
        <rFont val="Calibri"/>
      </rPr>
      <t xml:space="preserve">
</t>
    </r>
    <r>
      <rPr>
        <sz val="11"/>
        <color rgb="FF000000"/>
        <rFont val="Calibri"/>
      </rPr>
      <t>If classes or users that are not authorized to have access to the logs (e.g., crypto-admin) have permissions to view or access error message in logs and/or notifications,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</si>
  <si>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</si>
  <si>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</si>
  <si>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</si>
  <si>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</si>
  <si>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</si>
  <si>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</si>
  <si>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</si>
  <si>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</si>
  <si>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</si>
  <si>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</si>
  <si>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</si>
  <si>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</si>
  <si>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</si>
  <si>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</si>
  <si>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</si>
  <si>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</si>
  <si>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</si>
  <si>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</si>
  <si>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</si>
  <si>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</si>
  <si>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</si>
  <si>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</si>
  <si>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</si>
  <si>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</si>
  <si>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</si>
  <si>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</si>
  <si>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</si>
  <si>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</si>
  <si>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</si>
  <si>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Juniper SRX Services Gateway Security Technical Implementation Guide Y25M01</t>
  </si>
  <si>
    <t>Developed By:</t>
  </si>
  <si>
    <t>Defense Information Systems Agency (DISA) for the US DoD</t>
  </si>
  <si>
    <t>Release Information:</t>
  </si>
  <si>
    <r>
      <rPr>
        <b/>
        <sz val="11"/>
        <color rgb="FF000000"/>
        <rFont val="Calibri"/>
      </rPr>
      <t>Version:</t>
    </r>
    <r>
      <rPr>
        <sz val="11"/>
        <color rgb="FF000000"/>
        <rFont val="Calibri"/>
      </rPr>
      <t xml:space="preserve"> Y25M01    </t>
    </r>
    <r>
      <rPr>
        <b/>
        <sz val="11"/>
        <color rgb="FF000000"/>
        <rFont val="Calibri"/>
      </rPr>
      <t>Date:</t>
    </r>
    <r>
      <rPr>
        <sz val="11"/>
        <color rgb="FF000000"/>
        <rFont val="Calibri"/>
      </rPr>
      <t xml:space="preserve"> 30 January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148</t>
    </r>
  </si>
  <si>
    <t>Download Url:</t>
  </si>
  <si>
    <t>https://www.cyber.mil/stigs</t>
  </si>
  <si>
    <t>Guide Overview:</t>
  </si>
  <si>
    <r>
      <rPr>
        <sz val="11"/>
        <color rgb="FF000000"/>
        <rFont val="Calibri"/>
      </rPr>
      <t>The Juniper SRX is a series of hardware platforms that consists of two product lines, the branch series and the data center series. The two product lines differ based on support for the number and types of available interfaces, traffic throughput capacity, and the network services provided. All platforms share a common design architecture consisting of a Routing Engine (RE) and a Packet Forwarding Engine (PFE). The Junos 12.1X46 is the minimum required version for DOD. The Juniper SRX Services Gateway (SG) STIG is a package of the following: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Juniper SRX SG Application Layer Gateway (ALG)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Juniper SRX Services Gateway (SG) Intrusion Detection and Prevention System (IDPS)</t>
    </r>
    <r>
      <rPr>
        <sz val="11"/>
        <color rgb="FF000000"/>
        <rFont val="Calibri"/>
      </rPr>
      <t xml:space="preserve">
</t>
    </r>
    <r>
      <rPr>
        <sz val="11"/>
        <color rgb="FF000000"/>
        <rFont val="Calibri"/>
      </rPr>
      <t>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Juniper SRX SG Network Device Management (NDM)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Juniper SRX SG Virtual Private Network (VPN) STIG.</t>
    </r>
    <r>
      <rPr>
        <sz val="11"/>
        <color rgb="FF000000"/>
        <rFont val="Calibri"/>
      </rPr>
      <t xml:space="preserve">
</t>
    </r>
    <r>
      <rPr>
        <sz val="11"/>
        <color rgb="FF000000"/>
        <rFont val="Calibri"/>
      </rPr>
      <t>The Juniper SRX Services Gateway SG ALG STIG provides the technical security policies, requirements, and implementation details for applying security concepts to the Juniper Networks SRX multifunction platforms to secure network firewall services. Firewall services, including security policies, zones, and packet inspection, are integrated into the other roles provided by the Juniper SRX. The Juniper SRX SG ALG STIG is used to secure the firewall services implemented by the PFE. The scope of the Juniper SRX SG ALG STIG includes only the default firewall services, such as security policies, zoning, and stateful/stateless content filtering. The Juniper Networks ALG license is a separate product and is not within the scope of this STIG. The Juniper SRX SG NDM STIG and the Juniper SRX ALG STIG are also required to secure the device when used as a firewall in the network architecture.</t>
    </r>
    <r>
      <rPr>
        <sz val="11"/>
        <color rgb="FF000000"/>
        <rFont val="Calibri"/>
      </rPr>
      <t xml:space="preserve">
</t>
    </r>
    <r>
      <rPr>
        <sz val="11"/>
        <color rgb="FF000000"/>
        <rFont val="Calibri"/>
      </rPr>
      <t>The Juniper SRX SG NDM STIG provides the technical security policies, requirements, and implementation details for applying security concepts to the Juniper Networks SRX multifunction.</t>
    </r>
    <r>
      <rPr>
        <sz val="11"/>
        <color rgb="FF000000"/>
        <rFont val="Calibri"/>
      </rPr>
      <t xml:space="preserve">
</t>
    </r>
    <r>
      <rPr>
        <sz val="11"/>
        <color rgb="FF000000"/>
        <rFont val="Calibri"/>
      </rPr>
      <t>The Juniper SRX SG VPN STIG provides the technical security policies, requirements, and implementation details for applying security concepts to the Juniper Networks SRX multifunction platforms when configured for network IPsec VPN role in the architecture. A license for two VPN connections is available by default; however, an additional license is required if more VPN connections are needed. The Juniper SRX SG VPN STIG is used to secure the VPN services implemented by the PFE. The scope of the Juniper SRX SG VPN STIG includes site-to-site, which connects two VPN gateways and remote access (dynamic) VPNs. The Juniper SRX SG NDM STIG and the Juniper SRX SG ALG STIG are also required to secure the device.</t>
    </r>
  </si>
  <si>
    <t>Components:</t>
  </si>
  <si>
    <r>
      <rPr>
        <i/>
        <sz val="11"/>
        <color rgb="FF000000"/>
        <rFont val="Calibri"/>
      </rPr>
      <t>Title:</t>
    </r>
    <r>
      <rPr>
        <sz val="11"/>
        <color rgb="FF000000"/>
        <rFont val="Calibri"/>
      </rPr>
      <t xml:space="preserve"> Juniper SRX Services Gateway ALG Security Technical Implementation Guide</t>
    </r>
    <r>
      <rPr>
        <sz val="11"/>
        <color rgb="FF000000"/>
        <rFont val="Calibri"/>
      </rPr>
      <t xml:space="preserve">
</t>
    </r>
    <r>
      <rPr>
        <i/>
        <sz val="11"/>
        <color rgb="FF000000"/>
        <rFont val="Calibri"/>
      </rPr>
      <t>Version:</t>
    </r>
    <r>
      <rPr>
        <sz val="11"/>
        <color rgb="FF000000"/>
        <rFont val="Calibri"/>
      </rPr>
      <t xml:space="preserve"> V3R3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24</t>
    </r>
  </si>
  <si>
    <r>
      <rPr>
        <i/>
        <sz val="11"/>
        <color rgb="FF000000"/>
        <rFont val="Calibri"/>
      </rPr>
      <t>Title:</t>
    </r>
    <r>
      <rPr>
        <sz val="11"/>
        <color rgb="FF000000"/>
        <rFont val="Calibri"/>
      </rPr>
      <t xml:space="preserve"> Juniper SRX Services Gateway IDPS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24 July 2024     </t>
    </r>
    <r>
      <rPr>
        <i/>
        <sz val="11"/>
        <color rgb="FF000000"/>
        <rFont val="Calibri"/>
      </rPr>
      <t>Recommendation Count:</t>
    </r>
    <r>
      <rPr>
        <sz val="11"/>
        <color rgb="FF000000"/>
        <rFont val="Calibri"/>
      </rPr>
      <t xml:space="preserve"> 28</t>
    </r>
  </si>
  <si>
    <r>
      <rPr>
        <i/>
        <sz val="11"/>
        <color rgb="FF000000"/>
        <rFont val="Calibri"/>
      </rPr>
      <t>Title:</t>
    </r>
    <r>
      <rPr>
        <sz val="11"/>
        <color rgb="FF000000"/>
        <rFont val="Calibri"/>
      </rPr>
      <t xml:space="preserve"> Juniper SRX Services Gateway VPN Security Technical Implementation Guide</t>
    </r>
    <r>
      <rPr>
        <sz val="11"/>
        <color rgb="FF000000"/>
        <rFont val="Calibri"/>
      </rPr>
      <t xml:space="preserve">
</t>
    </r>
    <r>
      <rPr>
        <i/>
        <sz val="11"/>
        <color rgb="FF000000"/>
        <rFont val="Calibri"/>
      </rPr>
      <t>Version:</t>
    </r>
    <r>
      <rPr>
        <sz val="11"/>
        <color rgb="FF000000"/>
        <rFont val="Calibri"/>
      </rPr>
      <t xml:space="preserve"> V3R2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28</t>
    </r>
  </si>
  <si>
    <r>
      <rPr>
        <i/>
        <sz val="11"/>
        <color rgb="FF000000"/>
        <rFont val="Calibri"/>
      </rPr>
      <t>Title:</t>
    </r>
    <r>
      <rPr>
        <sz val="11"/>
        <color rgb="FF000000"/>
        <rFont val="Calibri"/>
      </rPr>
      <t xml:space="preserve"> Juniper SRX Services Gateway NDM Security Technical Implementation Guide</t>
    </r>
    <r>
      <rPr>
        <sz val="11"/>
        <color rgb="FF000000"/>
        <rFont val="Calibri"/>
      </rPr>
      <t xml:space="preserve">
</t>
    </r>
    <r>
      <rPr>
        <i/>
        <sz val="11"/>
        <color rgb="FF000000"/>
        <rFont val="Calibri"/>
      </rPr>
      <t>Version:</t>
    </r>
    <r>
      <rPr>
        <sz val="11"/>
        <color rgb="FF000000"/>
        <rFont val="Calibri"/>
      </rPr>
      <t xml:space="preserve"> V3R3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68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</si>
  <si>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</si>
  <si>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</si>
  <si>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</si>
  <si>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</si>
  <si>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</si>
  <si>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</si>
  <si>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</si>
  <si>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</si>
  <si>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</si>
  <si>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</si>
  <si>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</si>
  <si>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</si>
  <si>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</si>
  <si>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</si>
  <si>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</si>
  <si>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</si>
  <si>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</si>
  <si>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</si>
  <si>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</si>
  <si>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</si>
  <si>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</si>
  <si>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</si>
  <si>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</si>
  <si>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</si>
  <si>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</si>
  <si>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</si>
  <si>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</si>
  <si>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</si>
  <si>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</si>
  <si>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</si>
  <si>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</si>
  <si>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</si>
  <si>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</si>
  <si>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</si>
  <si>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</si>
  <si>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</si>
  <si>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</si>
  <si>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</si>
  <si>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</si>
  <si>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</si>
  <si>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</si>
  <si>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</si>
  <si>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</si>
  <si>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</si>
  <si>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</si>
  <si>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</si>
  <si>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</si>
  <si>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Juniper SRX Services Gateway Security Technical Implementation Guide Y25M01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</si>
  <si>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</si>
  <si>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</si>
  <si>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</si>
  <si>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</si>
  <si>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</si>
  <si>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</si>
  <si>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</si>
  <si>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</si>
  <si>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</si>
  <si>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</si>
  <si>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</si>
  <si>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</si>
  <si>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</si>
  <si>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</si>
  <si>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</si>
  <si>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</si>
  <si>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</si>
  <si>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</si>
  <si>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</si>
  <si>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</si>
  <si>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</si>
  <si>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</si>
  <si>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</si>
  <si>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</si>
  <si>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</si>
  <si>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</si>
  <si>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</si>
  <si>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</si>
  <si>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</si>
  <si>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</si>
  <si>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</si>
  <si>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</si>
  <si>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</si>
  <si>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</si>
  <si>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</si>
  <si>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</si>
  <si>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</si>
  <si>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</si>
  <si>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</si>
  <si>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</si>
  <si>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</si>
  <si>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</si>
  <si>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</si>
  <si>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</si>
  <si>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</si>
  <si>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</si>
  <si>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</si>
  <si>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(C88)</t>
  </si>
  <si>
    <t>% Must</t>
  </si>
  <si>
    <t>Should Count (C89)</t>
  </si>
  <si>
    <t>% Should</t>
  </si>
  <si>
    <t>Could Count (C90)</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</si>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</sst>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8FC-46CC-BD52-6BF3BF998ED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8FC-46CC-BD52-6BF3BF998ED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148</c:v>
                </c:pt>
              </c:numCache>
            </c:numRef>
          </c:val>
          <c:extLst>
            <c:ext xmlns:c16="http://schemas.microsoft.com/office/drawing/2014/chart" uri="{C3380CC4-5D6E-409C-BE32-E72D297353CC}">
              <c16:uniqueId val="{00000002-48FC-46CC-BD52-6BF3BF998ED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ALG</c:v>
                </c:pt>
                <c:pt idx="1">
                  <c:v>IDPS</c:v>
                </c:pt>
                <c:pt idx="2">
                  <c:v>NDM</c:v>
                </c:pt>
                <c:pt idx="3">
                  <c:v>VPN</c:v>
                </c:pt>
              </c:strCache>
            </c:strRef>
          </c:cat>
          <c:val>
            <c:numRef>
              <c:f>Dashboard!$C$29:$C$32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346-4B02-8EF9-11FFE87A9E0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ALG</c:v>
                </c:pt>
                <c:pt idx="1">
                  <c:v>IDPS</c:v>
                </c:pt>
                <c:pt idx="2">
                  <c:v>NDM</c:v>
                </c:pt>
                <c:pt idx="3">
                  <c:v>VPN</c:v>
                </c:pt>
              </c:strCache>
            </c:strRef>
          </c:cat>
          <c:val>
            <c:numRef>
              <c:f>Dashboard!$D$29:$D$32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346-4B02-8EF9-11FFE87A9E0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ALG</c:v>
                </c:pt>
                <c:pt idx="1">
                  <c:v>IDPS</c:v>
                </c:pt>
                <c:pt idx="2">
                  <c:v>NDM</c:v>
                </c:pt>
                <c:pt idx="3">
                  <c:v>VPN</c:v>
                </c:pt>
              </c:strCache>
            </c:strRef>
          </c:cat>
          <c:val>
            <c:numRef>
              <c:f>Dashboard!$E$29:$E$32</c:f>
              <c:numCache>
                <c:formatCode>General</c:formatCode>
                <c:ptCount val="4"/>
                <c:pt idx="0">
                  <c:v>24</c:v>
                </c:pt>
                <c:pt idx="1">
                  <c:v>28</c:v>
                </c:pt>
                <c:pt idx="2">
                  <c:v>68</c:v>
                </c:pt>
                <c:pt idx="3">
                  <c:v>28</c:v>
                </c:pt>
              </c:numCache>
            </c:numRef>
          </c:val>
          <c:extLst>
            <c:ext xmlns:c16="http://schemas.microsoft.com/office/drawing/2014/chart" uri="{C3380CC4-5D6E-409C-BE32-E72D297353CC}">
              <c16:uniqueId val="{00000002-E346-4B02-8EF9-11FFE87A9E0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Dashboard!$C$48:$C$53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24B-4695-AEFC-2109DD87907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Dashboard!$D$48:$D$53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24B-4695-AEFC-2109DD87907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Dashboard!$E$48:$E$53</c:f>
              <c:numCache>
                <c:formatCode>General</c:formatCode>
                <c:ptCount val="6"/>
                <c:pt idx="0">
                  <c:v>0</c:v>
                </c:pt>
                <c:pt idx="1">
                  <c:v>0</c:v>
                </c:pt>
                <c:pt idx="2">
                  <c:v>0</c:v>
                </c:pt>
                <c:pt idx="3">
                  <c:v>0</c:v>
                </c:pt>
                <c:pt idx="4">
                  <c:v>0</c:v>
                </c:pt>
                <c:pt idx="5">
                  <c:v>148</c:v>
                </c:pt>
              </c:numCache>
            </c:numRef>
          </c:val>
          <c:extLst>
            <c:ext xmlns:c16="http://schemas.microsoft.com/office/drawing/2014/chart" uri="{C3380CC4-5D6E-409C-BE32-E72D297353CC}">
              <c16:uniqueId val="{00000002-624B-4695-AEFC-2109DD87907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Dashboard!$B$71:$B$73</c:f>
              <c:strCache>
                <c:ptCount val="3"/>
                <c:pt idx="0">
                  <c:v>CAT I (High)</c:v>
                </c:pt>
                <c:pt idx="1">
                  <c:v>CAT II (Medium)</c:v>
                </c:pt>
                <c:pt idx="2">
                  <c:v>CAT III (Low)</c:v>
                </c:pt>
              </c:strCache>
            </c:strRef>
          </c:cat>
          <c:val>
            <c:numRef>
              <c:f>Dashboard!$C$71:$C$73</c:f>
              <c:numCache>
                <c:formatCode>General</c:formatCode>
                <c:ptCount val="3"/>
                <c:pt idx="0">
                  <c:v>0</c:v>
                </c:pt>
                <c:pt idx="1">
                  <c:v>0</c:v>
                </c:pt>
                <c:pt idx="2">
                  <c:v>0</c:v>
                </c:pt>
              </c:numCache>
            </c:numRef>
          </c:val>
          <c:extLst>
            <c:ext xmlns:c16="http://schemas.microsoft.com/office/drawing/2014/chart" uri="{C3380CC4-5D6E-409C-BE32-E72D297353CC}">
              <c16:uniqueId val="{00000000-1A05-4CDF-85BF-7123E86E5F9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Dashboard!$B$71:$B$73</c:f>
              <c:strCache>
                <c:ptCount val="3"/>
                <c:pt idx="0">
                  <c:v>CAT I (High)</c:v>
                </c:pt>
                <c:pt idx="1">
                  <c:v>CAT II (Medium)</c:v>
                </c:pt>
                <c:pt idx="2">
                  <c:v>CAT III (Low)</c:v>
                </c:pt>
              </c:strCache>
            </c:strRef>
          </c:cat>
          <c:val>
            <c:numRef>
              <c:f>Dashboard!$D$71:$D$73</c:f>
              <c:numCache>
                <c:formatCode>General</c:formatCode>
                <c:ptCount val="3"/>
                <c:pt idx="0">
                  <c:v>0</c:v>
                </c:pt>
                <c:pt idx="1">
                  <c:v>0</c:v>
                </c:pt>
                <c:pt idx="2">
                  <c:v>0</c:v>
                </c:pt>
              </c:numCache>
            </c:numRef>
          </c:val>
          <c:extLst>
            <c:ext xmlns:c16="http://schemas.microsoft.com/office/drawing/2014/chart" uri="{C3380CC4-5D6E-409C-BE32-E72D297353CC}">
              <c16:uniqueId val="{00000001-1A05-4CDF-85BF-7123E86E5F9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Dashboard!$B$71:$B$73</c:f>
              <c:strCache>
                <c:ptCount val="3"/>
                <c:pt idx="0">
                  <c:v>CAT I (High)</c:v>
                </c:pt>
                <c:pt idx="1">
                  <c:v>CAT II (Medium)</c:v>
                </c:pt>
                <c:pt idx="2">
                  <c:v>CAT III (Low)</c:v>
                </c:pt>
              </c:strCache>
            </c:strRef>
          </c:cat>
          <c:val>
            <c:numRef>
              <c:f>Dashboard!$E$71:$E$73</c:f>
              <c:numCache>
                <c:formatCode>General</c:formatCode>
                <c:ptCount val="3"/>
                <c:pt idx="0">
                  <c:v>21</c:v>
                </c:pt>
                <c:pt idx="1">
                  <c:v>110</c:v>
                </c:pt>
                <c:pt idx="2">
                  <c:v>17</c:v>
                </c:pt>
              </c:numCache>
            </c:numRef>
          </c:val>
          <c:extLst>
            <c:ext xmlns:c16="http://schemas.microsoft.com/office/drawing/2014/chart" uri="{C3380CC4-5D6E-409C-BE32-E72D297353CC}">
              <c16:uniqueId val="{00000002-1A05-4CDF-85BF-7123E86E5F9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Dashboard!$B$88:$B$92</c:f>
              <c:strCache>
                <c:ptCount val="5"/>
                <c:pt idx="0">
                  <c:v>Must</c:v>
                </c:pt>
                <c:pt idx="1">
                  <c:v>Should</c:v>
                </c:pt>
                <c:pt idx="2">
                  <c:v>Could</c:v>
                </c:pt>
                <c:pt idx="3">
                  <c:v>Won't</c:v>
                </c:pt>
                <c:pt idx="4">
                  <c:v>Unassigned</c:v>
                </c:pt>
              </c:strCache>
            </c:strRef>
          </c:cat>
          <c:val>
            <c:numRef>
              <c:f>Dashboard!$C$88:$C$92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7AA-4A1C-98EF-0202CAF3790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Dashboard!$B$88:$B$92</c:f>
              <c:strCache>
                <c:ptCount val="5"/>
                <c:pt idx="0">
                  <c:v>Must</c:v>
                </c:pt>
                <c:pt idx="1">
                  <c:v>Should</c:v>
                </c:pt>
                <c:pt idx="2">
                  <c:v>Could</c:v>
                </c:pt>
                <c:pt idx="3">
                  <c:v>Won't</c:v>
                </c:pt>
                <c:pt idx="4">
                  <c:v>Unassigned</c:v>
                </c:pt>
              </c:strCache>
            </c:strRef>
          </c:cat>
          <c:val>
            <c:numRef>
              <c:f>Dashboard!$D$88:$D$92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7AA-4A1C-98EF-0202CAF3790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Dashboard!$B$88:$B$92</c:f>
              <c:strCache>
                <c:ptCount val="5"/>
                <c:pt idx="0">
                  <c:v>Must</c:v>
                </c:pt>
                <c:pt idx="1">
                  <c:v>Should</c:v>
                </c:pt>
                <c:pt idx="2">
                  <c:v>Could</c:v>
                </c:pt>
                <c:pt idx="3">
                  <c:v>Won't</c:v>
                </c:pt>
                <c:pt idx="4">
                  <c:v>Unassigned</c:v>
                </c:pt>
              </c:strCache>
            </c:strRef>
          </c:cat>
          <c:val>
            <c:numRef>
              <c:f>Dashboard!$E$88:$E$92</c:f>
              <c:numCache>
                <c:formatCode>General</c:formatCode>
                <c:ptCount val="5"/>
                <c:pt idx="0">
                  <c:v>0</c:v>
                </c:pt>
                <c:pt idx="1">
                  <c:v>0</c:v>
                </c:pt>
                <c:pt idx="2">
                  <c:v>0</c:v>
                </c:pt>
                <c:pt idx="3">
                  <c:v>0</c:v>
                </c:pt>
                <c:pt idx="4">
                  <c:v>148</c:v>
                </c:pt>
              </c:numCache>
            </c:numRef>
          </c:val>
          <c:extLst>
            <c:ext xmlns:c16="http://schemas.microsoft.com/office/drawing/2014/chart" uri="{C3380CC4-5D6E-409C-BE32-E72D297353CC}">
              <c16:uniqueId val="{00000002-47AA-4A1C-98EF-0202CAF3790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Dashboard!$B$109:$B$112</c:f>
              <c:strCache>
                <c:ptCount val="4"/>
                <c:pt idx="0">
                  <c:v>Low</c:v>
                </c:pt>
                <c:pt idx="1">
                  <c:v>Medium</c:v>
                </c:pt>
                <c:pt idx="2">
                  <c:v>High</c:v>
                </c:pt>
                <c:pt idx="3">
                  <c:v>Unassessed</c:v>
                </c:pt>
              </c:strCache>
            </c:strRef>
          </c:cat>
          <c:val>
            <c:numRef>
              <c:f>Dashboard!$C$109:$C$112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562-43C3-9751-2A01F27F541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Dashboard!$B$109:$B$112</c:f>
              <c:strCache>
                <c:ptCount val="4"/>
                <c:pt idx="0">
                  <c:v>Low</c:v>
                </c:pt>
                <c:pt idx="1">
                  <c:v>Medium</c:v>
                </c:pt>
                <c:pt idx="2">
                  <c:v>High</c:v>
                </c:pt>
                <c:pt idx="3">
                  <c:v>Unassessed</c:v>
                </c:pt>
              </c:strCache>
            </c:strRef>
          </c:cat>
          <c:val>
            <c:numRef>
              <c:f>Dashboard!$D$109:$D$112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562-43C3-9751-2A01F27F541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Dashboard!$B$109:$B$112</c:f>
              <c:strCache>
                <c:ptCount val="4"/>
                <c:pt idx="0">
                  <c:v>Low</c:v>
                </c:pt>
                <c:pt idx="1">
                  <c:v>Medium</c:v>
                </c:pt>
                <c:pt idx="2">
                  <c:v>High</c:v>
                </c:pt>
                <c:pt idx="3">
                  <c:v>Unassessed</c:v>
                </c:pt>
              </c:strCache>
            </c:strRef>
          </c:cat>
          <c:val>
            <c:numRef>
              <c:f>Dashboard!$E$109:$E$112</c:f>
              <c:numCache>
                <c:formatCode>General</c:formatCode>
                <c:ptCount val="4"/>
                <c:pt idx="0">
                  <c:v>0</c:v>
                </c:pt>
                <c:pt idx="1">
                  <c:v>0</c:v>
                </c:pt>
                <c:pt idx="2">
                  <c:v>0</c:v>
                </c:pt>
                <c:pt idx="3">
                  <c:v>148</c:v>
                </c:pt>
              </c:numCache>
            </c:numRef>
          </c:val>
          <c:extLst>
            <c:ext xmlns:c16="http://schemas.microsoft.com/office/drawing/2014/chart" uri="{C3380CC4-5D6E-409C-BE32-E72D297353CC}">
              <c16:uniqueId val="{00000002-2562-43C3-9751-2A01F27F541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Dashboard!$P$145:$P$174</c:f>
              <c:numCache>
                <c:formatCode>yyyy\-mm\-dd</c:formatCode>
                <c:ptCount val="30"/>
              </c:numCache>
            </c:numRef>
          </c:cat>
          <c:val>
            <c:numRef>
              <c:f>Dashboard!$R$145:$R$174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B51-49F1-BB4D-9A8BCA021A8D}"/>
            </c:ext>
          </c:extLst>
        </c:ser>
        <c:ser>
          <c:idx val="1"/>
          <c:order val="1"/>
          <c:tx>
            <c:v>Must % Resolved</c:v>
          </c:tx>
          <c:spPr>
            <a:ln w="22225" cap="rnd">
              <a:solidFill>
                <a:schemeClr val="accent2"/>
              </a:solidFill>
              <a:round/>
            </a:ln>
            <a:effectLst/>
          </c:spPr>
          <c:marker>
            <c:symbol val="none"/>
          </c:marker>
          <c:cat>
            <c:numRef>
              <c:f>Dashboard!$P$145:$P$174</c:f>
              <c:numCache>
                <c:formatCode>yyyy\-mm\-dd</c:formatCode>
                <c:ptCount val="30"/>
              </c:numCache>
            </c:numRef>
          </c:cat>
          <c:val>
            <c:numRef>
              <c:f>Dashboard!$T$145:$T$174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B51-49F1-BB4D-9A8BCA021A8D}"/>
            </c:ext>
          </c:extLst>
        </c:ser>
        <c:ser>
          <c:idx val="2"/>
          <c:order val="2"/>
          <c:tx>
            <c:v>Should % Resolved</c:v>
          </c:tx>
          <c:spPr>
            <a:ln w="22225" cap="rnd">
              <a:solidFill>
                <a:schemeClr val="accent3"/>
              </a:solidFill>
              <a:round/>
            </a:ln>
            <a:effectLst/>
          </c:spPr>
          <c:marker>
            <c:symbol val="none"/>
          </c:marker>
          <c:cat>
            <c:numRef>
              <c:f>Dashboard!$P$145:$P$174</c:f>
              <c:numCache>
                <c:formatCode>yyyy\-mm\-dd</c:formatCode>
                <c:ptCount val="30"/>
              </c:numCache>
            </c:numRef>
          </c:cat>
          <c:val>
            <c:numRef>
              <c:f>Dashboard!$V$145:$V$174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B51-49F1-BB4D-9A8BCA021A8D}"/>
            </c:ext>
          </c:extLst>
        </c:ser>
        <c:ser>
          <c:idx val="3"/>
          <c:order val="3"/>
          <c:tx>
            <c:v>Could % Resolved</c:v>
          </c:tx>
          <c:spPr>
            <a:ln w="22225" cap="rnd">
              <a:solidFill>
                <a:schemeClr val="accent4"/>
              </a:solidFill>
              <a:round/>
            </a:ln>
            <a:effectLst/>
          </c:spPr>
          <c:marker>
            <c:symbol val="none"/>
          </c:marker>
          <c:cat>
            <c:numRef>
              <c:f>Dashboard!$P$145:$P$174</c:f>
              <c:numCache>
                <c:formatCode>yyyy\-mm\-dd</c:formatCode>
                <c:ptCount val="30"/>
              </c:numCache>
            </c:numRef>
          </c:cat>
          <c:val>
            <c:numRef>
              <c:f>Dashboard!$X$145:$X$174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B51-49F1-BB4D-9A8BCA021A8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Dashboard!$P$187:$P$206</c:f>
              <c:numCache>
                <c:formatCode>yyyy\-mm\-dd</c:formatCode>
                <c:ptCount val="20"/>
              </c:numCache>
            </c:numRef>
          </c:cat>
          <c:val>
            <c:numRef>
              <c:f>Dashboard!$R$187:$R$206</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EC5-4D53-8699-D80759E4A6F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ghkg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qyn4ld">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45</xdr:row>
      <xdr:rowOff>95250</xdr:rowOff>
    </xdr:from>
    <xdr:to>
      <xdr:col>15</xdr:col>
      <xdr:colOff>28575</xdr:colOff>
      <xdr:row>62</xdr:row>
      <xdr:rowOff>0</xdr:rowOff>
    </xdr:to>
    <xdr:graphicFrame macro="">
      <xdr:nvGraphicFramePr>
        <xdr:cNvPr id="4" name="Chart13nwe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80</xdr:row>
      <xdr:rowOff>47625</xdr:rowOff>
    </xdr:to>
    <xdr:graphicFrame macro="">
      <xdr:nvGraphicFramePr>
        <xdr:cNvPr id="5" name="Chart0olfg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100</xdr:row>
      <xdr:rowOff>0</xdr:rowOff>
    </xdr:to>
    <xdr:graphicFrame macro="">
      <xdr:nvGraphicFramePr>
        <xdr:cNvPr id="6" name="Chartknvbo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103</xdr:row>
      <xdr:rowOff>95250</xdr:rowOff>
    </xdr:from>
    <xdr:to>
      <xdr:col>15</xdr:col>
      <xdr:colOff>28575</xdr:colOff>
      <xdr:row>118</xdr:row>
      <xdr:rowOff>142875</xdr:rowOff>
    </xdr:to>
    <xdr:graphicFrame macro="">
      <xdr:nvGraphicFramePr>
        <xdr:cNvPr id="7" name="Chartiji0cv">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140</xdr:row>
      <xdr:rowOff>95250</xdr:rowOff>
    </xdr:from>
    <xdr:to>
      <xdr:col>14</xdr:col>
      <xdr:colOff>0</xdr:colOff>
      <xdr:row>163</xdr:row>
      <xdr:rowOff>38100</xdr:rowOff>
    </xdr:to>
    <xdr:graphicFrame macro="">
      <xdr:nvGraphicFramePr>
        <xdr:cNvPr id="8" name="Chartqzjpd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181</xdr:row>
      <xdr:rowOff>95250</xdr:rowOff>
    </xdr:from>
    <xdr:to>
      <xdr:col>14</xdr:col>
      <xdr:colOff>0</xdr:colOff>
      <xdr:row>199</xdr:row>
      <xdr:rowOff>123825</xdr:rowOff>
    </xdr:to>
    <xdr:graphicFrame macro="">
      <xdr:nvGraphicFramePr>
        <xdr:cNvPr id="9" name="Chartkctmg3">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49">
  <autoFilter ref="A1:N149"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734</v>
      </c>
    </row>
    <row r="3" spans="2:3" ht="15" customHeight="1" x14ac:dyDescent="0.35"/>
    <row r="4" spans="2:3" ht="58" x14ac:dyDescent="0.35">
      <c r="B4" s="20" t="s">
        <v>735</v>
      </c>
      <c r="C4" s="21" t="s">
        <v>736</v>
      </c>
    </row>
    <row r="5" spans="2:3" x14ac:dyDescent="0.35">
      <c r="C5" s="21" t="s">
        <v>737</v>
      </c>
    </row>
    <row r="6" spans="2:3" x14ac:dyDescent="0.35">
      <c r="C6" s="18" t="s">
        <v>738</v>
      </c>
    </row>
    <row r="7" spans="2:3" ht="10" customHeight="1" x14ac:dyDescent="0.35"/>
    <row r="8" spans="2:3" ht="232" x14ac:dyDescent="0.35">
      <c r="B8" s="22" t="s">
        <v>739</v>
      </c>
      <c r="C8" s="21" t="s">
        <v>740</v>
      </c>
    </row>
    <row r="9" spans="2:3" ht="10" customHeight="1" x14ac:dyDescent="0.35"/>
    <row r="10" spans="2:3" ht="35" customHeight="1" x14ac:dyDescent="0.35">
      <c r="B10" s="22" t="s">
        <v>741</v>
      </c>
      <c r="C10" s="21" t="s">
        <v>742</v>
      </c>
    </row>
    <row r="11" spans="2:3" ht="75" customHeight="1" x14ac:dyDescent="0.35">
      <c r="B11" s="18" t="s">
        <v>21</v>
      </c>
      <c r="C11" s="21" t="s">
        <v>743</v>
      </c>
    </row>
    <row r="12" spans="2:3" ht="47" customHeight="1" x14ac:dyDescent="0.35">
      <c r="B12" s="18" t="s">
        <v>21</v>
      </c>
      <c r="C12" s="21" t="s">
        <v>744</v>
      </c>
    </row>
    <row r="13" spans="2:3" ht="35" customHeight="1" x14ac:dyDescent="0.35">
      <c r="B13" s="18" t="s">
        <v>21</v>
      </c>
      <c r="C13" s="21" t="s">
        <v>745</v>
      </c>
    </row>
    <row r="14" spans="2:3" ht="32" customHeight="1" x14ac:dyDescent="0.35">
      <c r="B14" s="18" t="s">
        <v>21</v>
      </c>
      <c r="C14" s="21" t="s">
        <v>746</v>
      </c>
    </row>
    <row r="15" spans="2:3" ht="30" customHeight="1" x14ac:dyDescent="0.35">
      <c r="B15" s="18" t="s">
        <v>21</v>
      </c>
      <c r="C15" s="21" t="s">
        <v>747</v>
      </c>
    </row>
    <row r="16" spans="2:3" ht="10" customHeight="1" x14ac:dyDescent="0.35"/>
    <row r="17" spans="1:3" ht="145" customHeight="1" x14ac:dyDescent="0.35">
      <c r="B17" s="22" t="s">
        <v>748</v>
      </c>
      <c r="C17" s="21" t="s">
        <v>749</v>
      </c>
    </row>
    <row r="18" spans="1:3" ht="10" customHeight="1" x14ac:dyDescent="0.35"/>
    <row r="19" spans="1:3" ht="3" customHeight="1" x14ac:dyDescent="0.35">
      <c r="B19" s="23"/>
      <c r="C19" s="23"/>
    </row>
    <row r="20" spans="1:3" ht="12" customHeight="1" x14ac:dyDescent="0.35"/>
    <row r="21" spans="1:3" ht="35" customHeight="1" x14ac:dyDescent="0.35">
      <c r="A21" s="25"/>
      <c r="B21" s="26" t="s">
        <v>750</v>
      </c>
      <c r="C21" s="27" t="s">
        <v>751</v>
      </c>
    </row>
    <row r="22" spans="1:3" ht="18" customHeight="1" x14ac:dyDescent="0.35">
      <c r="A22" s="25"/>
      <c r="B22" s="25" t="s">
        <v>21</v>
      </c>
      <c r="C22" s="27" t="s">
        <v>752</v>
      </c>
    </row>
    <row r="23" spans="1:3" ht="18" customHeight="1" x14ac:dyDescent="0.35">
      <c r="A23" s="25"/>
      <c r="B23" s="25" t="s">
        <v>21</v>
      </c>
      <c r="C23" s="27" t="s">
        <v>753</v>
      </c>
    </row>
    <row r="24" spans="1:3" ht="18" customHeight="1" x14ac:dyDescent="0.35">
      <c r="A24" s="25"/>
      <c r="B24" s="25" t="s">
        <v>21</v>
      </c>
      <c r="C24" s="27" t="s">
        <v>754</v>
      </c>
    </row>
    <row r="25" spans="1:3" ht="18" customHeight="1" x14ac:dyDescent="0.35">
      <c r="A25" s="25"/>
      <c r="B25" s="25" t="s">
        <v>21</v>
      </c>
      <c r="C25" s="27" t="s">
        <v>755</v>
      </c>
    </row>
    <row r="26" spans="1:3" ht="18" customHeight="1" x14ac:dyDescent="0.35">
      <c r="A26" s="25"/>
      <c r="B26" s="25" t="s">
        <v>21</v>
      </c>
      <c r="C26" s="27" t="s">
        <v>756</v>
      </c>
    </row>
    <row r="27" spans="1:3" ht="18" customHeight="1" x14ac:dyDescent="0.35">
      <c r="A27" s="25"/>
      <c r="B27" s="25" t="s">
        <v>21</v>
      </c>
      <c r="C27" s="27" t="s">
        <v>757</v>
      </c>
    </row>
    <row r="28" spans="1:3" ht="18" customHeight="1" x14ac:dyDescent="0.35">
      <c r="A28" s="25"/>
      <c r="B28" s="25" t="s">
        <v>21</v>
      </c>
      <c r="C28" s="27" t="s">
        <v>758</v>
      </c>
    </row>
    <row r="29" spans="1:3" ht="18" customHeight="1" x14ac:dyDescent="0.35">
      <c r="A29" s="25"/>
      <c r="B29" s="25" t="s">
        <v>21</v>
      </c>
      <c r="C29" s="27" t="s">
        <v>759</v>
      </c>
    </row>
    <row r="30" spans="1:3" ht="44" customHeight="1" x14ac:dyDescent="0.35">
      <c r="A30" s="25"/>
      <c r="B30" s="25" t="s">
        <v>21</v>
      </c>
      <c r="C30" s="28" t="s">
        <v>760</v>
      </c>
    </row>
    <row r="31" spans="1:3" ht="10" customHeight="1" x14ac:dyDescent="0.35"/>
    <row r="32" spans="1:3" ht="3" customHeight="1" x14ac:dyDescent="0.35">
      <c r="B32" s="23"/>
      <c r="C32" s="23"/>
    </row>
    <row r="33" spans="2:3" ht="12" customHeight="1" x14ac:dyDescent="0.35"/>
    <row r="34" spans="2:3" ht="24" customHeight="1" x14ac:dyDescent="0.35">
      <c r="B34" s="29" t="s">
        <v>761</v>
      </c>
      <c r="C34" s="30" t="s">
        <v>762</v>
      </c>
    </row>
    <row r="35" spans="2:3" ht="18.5" x14ac:dyDescent="0.35">
      <c r="B35" s="29" t="s">
        <v>763</v>
      </c>
      <c r="C35" s="31" t="s">
        <v>764</v>
      </c>
    </row>
    <row r="36" spans="2:3" ht="27" customHeight="1" x14ac:dyDescent="0.35">
      <c r="B36" s="32" t="s">
        <v>765</v>
      </c>
      <c r="C36" s="24" t="s">
        <v>766</v>
      </c>
    </row>
    <row r="37" spans="2:3" x14ac:dyDescent="0.35">
      <c r="B37" s="29" t="s">
        <v>767</v>
      </c>
      <c r="C37" s="33" t="s">
        <v>768</v>
      </c>
    </row>
    <row r="38" spans="2:3" ht="10" customHeight="1" x14ac:dyDescent="0.35"/>
    <row r="39" spans="2:3" ht="220" customHeight="1" x14ac:dyDescent="0.35">
      <c r="B39" s="29" t="s">
        <v>769</v>
      </c>
      <c r="C39" s="34" t="s">
        <v>770</v>
      </c>
    </row>
    <row r="40" spans="2:3" ht="10" customHeight="1" x14ac:dyDescent="0.35"/>
    <row r="41" spans="2:3" ht="20" customHeight="1" x14ac:dyDescent="0.35">
      <c r="B41" s="29" t="s">
        <v>771</v>
      </c>
      <c r="C41" s="35" t="s">
        <v>17</v>
      </c>
    </row>
    <row r="42" spans="2:3" ht="29" x14ac:dyDescent="0.35">
      <c r="C42" s="21" t="s">
        <v>772</v>
      </c>
    </row>
    <row r="43" spans="2:3" ht="10" customHeight="1" x14ac:dyDescent="0.35"/>
    <row r="44" spans="2:3" ht="20" customHeight="1" x14ac:dyDescent="0.35">
      <c r="C44" s="35" t="s">
        <v>139</v>
      </c>
    </row>
    <row r="45" spans="2:3" ht="29" x14ac:dyDescent="0.35">
      <c r="C45" s="21" t="s">
        <v>773</v>
      </c>
    </row>
    <row r="46" spans="2:3" ht="10" customHeight="1" x14ac:dyDescent="0.35"/>
    <row r="47" spans="2:3" ht="20" customHeight="1" x14ac:dyDescent="0.35">
      <c r="C47" s="35" t="s">
        <v>277</v>
      </c>
    </row>
    <row r="48" spans="2:3" ht="29" x14ac:dyDescent="0.35">
      <c r="C48" s="21" t="s">
        <v>774</v>
      </c>
    </row>
    <row r="49" spans="2:3" ht="10" customHeight="1" x14ac:dyDescent="0.35"/>
    <row r="50" spans="2:3" ht="20" customHeight="1" x14ac:dyDescent="0.35">
      <c r="C50" s="35" t="s">
        <v>414</v>
      </c>
    </row>
    <row r="51" spans="2:3" ht="29" x14ac:dyDescent="0.35">
      <c r="C51" s="21" t="s">
        <v>775</v>
      </c>
    </row>
    <row r="52" spans="2:3" ht="10" customHeight="1" x14ac:dyDescent="0.35"/>
    <row r="53" spans="2:3" ht="43.5" x14ac:dyDescent="0.35">
      <c r="B53" s="29" t="s">
        <v>776</v>
      </c>
      <c r="C53" s="21" t="s">
        <v>777</v>
      </c>
    </row>
    <row r="54" spans="2:3" ht="10" customHeight="1" x14ac:dyDescent="0.35"/>
    <row r="55" spans="2:3" ht="15.5" x14ac:dyDescent="0.35">
      <c r="C55" s="36" t="s">
        <v>74</v>
      </c>
    </row>
    <row r="56" spans="2:3" ht="29" x14ac:dyDescent="0.35">
      <c r="C56" s="21" t="s">
        <v>778</v>
      </c>
    </row>
    <row r="57" spans="2:3" ht="10" customHeight="1" x14ac:dyDescent="0.35"/>
    <row r="58" spans="2:3" ht="15.5" x14ac:dyDescent="0.35">
      <c r="C58" s="37" t="s">
        <v>16</v>
      </c>
    </row>
    <row r="59" spans="2:3" ht="29" x14ac:dyDescent="0.35">
      <c r="C59" s="21" t="s">
        <v>779</v>
      </c>
    </row>
    <row r="60" spans="2:3" ht="10" customHeight="1" x14ac:dyDescent="0.35"/>
    <row r="61" spans="2:3" ht="15.5" x14ac:dyDescent="0.35">
      <c r="C61" s="38" t="s">
        <v>413</v>
      </c>
    </row>
    <row r="62" spans="2:3" ht="29" x14ac:dyDescent="0.35">
      <c r="C62" s="21" t="s">
        <v>780</v>
      </c>
    </row>
    <row r="63" spans="2:3" ht="10" customHeight="1" x14ac:dyDescent="0.35"/>
    <row r="64" spans="2:3" ht="3" customHeight="1" x14ac:dyDescent="0.35">
      <c r="B64" s="23"/>
      <c r="C64" s="23"/>
    </row>
    <row r="65" spans="2:3" ht="12" customHeight="1" x14ac:dyDescent="0.35"/>
    <row r="66" spans="2:3" ht="130.5" x14ac:dyDescent="0.35">
      <c r="B66" s="20" t="s">
        <v>781</v>
      </c>
      <c r="C66" s="21" t="s">
        <v>782</v>
      </c>
    </row>
    <row r="67" spans="2:3" ht="6" customHeight="1" x14ac:dyDescent="0.35"/>
    <row r="68" spans="2:3" ht="217.5" x14ac:dyDescent="0.35">
      <c r="C68" s="21" t="s">
        <v>783</v>
      </c>
    </row>
    <row r="69" spans="2:3" ht="6" customHeight="1" x14ac:dyDescent="0.35"/>
    <row r="70" spans="2:3" ht="43.5" x14ac:dyDescent="0.35">
      <c r="C70" s="21" t="s">
        <v>784</v>
      </c>
    </row>
    <row r="71" spans="2:3" ht="10" customHeight="1" x14ac:dyDescent="0.35"/>
    <row r="72" spans="2:3" ht="3" customHeight="1" x14ac:dyDescent="0.35">
      <c r="B72" s="23"/>
      <c r="C72" s="23"/>
    </row>
    <row r="73" spans="2:3" ht="12" customHeight="1" x14ac:dyDescent="0.35"/>
    <row r="74" spans="2:3" ht="145" x14ac:dyDescent="0.35">
      <c r="B74" s="20" t="s">
        <v>785</v>
      </c>
      <c r="C74" s="21" t="s">
        <v>786</v>
      </c>
    </row>
    <row r="75" spans="2:3" ht="6" customHeight="1" x14ac:dyDescent="0.35"/>
    <row r="76" spans="2:3" ht="203" x14ac:dyDescent="0.35">
      <c r="C76" s="21" t="s">
        <v>787</v>
      </c>
    </row>
    <row r="77" spans="2:3" ht="6" customHeight="1" x14ac:dyDescent="0.35"/>
    <row r="78" spans="2:3" ht="43.5" x14ac:dyDescent="0.35">
      <c r="C78" s="21" t="s">
        <v>788</v>
      </c>
    </row>
    <row r="79" spans="2:3" ht="10" customHeight="1" x14ac:dyDescent="0.35"/>
    <row r="80" spans="2:3" ht="3" customHeight="1" x14ac:dyDescent="0.35">
      <c r="B80" s="23"/>
      <c r="C80" s="23"/>
    </row>
    <row r="81" spans="2:3" ht="12" customHeight="1" x14ac:dyDescent="0.35"/>
    <row r="82" spans="2:3" ht="101.5" x14ac:dyDescent="0.35">
      <c r="B82" s="20" t="s">
        <v>789</v>
      </c>
      <c r="C82" s="21" t="s">
        <v>790</v>
      </c>
    </row>
    <row r="83" spans="2:3" ht="6" customHeight="1" x14ac:dyDescent="0.35"/>
    <row r="84" spans="2:3" ht="145" x14ac:dyDescent="0.35">
      <c r="C84" s="21" t="s">
        <v>791</v>
      </c>
    </row>
    <row r="85" spans="2:3" ht="6" customHeight="1" x14ac:dyDescent="0.35"/>
    <row r="86" spans="2:3" ht="43.5" x14ac:dyDescent="0.35">
      <c r="C86" s="21" t="s">
        <v>792</v>
      </c>
    </row>
    <row r="87" spans="2:3" ht="10" customHeight="1" x14ac:dyDescent="0.35"/>
    <row r="88" spans="2:3" ht="3" customHeight="1" x14ac:dyDescent="0.35">
      <c r="B88" s="23"/>
      <c r="C88" s="23"/>
    </row>
    <row r="89" spans="2:3" ht="12" customHeight="1" x14ac:dyDescent="0.35"/>
    <row r="90" spans="2:3" ht="26" customHeight="1" x14ac:dyDescent="0.35">
      <c r="B90" s="39" t="s">
        <v>793</v>
      </c>
    </row>
    <row r="91" spans="2:3" ht="8" customHeight="1" x14ac:dyDescent="0.35"/>
    <row r="92" spans="2:3" ht="20" customHeight="1" x14ac:dyDescent="0.35">
      <c r="B92" s="29" t="s">
        <v>794</v>
      </c>
      <c r="C92" s="40" t="s">
        <v>795</v>
      </c>
    </row>
    <row r="93" spans="2:3" ht="116" x14ac:dyDescent="0.35">
      <c r="C93" s="21" t="s">
        <v>796</v>
      </c>
    </row>
    <row r="94" spans="2:3" ht="10" customHeight="1" x14ac:dyDescent="0.35"/>
    <row r="95" spans="2:3" ht="20" customHeight="1" x14ac:dyDescent="0.35">
      <c r="B95" s="29" t="s">
        <v>797</v>
      </c>
      <c r="C95" s="40" t="s">
        <v>798</v>
      </c>
    </row>
    <row r="96" spans="2:3" ht="116" x14ac:dyDescent="0.35">
      <c r="C96" s="21" t="s">
        <v>799</v>
      </c>
    </row>
    <row r="97" spans="2:3" ht="10" customHeight="1" x14ac:dyDescent="0.35"/>
    <row r="98" spans="2:3" ht="20" customHeight="1" x14ac:dyDescent="0.35">
      <c r="B98" s="29" t="s">
        <v>800</v>
      </c>
      <c r="C98" s="40" t="s">
        <v>801</v>
      </c>
    </row>
    <row r="99" spans="2:3" ht="130.5" x14ac:dyDescent="0.35">
      <c r="C99" s="21" t="s">
        <v>802</v>
      </c>
    </row>
    <row r="100" spans="2:3" ht="10" customHeight="1" x14ac:dyDescent="0.35"/>
    <row r="101" spans="2:3" ht="20" customHeight="1" x14ac:dyDescent="0.35">
      <c r="B101" s="29" t="s">
        <v>803</v>
      </c>
      <c r="C101" s="40" t="s">
        <v>804</v>
      </c>
    </row>
    <row r="102" spans="2:3" ht="130.5" x14ac:dyDescent="0.35">
      <c r="C102" s="21" t="s">
        <v>805</v>
      </c>
    </row>
    <row r="103" spans="2:3" ht="10" customHeight="1" x14ac:dyDescent="0.35"/>
    <row r="104" spans="2:3" ht="20" customHeight="1" x14ac:dyDescent="0.35">
      <c r="B104" s="29" t="s">
        <v>806</v>
      </c>
      <c r="C104" s="40" t="s">
        <v>807</v>
      </c>
    </row>
    <row r="105" spans="2:3" ht="116" x14ac:dyDescent="0.35">
      <c r="C105" s="21" t="s">
        <v>808</v>
      </c>
    </row>
    <row r="106" spans="2:3" ht="10" customHeight="1" x14ac:dyDescent="0.35"/>
    <row r="107" spans="2:3" ht="20" customHeight="1" x14ac:dyDescent="0.35">
      <c r="B107" s="29" t="s">
        <v>809</v>
      </c>
      <c r="C107" s="40" t="s">
        <v>810</v>
      </c>
    </row>
    <row r="108" spans="2:3" ht="116" x14ac:dyDescent="0.35">
      <c r="C108" s="21" t="s">
        <v>811</v>
      </c>
    </row>
    <row r="109" spans="2:3" ht="10" customHeight="1" x14ac:dyDescent="0.35"/>
    <row r="110" spans="2:3" ht="20" customHeight="1" x14ac:dyDescent="0.35">
      <c r="B110" s="29" t="s">
        <v>812</v>
      </c>
      <c r="C110" s="40" t="s">
        <v>813</v>
      </c>
    </row>
    <row r="111" spans="2:3" ht="130.5" x14ac:dyDescent="0.35">
      <c r="C111" s="21" t="s">
        <v>814</v>
      </c>
    </row>
    <row r="112" spans="2:3" ht="10" customHeight="1" x14ac:dyDescent="0.35"/>
    <row r="113" spans="2:3" ht="20" customHeight="1" x14ac:dyDescent="0.35">
      <c r="B113" s="29" t="s">
        <v>815</v>
      </c>
      <c r="C113" s="40" t="s">
        <v>816</v>
      </c>
    </row>
    <row r="114" spans="2:3" ht="203" x14ac:dyDescent="0.35">
      <c r="C114" s="21" t="s">
        <v>817</v>
      </c>
    </row>
    <row r="115" spans="2:3" ht="10" customHeight="1" x14ac:dyDescent="0.35"/>
    <row r="118" spans="2:3" ht="32" customHeight="1" x14ac:dyDescent="0.35">
      <c r="B118" s="291" t="s">
        <v>733</v>
      </c>
      <c r="C118" s="291"/>
    </row>
  </sheetData>
  <sheetProtection password="90EA" sheet="1"/>
  <mergeCells count="1">
    <mergeCell ref="B118:C118"/>
  </mergeCells>
  <hyperlinks>
    <hyperlink ref="C5" r:id="rId1" xr:uid="{00000000-0004-0000-0000-000000000000}"/>
    <hyperlink ref="C6" r:id="rId2" xr:uid="{00000000-0004-0000-0000-000001000000}"/>
    <hyperlink ref="C37" r:id="rId3" xr:uid="{00000000-0004-0000-0000-000002000000}"/>
    <hyperlink ref="B118"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3501</v>
      </c>
      <c r="B1" s="233" t="s">
        <v>0</v>
      </c>
      <c r="C1" s="233" t="s">
        <v>978</v>
      </c>
      <c r="D1" s="233" t="s">
        <v>979</v>
      </c>
      <c r="E1" s="233" t="s">
        <v>984</v>
      </c>
      <c r="F1" s="233" t="s">
        <v>985</v>
      </c>
      <c r="G1" s="233" t="s">
        <v>986</v>
      </c>
      <c r="H1" s="233" t="s">
        <v>987</v>
      </c>
      <c r="I1" s="233" t="s">
        <v>988</v>
      </c>
      <c r="J1" s="233" t="s">
        <v>989</v>
      </c>
      <c r="K1" s="233" t="s">
        <v>990</v>
      </c>
      <c r="L1" s="233" t="s">
        <v>991</v>
      </c>
      <c r="M1" s="233" t="s">
        <v>992</v>
      </c>
      <c r="N1" s="233" t="s">
        <v>993</v>
      </c>
      <c r="O1" s="233" t="s">
        <v>994</v>
      </c>
      <c r="P1" s="233" t="s">
        <v>995</v>
      </c>
      <c r="Q1" s="233" t="s">
        <v>996</v>
      </c>
      <c r="R1" s="233" t="s">
        <v>997</v>
      </c>
      <c r="S1" s="233" t="s">
        <v>998</v>
      </c>
      <c r="T1" s="233" t="s">
        <v>999</v>
      </c>
      <c r="U1" s="233" t="s">
        <v>1000</v>
      </c>
      <c r="V1" s="233" t="s">
        <v>1001</v>
      </c>
      <c r="W1" s="233" t="s">
        <v>1002</v>
      </c>
      <c r="X1" s="233" t="s">
        <v>1003</v>
      </c>
      <c r="Y1" s="233" t="s">
        <v>1004</v>
      </c>
      <c r="Z1" s="233" t="s">
        <v>1005</v>
      </c>
      <c r="AA1" s="233" t="s">
        <v>1006</v>
      </c>
      <c r="AB1" s="233" t="s">
        <v>1007</v>
      </c>
      <c r="AC1" s="233" t="s">
        <v>1008</v>
      </c>
      <c r="AD1" s="233" t="s">
        <v>1009</v>
      </c>
      <c r="AE1" s="233" t="s">
        <v>1010</v>
      </c>
      <c r="AF1" s="233" t="s">
        <v>1011</v>
      </c>
      <c r="AG1" s="233" t="s">
        <v>1012</v>
      </c>
      <c r="AH1" s="233" t="s">
        <v>1013</v>
      </c>
      <c r="AI1" s="233" t="s">
        <v>1014</v>
      </c>
      <c r="AJ1" s="233" t="s">
        <v>1015</v>
      </c>
      <c r="AK1" s="233" t="s">
        <v>1016</v>
      </c>
      <c r="AL1" s="233" t="s">
        <v>1017</v>
      </c>
      <c r="AM1" s="233" t="s">
        <v>1018</v>
      </c>
      <c r="AN1" s="233" t="s">
        <v>1019</v>
      </c>
      <c r="AO1" s="233" t="s">
        <v>1020</v>
      </c>
      <c r="AP1" s="233" t="s">
        <v>1021</v>
      </c>
      <c r="AQ1" s="233" t="s">
        <v>1022</v>
      </c>
      <c r="AR1" s="233" t="s">
        <v>1023</v>
      </c>
      <c r="AS1" s="234" t="s">
        <v>1024</v>
      </c>
    </row>
    <row r="2" spans="1:45" ht="60" customHeight="1" outlineLevel="1" x14ac:dyDescent="0.35">
      <c r="A2" s="226" t="s">
        <v>3502</v>
      </c>
      <c r="B2" s="213" t="s">
        <v>3503</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3502</v>
      </c>
      <c r="B3" s="214" t="s">
        <v>3504</v>
      </c>
      <c r="C3" s="215" t="s">
        <v>3505</v>
      </c>
      <c r="D3" s="217" t="s">
        <v>3506</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3502</v>
      </c>
      <c r="B4" s="214" t="s">
        <v>3507</v>
      </c>
      <c r="C4" s="215" t="s">
        <v>3508</v>
      </c>
      <c r="D4" s="217" t="s">
        <v>3509</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3502</v>
      </c>
      <c r="B5" s="214" t="s">
        <v>3510</v>
      </c>
      <c r="C5" s="215" t="s">
        <v>3511</v>
      </c>
      <c r="D5" s="217" t="s">
        <v>3512</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3502</v>
      </c>
      <c r="B6" s="214" t="s">
        <v>3513</v>
      </c>
      <c r="C6" s="215" t="s">
        <v>3514</v>
      </c>
      <c r="D6" s="217" t="s">
        <v>3515</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3502</v>
      </c>
      <c r="B7" s="214" t="s">
        <v>3516</v>
      </c>
      <c r="C7" s="215" t="s">
        <v>3517</v>
      </c>
      <c r="D7" s="217" t="s">
        <v>3518</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3502</v>
      </c>
      <c r="B8" s="214" t="s">
        <v>3519</v>
      </c>
      <c r="C8" s="215" t="s">
        <v>3520</v>
      </c>
      <c r="D8" s="217" t="s">
        <v>3521</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3502</v>
      </c>
      <c r="B9" s="214" t="s">
        <v>3522</v>
      </c>
      <c r="C9" s="215" t="s">
        <v>3523</v>
      </c>
      <c r="D9" s="217" t="s">
        <v>3524</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3502</v>
      </c>
      <c r="B10" s="214" t="s">
        <v>3525</v>
      </c>
      <c r="C10" s="215" t="s">
        <v>3526</v>
      </c>
      <c r="D10" s="217" t="s">
        <v>3527</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3502</v>
      </c>
      <c r="B11" s="214" t="s">
        <v>3528</v>
      </c>
      <c r="C11" s="215" t="s">
        <v>3529</v>
      </c>
      <c r="D11" s="217" t="s">
        <v>3530</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3502</v>
      </c>
      <c r="B12" s="214" t="s">
        <v>3531</v>
      </c>
      <c r="C12" s="215" t="s">
        <v>3532</v>
      </c>
      <c r="D12" s="217" t="s">
        <v>3533</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3502</v>
      </c>
      <c r="B13" s="214" t="s">
        <v>3534</v>
      </c>
      <c r="C13" s="215" t="s">
        <v>3535</v>
      </c>
      <c r="D13" s="217" t="s">
        <v>3536</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3502</v>
      </c>
      <c r="B14" s="214" t="s">
        <v>3537</v>
      </c>
      <c r="C14" s="215" t="s">
        <v>3538</v>
      </c>
      <c r="D14" s="217" t="s">
        <v>3539</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3502</v>
      </c>
      <c r="B15" s="214" t="s">
        <v>3540</v>
      </c>
      <c r="C15" s="215" t="s">
        <v>3541</v>
      </c>
      <c r="D15" s="217" t="s">
        <v>3542</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3502</v>
      </c>
      <c r="B16" s="214" t="s">
        <v>3543</v>
      </c>
      <c r="C16" s="215" t="s">
        <v>3544</v>
      </c>
      <c r="D16" s="217" t="s">
        <v>3545</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3502</v>
      </c>
      <c r="B17" s="214" t="s">
        <v>3546</v>
      </c>
      <c r="C17" s="215" t="s">
        <v>3547</v>
      </c>
      <c r="D17" s="217" t="s">
        <v>3548</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3502</v>
      </c>
      <c r="B18" s="214" t="s">
        <v>3549</v>
      </c>
      <c r="C18" s="215" t="s">
        <v>3550</v>
      </c>
      <c r="D18" s="217" t="s">
        <v>3551</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3502</v>
      </c>
      <c r="B19" s="214" t="s">
        <v>3552</v>
      </c>
      <c r="C19" s="215" t="s">
        <v>3553</v>
      </c>
      <c r="D19" s="217" t="s">
        <v>3554</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3502</v>
      </c>
      <c r="B20" s="214" t="s">
        <v>3555</v>
      </c>
      <c r="C20" s="215" t="s">
        <v>3556</v>
      </c>
      <c r="D20" s="217" t="s">
        <v>3557</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3502</v>
      </c>
      <c r="B21" s="214" t="s">
        <v>3558</v>
      </c>
      <c r="C21" s="215" t="s">
        <v>3559</v>
      </c>
      <c r="D21" s="217" t="s">
        <v>3560</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3502</v>
      </c>
      <c r="B22" s="214" t="s">
        <v>3561</v>
      </c>
      <c r="C22" s="215" t="s">
        <v>3562</v>
      </c>
      <c r="D22" s="217" t="s">
        <v>3563</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3502</v>
      </c>
      <c r="B23" s="214" t="s">
        <v>3564</v>
      </c>
      <c r="C23" s="215" t="s">
        <v>3565</v>
      </c>
      <c r="D23" s="217" t="s">
        <v>3566</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3502</v>
      </c>
      <c r="B24" s="214" t="s">
        <v>3567</v>
      </c>
      <c r="C24" s="215" t="s">
        <v>3568</v>
      </c>
      <c r="D24" s="217" t="s">
        <v>3569</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3502</v>
      </c>
      <c r="B25" s="214" t="s">
        <v>3570</v>
      </c>
      <c r="C25" s="215" t="s">
        <v>3571</v>
      </c>
      <c r="D25" s="217" t="s">
        <v>3572</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3502</v>
      </c>
      <c r="B26" s="214" t="s">
        <v>3573</v>
      </c>
      <c r="C26" s="215" t="s">
        <v>3574</v>
      </c>
      <c r="D26" s="217" t="s">
        <v>3575</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3502</v>
      </c>
      <c r="B27" s="214" t="s">
        <v>3576</v>
      </c>
      <c r="C27" s="215" t="s">
        <v>3577</v>
      </c>
      <c r="D27" s="217" t="s">
        <v>3578</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3502</v>
      </c>
      <c r="B28" s="214" t="s">
        <v>3579</v>
      </c>
      <c r="C28" s="215" t="s">
        <v>3580</v>
      </c>
      <c r="D28" s="217" t="s">
        <v>3581</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3502</v>
      </c>
      <c r="B29" s="214" t="s">
        <v>3582</v>
      </c>
      <c r="C29" s="215" t="s">
        <v>3583</v>
      </c>
      <c r="D29" s="217" t="s">
        <v>3584</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3502</v>
      </c>
      <c r="B30" s="214" t="s">
        <v>3585</v>
      </c>
      <c r="C30" s="215" t="s">
        <v>3586</v>
      </c>
      <c r="D30" s="217" t="s">
        <v>3587</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3502</v>
      </c>
      <c r="B31" s="214" t="s">
        <v>3588</v>
      </c>
      <c r="C31" s="215" t="s">
        <v>3589</v>
      </c>
      <c r="D31" s="217" t="s">
        <v>3590</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3502</v>
      </c>
      <c r="B32" s="214" t="s">
        <v>3591</v>
      </c>
      <c r="C32" s="215" t="s">
        <v>3592</v>
      </c>
      <c r="D32" s="217" t="s">
        <v>3593</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3502</v>
      </c>
      <c r="B33" s="214" t="s">
        <v>3594</v>
      </c>
      <c r="C33" s="215" t="s">
        <v>3595</v>
      </c>
      <c r="D33" s="217" t="s">
        <v>3596</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3502</v>
      </c>
      <c r="B34" s="214" t="s">
        <v>3597</v>
      </c>
      <c r="C34" s="215" t="s">
        <v>3598</v>
      </c>
      <c r="D34" s="217" t="s">
        <v>3599</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3502</v>
      </c>
      <c r="B35" s="214" t="s">
        <v>3600</v>
      </c>
      <c r="C35" s="215" t="s">
        <v>3601</v>
      </c>
      <c r="D35" s="217" t="s">
        <v>3602</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3502</v>
      </c>
      <c r="B36" s="214" t="s">
        <v>3603</v>
      </c>
      <c r="C36" s="215" t="s">
        <v>3604</v>
      </c>
      <c r="D36" s="217" t="s">
        <v>3605</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3502</v>
      </c>
      <c r="B37" s="214" t="s">
        <v>3606</v>
      </c>
      <c r="C37" s="215" t="s">
        <v>3607</v>
      </c>
      <c r="D37" s="217" t="s">
        <v>3608</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3502</v>
      </c>
      <c r="B38" s="214" t="s">
        <v>3609</v>
      </c>
      <c r="C38" s="215" t="s">
        <v>3610</v>
      </c>
      <c r="D38" s="217" t="s">
        <v>3611</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3502</v>
      </c>
      <c r="B39" s="214" t="s">
        <v>3612</v>
      </c>
      <c r="C39" s="215" t="s">
        <v>3613</v>
      </c>
      <c r="D39" s="217" t="s">
        <v>3614</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3615</v>
      </c>
      <c r="B40" s="213" t="s">
        <v>3616</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3615</v>
      </c>
      <c r="B41" s="214" t="s">
        <v>3617</v>
      </c>
      <c r="C41" s="215" t="s">
        <v>3618</v>
      </c>
      <c r="D41" s="217" t="s">
        <v>3619</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3615</v>
      </c>
      <c r="B42" s="214" t="s">
        <v>3620</v>
      </c>
      <c r="C42" s="215" t="s">
        <v>3621</v>
      </c>
      <c r="D42" s="217" t="s">
        <v>3622</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3615</v>
      </c>
      <c r="B43" s="214" t="s">
        <v>3623</v>
      </c>
      <c r="C43" s="215" t="s">
        <v>3624</v>
      </c>
      <c r="D43" s="217" t="s">
        <v>3625</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3615</v>
      </c>
      <c r="B44" s="214" t="s">
        <v>3626</v>
      </c>
      <c r="C44" s="215" t="s">
        <v>3627</v>
      </c>
      <c r="D44" s="217" t="s">
        <v>3628</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3615</v>
      </c>
      <c r="B45" s="214" t="s">
        <v>3629</v>
      </c>
      <c r="C45" s="215" t="s">
        <v>3630</v>
      </c>
      <c r="D45" s="217" t="s">
        <v>3631</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3615</v>
      </c>
      <c r="B46" s="214" t="s">
        <v>3632</v>
      </c>
      <c r="C46" s="215" t="s">
        <v>3633</v>
      </c>
      <c r="D46" s="217" t="s">
        <v>3634</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3615</v>
      </c>
      <c r="B47" s="214" t="s">
        <v>3635</v>
      </c>
      <c r="C47" s="215" t="s">
        <v>3636</v>
      </c>
      <c r="D47" s="217" t="s">
        <v>3637</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3615</v>
      </c>
      <c r="B48" s="214" t="s">
        <v>3638</v>
      </c>
      <c r="C48" s="215" t="s">
        <v>3639</v>
      </c>
      <c r="D48" s="217" t="s">
        <v>3640</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3641</v>
      </c>
      <c r="B49" s="213" t="s">
        <v>3642</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3641</v>
      </c>
      <c r="B50" s="214" t="s">
        <v>3643</v>
      </c>
      <c r="C50" s="215" t="s">
        <v>3644</v>
      </c>
      <c r="D50" s="217" t="s">
        <v>3645</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3641</v>
      </c>
      <c r="B51" s="214" t="s">
        <v>3646</v>
      </c>
      <c r="C51" s="215" t="s">
        <v>3647</v>
      </c>
      <c r="D51" s="217" t="s">
        <v>3648</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3641</v>
      </c>
      <c r="B52" s="214" t="s">
        <v>3649</v>
      </c>
      <c r="C52" s="215" t="s">
        <v>3650</v>
      </c>
      <c r="D52" s="217" t="s">
        <v>3651</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3641</v>
      </c>
      <c r="B53" s="214" t="s">
        <v>3652</v>
      </c>
      <c r="C53" s="215" t="s">
        <v>3653</v>
      </c>
      <c r="D53" s="217" t="s">
        <v>3654</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3641</v>
      </c>
      <c r="B54" s="214" t="s">
        <v>3655</v>
      </c>
      <c r="C54" s="215" t="s">
        <v>3656</v>
      </c>
      <c r="D54" s="217" t="s">
        <v>3657</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3641</v>
      </c>
      <c r="B55" s="214" t="s">
        <v>3658</v>
      </c>
      <c r="C55" s="215" t="s">
        <v>3659</v>
      </c>
      <c r="D55" s="217" t="s">
        <v>3660</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3641</v>
      </c>
      <c r="B56" s="214" t="s">
        <v>3661</v>
      </c>
      <c r="C56" s="215" t="s">
        <v>3662</v>
      </c>
      <c r="D56" s="217" t="s">
        <v>3663</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3641</v>
      </c>
      <c r="B57" s="214" t="s">
        <v>3664</v>
      </c>
      <c r="C57" s="215" t="s">
        <v>3665</v>
      </c>
      <c r="D57" s="217" t="s">
        <v>3666</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3641</v>
      </c>
      <c r="B58" s="214" t="s">
        <v>3667</v>
      </c>
      <c r="C58" s="215" t="s">
        <v>3668</v>
      </c>
      <c r="D58" s="217" t="s">
        <v>3669</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3641</v>
      </c>
      <c r="B59" s="214" t="s">
        <v>3670</v>
      </c>
      <c r="C59" s="215" t="s">
        <v>3671</v>
      </c>
      <c r="D59" s="217" t="s">
        <v>3672</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3641</v>
      </c>
      <c r="B60" s="214" t="s">
        <v>3673</v>
      </c>
      <c r="C60" s="215" t="s">
        <v>3674</v>
      </c>
      <c r="D60" s="217" t="s">
        <v>3675</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3641</v>
      </c>
      <c r="B61" s="214" t="s">
        <v>3676</v>
      </c>
      <c r="C61" s="215" t="s">
        <v>3677</v>
      </c>
      <c r="D61" s="217" t="s">
        <v>3678</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3641</v>
      </c>
      <c r="B62" s="214" t="s">
        <v>3679</v>
      </c>
      <c r="C62" s="215" t="s">
        <v>3680</v>
      </c>
      <c r="D62" s="217" t="s">
        <v>3681</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3641</v>
      </c>
      <c r="B63" s="214" t="s">
        <v>3682</v>
      </c>
      <c r="C63" s="215" t="s">
        <v>3683</v>
      </c>
      <c r="D63" s="217" t="s">
        <v>3684</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3685</v>
      </c>
      <c r="B64" s="213" t="s">
        <v>3686</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3685</v>
      </c>
      <c r="B65" s="214" t="s">
        <v>3687</v>
      </c>
      <c r="C65" s="215" t="s">
        <v>3688</v>
      </c>
      <c r="D65" s="217" t="s">
        <v>3689</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3685</v>
      </c>
      <c r="B66" s="214" t="s">
        <v>3690</v>
      </c>
      <c r="C66" s="215" t="s">
        <v>3691</v>
      </c>
      <c r="D66" s="217" t="s">
        <v>3692</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3685</v>
      </c>
      <c r="B67" s="214" t="s">
        <v>3693</v>
      </c>
      <c r="C67" s="215" t="s">
        <v>3694</v>
      </c>
      <c r="D67" s="217" t="s">
        <v>3695</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3685</v>
      </c>
      <c r="B68" s="214" t="s">
        <v>3696</v>
      </c>
      <c r="C68" s="215" t="s">
        <v>3697</v>
      </c>
      <c r="D68" s="217" t="s">
        <v>3698</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3685</v>
      </c>
      <c r="B69" s="214" t="s">
        <v>3699</v>
      </c>
      <c r="C69" s="215" t="s">
        <v>3700</v>
      </c>
      <c r="D69" s="217" t="s">
        <v>3701</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3685</v>
      </c>
      <c r="B70" s="214" t="s">
        <v>3702</v>
      </c>
      <c r="C70" s="215" t="s">
        <v>3703</v>
      </c>
      <c r="D70" s="217" t="s">
        <v>3704</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3685</v>
      </c>
      <c r="B71" s="214" t="s">
        <v>3705</v>
      </c>
      <c r="C71" s="215" t="s">
        <v>3706</v>
      </c>
      <c r="D71" s="217" t="s">
        <v>3707</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3685</v>
      </c>
      <c r="B72" s="214" t="s">
        <v>3708</v>
      </c>
      <c r="C72" s="215" t="s">
        <v>3709</v>
      </c>
      <c r="D72" s="217" t="s">
        <v>3710</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3685</v>
      </c>
      <c r="B73" s="214" t="s">
        <v>3711</v>
      </c>
      <c r="C73" s="215" t="s">
        <v>3712</v>
      </c>
      <c r="D73" s="217" t="s">
        <v>3713</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3685</v>
      </c>
      <c r="B74" s="214" t="s">
        <v>3714</v>
      </c>
      <c r="C74" s="215" t="s">
        <v>3715</v>
      </c>
      <c r="D74" s="217" t="s">
        <v>3716</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3685</v>
      </c>
      <c r="B75" s="214" t="s">
        <v>3717</v>
      </c>
      <c r="C75" s="215" t="s">
        <v>3718</v>
      </c>
      <c r="D75" s="217" t="s">
        <v>3719</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3685</v>
      </c>
      <c r="B76" s="214" t="s">
        <v>3720</v>
      </c>
      <c r="C76" s="215" t="s">
        <v>3721</v>
      </c>
      <c r="D76" s="217" t="s">
        <v>3722</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3685</v>
      </c>
      <c r="B77" s="214" t="s">
        <v>3723</v>
      </c>
      <c r="C77" s="215" t="s">
        <v>3724</v>
      </c>
      <c r="D77" s="217" t="s">
        <v>3725</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3685</v>
      </c>
      <c r="B78" s="214" t="s">
        <v>3726</v>
      </c>
      <c r="C78" s="215" t="s">
        <v>3727</v>
      </c>
      <c r="D78" s="217" t="s">
        <v>3728</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3685</v>
      </c>
      <c r="B79" s="214" t="s">
        <v>3729</v>
      </c>
      <c r="C79" s="215" t="s">
        <v>3730</v>
      </c>
      <c r="D79" s="217" t="s">
        <v>3731</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3685</v>
      </c>
      <c r="B80" s="214" t="s">
        <v>3732</v>
      </c>
      <c r="C80" s="215" t="s">
        <v>3733</v>
      </c>
      <c r="D80" s="217" t="s">
        <v>3734</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3685</v>
      </c>
      <c r="B81" s="214" t="s">
        <v>3735</v>
      </c>
      <c r="C81" s="215" t="s">
        <v>3736</v>
      </c>
      <c r="D81" s="217" t="s">
        <v>3737</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3685</v>
      </c>
      <c r="B82" s="214" t="s">
        <v>3738</v>
      </c>
      <c r="C82" s="215" t="s">
        <v>3739</v>
      </c>
      <c r="D82" s="217" t="s">
        <v>3740</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3685</v>
      </c>
      <c r="B83" s="214" t="s">
        <v>3741</v>
      </c>
      <c r="C83" s="215" t="s">
        <v>3742</v>
      </c>
      <c r="D83" s="217" t="s">
        <v>3743</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3685</v>
      </c>
      <c r="B84" s="214" t="s">
        <v>3744</v>
      </c>
      <c r="C84" s="215" t="s">
        <v>3745</v>
      </c>
      <c r="D84" s="217" t="s">
        <v>3746</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3685</v>
      </c>
      <c r="B85" s="214" t="s">
        <v>3747</v>
      </c>
      <c r="C85" s="215" t="s">
        <v>3748</v>
      </c>
      <c r="D85" s="217" t="s">
        <v>3749</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3685</v>
      </c>
      <c r="B86" s="214" t="s">
        <v>3750</v>
      </c>
      <c r="C86" s="215" t="s">
        <v>3751</v>
      </c>
      <c r="D86" s="217" t="s">
        <v>3752</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3685</v>
      </c>
      <c r="B87" s="214" t="s">
        <v>3753</v>
      </c>
      <c r="C87" s="215" t="s">
        <v>3754</v>
      </c>
      <c r="D87" s="217" t="s">
        <v>3755</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3685</v>
      </c>
      <c r="B88" s="214" t="s">
        <v>3756</v>
      </c>
      <c r="C88" s="215" t="s">
        <v>3757</v>
      </c>
      <c r="D88" s="217" t="s">
        <v>3758</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3685</v>
      </c>
      <c r="B89" s="214" t="s">
        <v>3759</v>
      </c>
      <c r="C89" s="215" t="s">
        <v>3760</v>
      </c>
      <c r="D89" s="217" t="s">
        <v>3761</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3685</v>
      </c>
      <c r="B90" s="214" t="s">
        <v>3762</v>
      </c>
      <c r="C90" s="215" t="s">
        <v>3763</v>
      </c>
      <c r="D90" s="217" t="s">
        <v>3764</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3685</v>
      </c>
      <c r="B91" s="214" t="s">
        <v>3765</v>
      </c>
      <c r="C91" s="215" t="s">
        <v>3766</v>
      </c>
      <c r="D91" s="217" t="s">
        <v>3767</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3685</v>
      </c>
      <c r="B92" s="214" t="s">
        <v>3768</v>
      </c>
      <c r="C92" s="215" t="s">
        <v>3769</v>
      </c>
      <c r="D92" s="217" t="s">
        <v>3770</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3685</v>
      </c>
      <c r="B93" s="214" t="s">
        <v>3771</v>
      </c>
      <c r="C93" s="215" t="s">
        <v>3772</v>
      </c>
      <c r="D93" s="217" t="s">
        <v>3773</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3685</v>
      </c>
      <c r="B94" s="214" t="s">
        <v>3774</v>
      </c>
      <c r="C94" s="215" t="s">
        <v>3775</v>
      </c>
      <c r="D94" s="217" t="s">
        <v>3776</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3685</v>
      </c>
      <c r="B95" s="214" t="s">
        <v>3777</v>
      </c>
      <c r="C95" s="215" t="s">
        <v>3778</v>
      </c>
      <c r="D95" s="217" t="s">
        <v>3779</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3685</v>
      </c>
      <c r="B96" s="214" t="s">
        <v>3780</v>
      </c>
      <c r="C96" s="215" t="s">
        <v>3781</v>
      </c>
      <c r="D96" s="217" t="s">
        <v>3782</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3685</v>
      </c>
      <c r="B97" s="214" t="s">
        <v>3783</v>
      </c>
      <c r="C97" s="215" t="s">
        <v>3784</v>
      </c>
      <c r="D97" s="217" t="s">
        <v>3785</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3685</v>
      </c>
      <c r="B98" s="221" t="s">
        <v>3786</v>
      </c>
      <c r="C98" s="222" t="s">
        <v>3787</v>
      </c>
      <c r="D98" s="223" t="s">
        <v>3788</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733</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IFERROR(INDEX('Recommendations'!$H$2:$H$149, MATCH(F2,'Recommendations'!$A$2:$A$149,0))="Implemented", FALSE))</xm:f>
            <x14:dxf>
              <font>
                <color rgb="FF000000"/>
              </font>
              <fill>
                <patternFill>
                  <bgColor rgb="FF3C7D22"/>
                </patternFill>
              </fill>
            </x14:dxf>
          </x14:cfRule>
          <x14:cfRule type="expression" priority="2" id="{00000000-000E-0000-0900-000002000000}">
            <xm:f>AND(F2&lt;&gt;"", IFERROR(INDEX('Recommendations'!$H$2:$H$149, MATCH(F2,'Recommendations'!$A$2:$A$149,0))="Compensated", FALSE))</xm:f>
            <x14:dxf>
              <font>
                <color rgb="FF000000"/>
              </font>
              <fill>
                <patternFill>
                  <bgColor rgb="FFC6E0B4"/>
                </patternFill>
              </fill>
            </x14:dxf>
          </x14:cfRule>
          <x14:cfRule type="expression" priority="3" id="{00000000-000E-0000-0900-000003000000}">
            <xm:f>AND(F2&lt;&gt;"", IFERROR(INDEX('Recommendations'!$H$2:$H$149, MATCH(F2,'Recommendations'!$A$2:$A$149,0))="Testing", FALSE))</xm:f>
            <x14:dxf>
              <font>
                <color rgb="FF000000"/>
              </font>
              <fill>
                <patternFill>
                  <bgColor rgb="FFFFC000"/>
                </patternFill>
              </fill>
            </x14:dxf>
          </x14:cfRule>
          <x14:cfRule type="expression" priority="4" id="{00000000-000E-0000-0900-000004000000}">
            <xm:f>AND(F2&lt;&gt;"", IFERROR(INDEX('Recommendations'!$H$2:$H$149, MATCH(F2,'Recommendations'!$A$2:$A$149,0))="Failed", FALSE))</xm:f>
            <x14:dxf>
              <font>
                <color rgb="FF000000"/>
              </font>
              <fill>
                <patternFill>
                  <bgColor rgb="FFD82891"/>
                </patternFill>
              </fill>
            </x14:dxf>
          </x14:cfRule>
          <x14:cfRule type="expression" priority="5" id="{00000000-000E-0000-0900-000005000000}">
            <xm:f>AND(F2&lt;&gt;"", IFERROR(INDEX('Recommendations'!$H$2:$H$149, MATCH(F2,'Recommendations'!$A$2:$A$149,0))="Risk Accepted", FALSE))</xm:f>
            <x14:dxf>
              <font>
                <color rgb="FF000000"/>
              </font>
              <fill>
                <patternFill>
                  <bgColor rgb="FFD9D9D9"/>
                </patternFill>
              </fill>
            </x14:dxf>
          </x14:cfRule>
          <x14:cfRule type="expression" priority="6" id="{00000000-000E-0000-0900-000006000000}">
            <xm:f>AND(F2&lt;&gt;"", IFERROR(INDEX('Recommendations'!$H$2:$H$149, MATCH(F2,'Recommendations'!$A$2:$A$149,0))="N/A",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3789</v>
      </c>
      <c r="C1" s="256" t="s">
        <v>3790</v>
      </c>
      <c r="D1" s="256" t="s">
        <v>3791</v>
      </c>
      <c r="E1" s="256" t="s">
        <v>3792</v>
      </c>
      <c r="F1" s="256" t="s">
        <v>2618</v>
      </c>
      <c r="G1" s="256" t="s">
        <v>3793</v>
      </c>
      <c r="H1" s="256" t="s">
        <v>3794</v>
      </c>
      <c r="I1" s="256" t="s">
        <v>3795</v>
      </c>
      <c r="J1" s="256" t="s">
        <v>11</v>
      </c>
      <c r="K1" s="256" t="s">
        <v>984</v>
      </c>
      <c r="L1" s="256" t="s">
        <v>985</v>
      </c>
      <c r="M1" s="256" t="s">
        <v>986</v>
      </c>
      <c r="N1" s="256" t="s">
        <v>987</v>
      </c>
      <c r="O1" s="256" t="s">
        <v>988</v>
      </c>
      <c r="P1" s="256" t="s">
        <v>989</v>
      </c>
      <c r="Q1" s="256" t="s">
        <v>990</v>
      </c>
      <c r="R1" s="256" t="s">
        <v>991</v>
      </c>
      <c r="S1" s="256" t="s">
        <v>992</v>
      </c>
      <c r="T1" s="256" t="s">
        <v>993</v>
      </c>
      <c r="U1" s="256" t="s">
        <v>994</v>
      </c>
      <c r="V1" s="256" t="s">
        <v>995</v>
      </c>
      <c r="W1" s="256" t="s">
        <v>996</v>
      </c>
      <c r="X1" s="256" t="s">
        <v>997</v>
      </c>
      <c r="Y1" s="256" t="s">
        <v>998</v>
      </c>
      <c r="Z1" s="256" t="s">
        <v>999</v>
      </c>
      <c r="AA1" s="256" t="s">
        <v>1000</v>
      </c>
      <c r="AB1" s="256" t="s">
        <v>1001</v>
      </c>
      <c r="AC1" s="256" t="s">
        <v>1002</v>
      </c>
      <c r="AD1" s="256" t="s">
        <v>1003</v>
      </c>
      <c r="AE1" s="256" t="s">
        <v>1004</v>
      </c>
      <c r="AF1" s="256" t="s">
        <v>1005</v>
      </c>
      <c r="AG1" s="256" t="s">
        <v>1006</v>
      </c>
      <c r="AH1" s="256" t="s">
        <v>1007</v>
      </c>
      <c r="AI1" s="256" t="s">
        <v>1008</v>
      </c>
      <c r="AJ1" s="256" t="s">
        <v>1009</v>
      </c>
      <c r="AK1" s="256" t="s">
        <v>1010</v>
      </c>
      <c r="AL1" s="256" t="s">
        <v>1011</v>
      </c>
      <c r="AM1" s="256" t="s">
        <v>1012</v>
      </c>
      <c r="AN1" s="256" t="s">
        <v>1013</v>
      </c>
      <c r="AO1" s="256" t="s">
        <v>1014</v>
      </c>
      <c r="AP1" s="256" t="s">
        <v>1015</v>
      </c>
      <c r="AQ1" s="256" t="s">
        <v>1016</v>
      </c>
      <c r="AR1" s="256" t="s">
        <v>1017</v>
      </c>
      <c r="AS1" s="256" t="s">
        <v>1018</v>
      </c>
      <c r="AT1" s="256" t="s">
        <v>1019</v>
      </c>
      <c r="AU1" s="256" t="s">
        <v>1020</v>
      </c>
      <c r="AV1" s="256" t="s">
        <v>1021</v>
      </c>
      <c r="AW1" s="256" t="s">
        <v>1022</v>
      </c>
      <c r="AX1" s="256" t="s">
        <v>1023</v>
      </c>
      <c r="AY1" s="257" t="s">
        <v>1024</v>
      </c>
    </row>
    <row r="2" spans="1:51" ht="60" customHeight="1" outlineLevel="1" x14ac:dyDescent="0.35">
      <c r="A2" s="247" t="s">
        <v>3796</v>
      </c>
      <c r="B2" s="235" t="s">
        <v>3797</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1027</v>
      </c>
      <c r="B3" s="236" t="s">
        <v>3798</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3799</v>
      </c>
      <c r="B4" s="237" t="s">
        <v>3800</v>
      </c>
      <c r="C4" s="237" t="s">
        <v>3801</v>
      </c>
      <c r="D4" s="237" t="s">
        <v>3802</v>
      </c>
      <c r="E4" s="237" t="s">
        <v>3803</v>
      </c>
      <c r="F4" s="237" t="s">
        <v>21</v>
      </c>
      <c r="G4" s="237" t="s">
        <v>21</v>
      </c>
      <c r="H4" s="237" t="s">
        <v>3804</v>
      </c>
      <c r="I4" s="237" t="s">
        <v>21</v>
      </c>
      <c r="J4" s="237" t="s">
        <v>3805</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3806</v>
      </c>
      <c r="B5" s="237" t="s">
        <v>3807</v>
      </c>
      <c r="C5" s="237" t="s">
        <v>3808</v>
      </c>
      <c r="D5" s="237" t="s">
        <v>3809</v>
      </c>
      <c r="E5" s="237" t="s">
        <v>3810</v>
      </c>
      <c r="F5" s="237" t="s">
        <v>3811</v>
      </c>
      <c r="G5" s="237" t="s">
        <v>21</v>
      </c>
      <c r="H5" s="237" t="s">
        <v>3812</v>
      </c>
      <c r="I5" s="237" t="s">
        <v>21</v>
      </c>
      <c r="J5" s="237" t="s">
        <v>3813</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1033</v>
      </c>
      <c r="B6" s="236" t="s">
        <v>3814</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3815</v>
      </c>
      <c r="B7" s="237" t="s">
        <v>3816</v>
      </c>
      <c r="C7" s="237" t="s">
        <v>3817</v>
      </c>
      <c r="D7" s="237" t="s">
        <v>3818</v>
      </c>
      <c r="E7" s="237" t="s">
        <v>3810</v>
      </c>
      <c r="F7" s="237" t="s">
        <v>3819</v>
      </c>
      <c r="G7" s="237" t="s">
        <v>21</v>
      </c>
      <c r="H7" s="237" t="s">
        <v>3820</v>
      </c>
      <c r="I7" s="237" t="s">
        <v>21</v>
      </c>
      <c r="J7" s="237" t="s">
        <v>3821</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3822</v>
      </c>
      <c r="B8" s="237" t="s">
        <v>3823</v>
      </c>
      <c r="C8" s="237" t="s">
        <v>3824</v>
      </c>
      <c r="D8" s="237" t="s">
        <v>3825</v>
      </c>
      <c r="E8" s="237" t="s">
        <v>21</v>
      </c>
      <c r="F8" s="237" t="s">
        <v>21</v>
      </c>
      <c r="G8" s="237" t="s">
        <v>21</v>
      </c>
      <c r="H8" s="237" t="s">
        <v>3826</v>
      </c>
      <c r="I8" s="237" t="s">
        <v>3827</v>
      </c>
      <c r="J8" s="237" t="s">
        <v>3828</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3829</v>
      </c>
      <c r="B9" s="237" t="s">
        <v>3830</v>
      </c>
      <c r="C9" s="237" t="s">
        <v>3831</v>
      </c>
      <c r="D9" s="237" t="s">
        <v>3832</v>
      </c>
      <c r="E9" s="237" t="s">
        <v>21</v>
      </c>
      <c r="F9" s="237" t="s">
        <v>21</v>
      </c>
      <c r="G9" s="237" t="s">
        <v>21</v>
      </c>
      <c r="H9" s="237" t="s">
        <v>3833</v>
      </c>
      <c r="I9" s="237" t="s">
        <v>3834</v>
      </c>
      <c r="J9" s="237" t="s">
        <v>3835</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3836</v>
      </c>
      <c r="B10" s="237" t="s">
        <v>3837</v>
      </c>
      <c r="C10" s="237" t="s">
        <v>3838</v>
      </c>
      <c r="D10" s="237" t="s">
        <v>3839</v>
      </c>
      <c r="E10" s="237" t="s">
        <v>21</v>
      </c>
      <c r="F10" s="237" t="s">
        <v>21</v>
      </c>
      <c r="G10" s="237" t="s">
        <v>21</v>
      </c>
      <c r="H10" s="237" t="s">
        <v>3840</v>
      </c>
      <c r="I10" s="237" t="s">
        <v>3841</v>
      </c>
      <c r="J10" s="237" t="s">
        <v>3842</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3843</v>
      </c>
      <c r="B11" s="237" t="s">
        <v>3844</v>
      </c>
      <c r="C11" s="237" t="s">
        <v>3845</v>
      </c>
      <c r="D11" s="237" t="s">
        <v>3846</v>
      </c>
      <c r="E11" s="237" t="s">
        <v>21</v>
      </c>
      <c r="F11" s="237" t="s">
        <v>21</v>
      </c>
      <c r="G11" s="237" t="s">
        <v>21</v>
      </c>
      <c r="H11" s="237" t="s">
        <v>3847</v>
      </c>
      <c r="I11" s="237" t="s">
        <v>21</v>
      </c>
      <c r="J11" s="237" t="s">
        <v>3848</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3849</v>
      </c>
      <c r="B12" s="237" t="s">
        <v>3850</v>
      </c>
      <c r="C12" s="237" t="s">
        <v>3851</v>
      </c>
      <c r="D12" s="237" t="s">
        <v>3852</v>
      </c>
      <c r="E12" s="237" t="s">
        <v>21</v>
      </c>
      <c r="F12" s="237" t="s">
        <v>21</v>
      </c>
      <c r="G12" s="237" t="s">
        <v>3853</v>
      </c>
      <c r="H12" s="237" t="s">
        <v>3854</v>
      </c>
      <c r="I12" s="237" t="s">
        <v>21</v>
      </c>
      <c r="J12" s="237" t="s">
        <v>3855</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3856</v>
      </c>
      <c r="B13" s="237" t="s">
        <v>3857</v>
      </c>
      <c r="C13" s="237" t="s">
        <v>3858</v>
      </c>
      <c r="D13" s="237" t="s">
        <v>3859</v>
      </c>
      <c r="E13" s="237" t="s">
        <v>21</v>
      </c>
      <c r="F13" s="237" t="s">
        <v>21</v>
      </c>
      <c r="G13" s="237" t="s">
        <v>21</v>
      </c>
      <c r="H13" s="237" t="s">
        <v>3860</v>
      </c>
      <c r="I13" s="237" t="s">
        <v>21</v>
      </c>
      <c r="J13" s="237" t="s">
        <v>3861</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3862</v>
      </c>
      <c r="B14" s="237" t="s">
        <v>3863</v>
      </c>
      <c r="C14" s="237" t="s">
        <v>3864</v>
      </c>
      <c r="D14" s="237" t="s">
        <v>3865</v>
      </c>
      <c r="E14" s="237" t="s">
        <v>21</v>
      </c>
      <c r="F14" s="237" t="s">
        <v>3866</v>
      </c>
      <c r="G14" s="237" t="s">
        <v>21</v>
      </c>
      <c r="H14" s="237" t="s">
        <v>3867</v>
      </c>
      <c r="I14" s="237" t="s">
        <v>3868</v>
      </c>
      <c r="J14" s="237" t="s">
        <v>3869</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1038</v>
      </c>
      <c r="B15" s="236" t="s">
        <v>3870</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3871</v>
      </c>
      <c r="B16" s="237" t="s">
        <v>3872</v>
      </c>
      <c r="C16" s="237" t="s">
        <v>3873</v>
      </c>
      <c r="D16" s="237" t="s">
        <v>3865</v>
      </c>
      <c r="E16" s="237" t="s">
        <v>21</v>
      </c>
      <c r="F16" s="237" t="s">
        <v>3874</v>
      </c>
      <c r="G16" s="237" t="s">
        <v>21</v>
      </c>
      <c r="H16" s="237" t="s">
        <v>3875</v>
      </c>
      <c r="I16" s="237" t="s">
        <v>21</v>
      </c>
      <c r="J16" s="237" t="s">
        <v>3876</v>
      </c>
      <c r="K16" s="240">
        <f>IF(COUNTIF(L16:AY16,"&lt;&gt;")=0,"",SUMPRODUCT(((Recommendations[ImplStatus]="Implemented")+(Recommendations[ImplStatus]="Compensated"))*ISNUMBER(MATCH(Recommendations[Id],L16:AY16,0)))/COUNTIF(L16:AY16,"&lt;&gt;"))</f>
        <v>0</v>
      </c>
      <c r="L16" s="243" t="s">
        <v>92</v>
      </c>
      <c r="M16" s="243" t="s">
        <v>102</v>
      </c>
      <c r="N16" s="243" t="s">
        <v>396</v>
      </c>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3877</v>
      </c>
      <c r="B17" s="237" t="s">
        <v>3878</v>
      </c>
      <c r="C17" s="237" t="s">
        <v>3879</v>
      </c>
      <c r="D17" s="237" t="s">
        <v>3880</v>
      </c>
      <c r="E17" s="237" t="s">
        <v>21</v>
      </c>
      <c r="F17" s="237" t="s">
        <v>3874</v>
      </c>
      <c r="G17" s="237" t="s">
        <v>21</v>
      </c>
      <c r="H17" s="237" t="s">
        <v>3881</v>
      </c>
      <c r="I17" s="237" t="s">
        <v>21</v>
      </c>
      <c r="J17" s="237" t="s">
        <v>3882</v>
      </c>
      <c r="K17" s="240">
        <f>IF(COUNTIF(L17:AY17,"&lt;&gt;")=0,"",SUMPRODUCT(((Recommendations[ImplStatus]="Implemented")+(Recommendations[ImplStatus]="Compensated"))*ISNUMBER(MATCH(Recommendations[Id],L17:AY17,0)))/COUNTIF(L17:AY17,"&lt;&gt;"))</f>
        <v>0</v>
      </c>
      <c r="L17" s="243" t="s">
        <v>92</v>
      </c>
      <c r="M17" s="243" t="s">
        <v>102</v>
      </c>
      <c r="N17" s="243" t="s">
        <v>396</v>
      </c>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3883</v>
      </c>
      <c r="B18" s="237" t="s">
        <v>3884</v>
      </c>
      <c r="C18" s="237" t="s">
        <v>3885</v>
      </c>
      <c r="D18" s="237" t="s">
        <v>21</v>
      </c>
      <c r="E18" s="237" t="s">
        <v>21</v>
      </c>
      <c r="F18" s="237" t="s">
        <v>21</v>
      </c>
      <c r="G18" s="237" t="s">
        <v>21</v>
      </c>
      <c r="H18" s="237" t="s">
        <v>3886</v>
      </c>
      <c r="I18" s="237" t="s">
        <v>21</v>
      </c>
      <c r="J18" s="237" t="s">
        <v>3887</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1043</v>
      </c>
      <c r="B19" s="236" t="s">
        <v>3888</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3889</v>
      </c>
      <c r="B20" s="237" t="s">
        <v>3890</v>
      </c>
      <c r="C20" s="237" t="s">
        <v>3891</v>
      </c>
      <c r="D20" s="237" t="s">
        <v>3892</v>
      </c>
      <c r="E20" s="237" t="s">
        <v>21</v>
      </c>
      <c r="F20" s="237" t="s">
        <v>3893</v>
      </c>
      <c r="G20" s="237" t="s">
        <v>21</v>
      </c>
      <c r="H20" s="237" t="s">
        <v>3894</v>
      </c>
      <c r="I20" s="237" t="s">
        <v>21</v>
      </c>
      <c r="J20" s="237" t="s">
        <v>3895</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3896</v>
      </c>
      <c r="B21" s="237" t="s">
        <v>3897</v>
      </c>
      <c r="C21" s="237" t="s">
        <v>3898</v>
      </c>
      <c r="D21" s="237" t="s">
        <v>3899</v>
      </c>
      <c r="E21" s="237" t="s">
        <v>3900</v>
      </c>
      <c r="F21" s="237" t="s">
        <v>21</v>
      </c>
      <c r="G21" s="237" t="s">
        <v>21</v>
      </c>
      <c r="H21" s="237" t="s">
        <v>3901</v>
      </c>
      <c r="I21" s="237" t="s">
        <v>3902</v>
      </c>
      <c r="J21" s="237" t="s">
        <v>3903</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3904</v>
      </c>
      <c r="B22" s="237" t="s">
        <v>3905</v>
      </c>
      <c r="C22" s="237" t="s">
        <v>3906</v>
      </c>
      <c r="D22" s="237" t="s">
        <v>3907</v>
      </c>
      <c r="E22" s="237" t="s">
        <v>21</v>
      </c>
      <c r="F22" s="237" t="s">
        <v>3908</v>
      </c>
      <c r="G22" s="237" t="s">
        <v>21</v>
      </c>
      <c r="H22" s="237" t="s">
        <v>3909</v>
      </c>
      <c r="I22" s="237" t="s">
        <v>21</v>
      </c>
      <c r="J22" s="237" t="s">
        <v>3910</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3911</v>
      </c>
      <c r="B23" s="237" t="s">
        <v>3912</v>
      </c>
      <c r="C23" s="237" t="s">
        <v>3913</v>
      </c>
      <c r="D23" s="237" t="s">
        <v>3914</v>
      </c>
      <c r="E23" s="237" t="s">
        <v>21</v>
      </c>
      <c r="F23" s="237" t="s">
        <v>21</v>
      </c>
      <c r="G23" s="237" t="s">
        <v>21</v>
      </c>
      <c r="H23" s="237" t="s">
        <v>3915</v>
      </c>
      <c r="I23" s="237" t="s">
        <v>3916</v>
      </c>
      <c r="J23" s="237" t="s">
        <v>3917</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3918</v>
      </c>
      <c r="B24" s="237" t="s">
        <v>3919</v>
      </c>
      <c r="C24" s="237" t="s">
        <v>3920</v>
      </c>
      <c r="D24" s="237" t="s">
        <v>3914</v>
      </c>
      <c r="E24" s="237" t="s">
        <v>21</v>
      </c>
      <c r="F24" s="237" t="s">
        <v>3921</v>
      </c>
      <c r="G24" s="237" t="s">
        <v>21</v>
      </c>
      <c r="H24" s="237" t="s">
        <v>3922</v>
      </c>
      <c r="I24" s="237" t="s">
        <v>21</v>
      </c>
      <c r="J24" s="237" t="s">
        <v>3923</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1047</v>
      </c>
      <c r="B25" s="236" t="s">
        <v>3924</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3925</v>
      </c>
      <c r="B26" s="237" t="s">
        <v>3926</v>
      </c>
      <c r="C26" s="237" t="s">
        <v>3927</v>
      </c>
      <c r="D26" s="237" t="s">
        <v>3928</v>
      </c>
      <c r="E26" s="237" t="s">
        <v>21</v>
      </c>
      <c r="F26" s="237" t="s">
        <v>3929</v>
      </c>
      <c r="G26" s="237" t="s">
        <v>21</v>
      </c>
      <c r="H26" s="237" t="s">
        <v>3930</v>
      </c>
      <c r="I26" s="237" t="s">
        <v>21</v>
      </c>
      <c r="J26" s="237" t="s">
        <v>3931</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3932</v>
      </c>
      <c r="B27" s="235" t="s">
        <v>3933</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1053</v>
      </c>
      <c r="B28" s="236" t="s">
        <v>3934</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3935</v>
      </c>
      <c r="B29" s="237" t="s">
        <v>3936</v>
      </c>
      <c r="C29" s="237" t="s">
        <v>3937</v>
      </c>
      <c r="D29" s="237" t="s">
        <v>3938</v>
      </c>
      <c r="E29" s="237" t="s">
        <v>3939</v>
      </c>
      <c r="F29" s="237" t="s">
        <v>21</v>
      </c>
      <c r="G29" s="237" t="s">
        <v>21</v>
      </c>
      <c r="H29" s="237" t="s">
        <v>3940</v>
      </c>
      <c r="I29" s="237" t="s">
        <v>21</v>
      </c>
      <c r="J29" s="237" t="s">
        <v>3941</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3942</v>
      </c>
      <c r="B30" s="237" t="s">
        <v>3943</v>
      </c>
      <c r="C30" s="237" t="s">
        <v>3808</v>
      </c>
      <c r="D30" s="237" t="s">
        <v>3809</v>
      </c>
      <c r="E30" s="237" t="s">
        <v>21</v>
      </c>
      <c r="F30" s="237" t="s">
        <v>3811</v>
      </c>
      <c r="G30" s="237" t="s">
        <v>21</v>
      </c>
      <c r="H30" s="237" t="s">
        <v>3944</v>
      </c>
      <c r="I30" s="237" t="s">
        <v>21</v>
      </c>
      <c r="J30" s="237" t="s">
        <v>3945</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1058</v>
      </c>
      <c r="B31" s="236" t="s">
        <v>3946</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3947</v>
      </c>
      <c r="B32" s="237" t="s">
        <v>3948</v>
      </c>
      <c r="C32" s="237" t="s">
        <v>3949</v>
      </c>
      <c r="D32" s="237" t="s">
        <v>3950</v>
      </c>
      <c r="E32" s="237" t="s">
        <v>21</v>
      </c>
      <c r="F32" s="237" t="s">
        <v>21</v>
      </c>
      <c r="G32" s="237" t="s">
        <v>3951</v>
      </c>
      <c r="H32" s="237" t="s">
        <v>3952</v>
      </c>
      <c r="I32" s="237" t="s">
        <v>21</v>
      </c>
      <c r="J32" s="237" t="s">
        <v>3953</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3954</v>
      </c>
      <c r="B33" s="237" t="s">
        <v>3955</v>
      </c>
      <c r="C33" s="237" t="s">
        <v>3956</v>
      </c>
      <c r="D33" s="237" t="s">
        <v>3957</v>
      </c>
      <c r="E33" s="237" t="s">
        <v>21</v>
      </c>
      <c r="F33" s="237" t="s">
        <v>3958</v>
      </c>
      <c r="G33" s="237" t="s">
        <v>21</v>
      </c>
      <c r="H33" s="237" t="s">
        <v>3959</v>
      </c>
      <c r="I33" s="237" t="s">
        <v>3960</v>
      </c>
      <c r="J33" s="237" t="s">
        <v>3961</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3962</v>
      </c>
      <c r="B34" s="237" t="s">
        <v>3963</v>
      </c>
      <c r="C34" s="237" t="s">
        <v>3964</v>
      </c>
      <c r="D34" s="237" t="s">
        <v>3965</v>
      </c>
      <c r="E34" s="237" t="s">
        <v>21</v>
      </c>
      <c r="F34" s="237" t="s">
        <v>21</v>
      </c>
      <c r="G34" s="237" t="s">
        <v>21</v>
      </c>
      <c r="H34" s="237" t="s">
        <v>3966</v>
      </c>
      <c r="I34" s="237" t="s">
        <v>21</v>
      </c>
      <c r="J34" s="237" t="s">
        <v>3967</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3968</v>
      </c>
      <c r="B35" s="237" t="s">
        <v>3969</v>
      </c>
      <c r="C35" s="237" t="s">
        <v>3970</v>
      </c>
      <c r="D35" s="237" t="s">
        <v>3971</v>
      </c>
      <c r="E35" s="237" t="s">
        <v>21</v>
      </c>
      <c r="F35" s="237" t="s">
        <v>3972</v>
      </c>
      <c r="G35" s="237" t="s">
        <v>21</v>
      </c>
      <c r="H35" s="237" t="s">
        <v>3973</v>
      </c>
      <c r="I35" s="237" t="s">
        <v>21</v>
      </c>
      <c r="J35" s="237" t="s">
        <v>3974</v>
      </c>
      <c r="K35" s="240">
        <f>IF(COUNTIF(L35:AY35,"&lt;&gt;")=0,"",SUMPRODUCT(((Recommendations[ImplStatus]="Implemented")+(Recommendations[ImplStatus]="Compensated"))*ISNUMBER(MATCH(Recommendations[Id],L35:AY35,0)))/COUNTIF(L35:AY35,"&lt;&gt;"))</f>
        <v>0</v>
      </c>
      <c r="L35" s="243" t="s">
        <v>44</v>
      </c>
      <c r="M35" s="243" t="s">
        <v>49</v>
      </c>
      <c r="N35" s="243" t="s">
        <v>54</v>
      </c>
      <c r="O35" s="243" t="s">
        <v>58</v>
      </c>
      <c r="P35" s="243" t="s">
        <v>345</v>
      </c>
      <c r="Q35" s="243" t="s">
        <v>527</v>
      </c>
      <c r="R35" s="243" t="s">
        <v>532</v>
      </c>
      <c r="S35" s="243" t="s">
        <v>547</v>
      </c>
      <c r="T35" s="243" t="s">
        <v>620</v>
      </c>
      <c r="U35" s="243" t="s">
        <v>655</v>
      </c>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3975</v>
      </c>
      <c r="B36" s="237" t="s">
        <v>3976</v>
      </c>
      <c r="C36" s="237" t="s">
        <v>3977</v>
      </c>
      <c r="D36" s="237" t="s">
        <v>3978</v>
      </c>
      <c r="E36" s="237" t="s">
        <v>21</v>
      </c>
      <c r="F36" s="237" t="s">
        <v>21</v>
      </c>
      <c r="G36" s="237" t="s">
        <v>3979</v>
      </c>
      <c r="H36" s="237" t="s">
        <v>3980</v>
      </c>
      <c r="I36" s="237" t="s">
        <v>21</v>
      </c>
      <c r="J36" s="237" t="s">
        <v>3981</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3982</v>
      </c>
      <c r="B37" s="237" t="s">
        <v>3983</v>
      </c>
      <c r="C37" s="237" t="s">
        <v>3984</v>
      </c>
      <c r="D37" s="237" t="s">
        <v>3985</v>
      </c>
      <c r="E37" s="237" t="s">
        <v>21</v>
      </c>
      <c r="F37" s="237" t="s">
        <v>3986</v>
      </c>
      <c r="G37" s="237" t="s">
        <v>3987</v>
      </c>
      <c r="H37" s="237" t="s">
        <v>3988</v>
      </c>
      <c r="I37" s="237" t="s">
        <v>21</v>
      </c>
      <c r="J37" s="237" t="s">
        <v>3989</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3990</v>
      </c>
      <c r="B38" s="237" t="s">
        <v>3991</v>
      </c>
      <c r="C38" s="237" t="s">
        <v>3992</v>
      </c>
      <c r="D38" s="237" t="s">
        <v>3993</v>
      </c>
      <c r="E38" s="237" t="s">
        <v>21</v>
      </c>
      <c r="F38" s="237" t="s">
        <v>3986</v>
      </c>
      <c r="G38" s="237" t="s">
        <v>3994</v>
      </c>
      <c r="H38" s="237" t="s">
        <v>3995</v>
      </c>
      <c r="I38" s="237" t="s">
        <v>3996</v>
      </c>
      <c r="J38" s="237" t="s">
        <v>3997</v>
      </c>
      <c r="K38" s="240">
        <f>IF(COUNTIF(L38:AY38,"&lt;&gt;")=0,"",SUMPRODUCT(((Recommendations[ImplStatus]="Implemented")+(Recommendations[ImplStatus]="Compensated"))*ISNUMBER(MATCH(Recommendations[Id],L38:AY38,0)))/COUNTIF(L38:AY38,"&lt;&gt;"))</f>
        <v>0</v>
      </c>
      <c r="L38" s="243" t="s">
        <v>381</v>
      </c>
      <c r="M38" s="243" t="s">
        <v>537</v>
      </c>
      <c r="N38" s="243" t="s">
        <v>600</v>
      </c>
      <c r="O38" s="243" t="s">
        <v>605</v>
      </c>
      <c r="P38" s="243" t="s">
        <v>610</v>
      </c>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1062</v>
      </c>
      <c r="B39" s="236" t="s">
        <v>3998</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3999</v>
      </c>
      <c r="B40" s="237" t="s">
        <v>4000</v>
      </c>
      <c r="C40" s="237" t="s">
        <v>4001</v>
      </c>
      <c r="D40" s="237" t="s">
        <v>4002</v>
      </c>
      <c r="E40" s="237" t="s">
        <v>21</v>
      </c>
      <c r="F40" s="237" t="s">
        <v>21</v>
      </c>
      <c r="G40" s="237" t="s">
        <v>21</v>
      </c>
      <c r="H40" s="237" t="s">
        <v>4003</v>
      </c>
      <c r="I40" s="237" t="s">
        <v>4004</v>
      </c>
      <c r="J40" s="237" t="s">
        <v>4005</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4006</v>
      </c>
      <c r="B41" s="237" t="s">
        <v>4007</v>
      </c>
      <c r="C41" s="237" t="s">
        <v>4008</v>
      </c>
      <c r="D41" s="237" t="s">
        <v>21</v>
      </c>
      <c r="E41" s="237" t="s">
        <v>21</v>
      </c>
      <c r="F41" s="237" t="s">
        <v>21</v>
      </c>
      <c r="G41" s="237" t="s">
        <v>21</v>
      </c>
      <c r="H41" s="237" t="s">
        <v>4009</v>
      </c>
      <c r="I41" s="237" t="s">
        <v>21</v>
      </c>
      <c r="J41" s="237" t="s">
        <v>4010</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4011</v>
      </c>
      <c r="B42" s="235" t="s">
        <v>4012</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1085</v>
      </c>
      <c r="B43" s="236" t="s">
        <v>4013</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4014</v>
      </c>
      <c r="B44" s="237" t="s">
        <v>4015</v>
      </c>
      <c r="C44" s="237" t="s">
        <v>4016</v>
      </c>
      <c r="D44" s="237" t="s">
        <v>4017</v>
      </c>
      <c r="E44" s="237" t="s">
        <v>3803</v>
      </c>
      <c r="F44" s="237" t="s">
        <v>21</v>
      </c>
      <c r="G44" s="237" t="s">
        <v>21</v>
      </c>
      <c r="H44" s="237" t="s">
        <v>4018</v>
      </c>
      <c r="I44" s="237" t="s">
        <v>21</v>
      </c>
      <c r="J44" s="237" t="s">
        <v>4019</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4020</v>
      </c>
      <c r="B45" s="237" t="s">
        <v>4021</v>
      </c>
      <c r="C45" s="237" t="s">
        <v>4022</v>
      </c>
      <c r="D45" s="237" t="s">
        <v>3809</v>
      </c>
      <c r="E45" s="237" t="s">
        <v>21</v>
      </c>
      <c r="F45" s="237" t="s">
        <v>3811</v>
      </c>
      <c r="G45" s="237" t="s">
        <v>21</v>
      </c>
      <c r="H45" s="237" t="s">
        <v>4023</v>
      </c>
      <c r="I45" s="237" t="s">
        <v>21</v>
      </c>
      <c r="J45" s="237" t="s">
        <v>4024</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1091</v>
      </c>
      <c r="B46" s="236" t="s">
        <v>4025</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4026</v>
      </c>
      <c r="B47" s="237" t="s">
        <v>4027</v>
      </c>
      <c r="C47" s="237" t="s">
        <v>4028</v>
      </c>
      <c r="D47" s="237" t="s">
        <v>4029</v>
      </c>
      <c r="E47" s="237" t="s">
        <v>21</v>
      </c>
      <c r="F47" s="237" t="s">
        <v>4030</v>
      </c>
      <c r="G47" s="237" t="s">
        <v>4031</v>
      </c>
      <c r="H47" s="237" t="s">
        <v>4032</v>
      </c>
      <c r="I47" s="237" t="s">
        <v>4033</v>
      </c>
      <c r="J47" s="237" t="s">
        <v>4034</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1095</v>
      </c>
      <c r="B48" s="236" t="s">
        <v>4035</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4036</v>
      </c>
      <c r="B49" s="237" t="s">
        <v>4037</v>
      </c>
      <c r="C49" s="237" t="s">
        <v>4038</v>
      </c>
      <c r="D49" s="237" t="s">
        <v>4039</v>
      </c>
      <c r="E49" s="237" t="s">
        <v>4040</v>
      </c>
      <c r="F49" s="237" t="s">
        <v>21</v>
      </c>
      <c r="G49" s="237" t="s">
        <v>21</v>
      </c>
      <c r="H49" s="237" t="s">
        <v>4041</v>
      </c>
      <c r="I49" s="237" t="s">
        <v>4042</v>
      </c>
      <c r="J49" s="237" t="s">
        <v>4043</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4044</v>
      </c>
      <c r="B50" s="237" t="s">
        <v>4045</v>
      </c>
      <c r="C50" s="237" t="s">
        <v>4046</v>
      </c>
      <c r="D50" s="237" t="s">
        <v>21</v>
      </c>
      <c r="E50" s="237" t="s">
        <v>4047</v>
      </c>
      <c r="F50" s="237" t="s">
        <v>4048</v>
      </c>
      <c r="G50" s="237" t="s">
        <v>21</v>
      </c>
      <c r="H50" s="237" t="s">
        <v>4041</v>
      </c>
      <c r="I50" s="237" t="s">
        <v>4049</v>
      </c>
      <c r="J50" s="237" t="s">
        <v>4050</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4051</v>
      </c>
      <c r="B51" s="237" t="s">
        <v>4052</v>
      </c>
      <c r="C51" s="237" t="s">
        <v>4053</v>
      </c>
      <c r="D51" s="237" t="s">
        <v>21</v>
      </c>
      <c r="E51" s="237" t="s">
        <v>21</v>
      </c>
      <c r="F51" s="237" t="s">
        <v>4054</v>
      </c>
      <c r="G51" s="237" t="s">
        <v>21</v>
      </c>
      <c r="H51" s="237" t="s">
        <v>4041</v>
      </c>
      <c r="I51" s="237" t="s">
        <v>4055</v>
      </c>
      <c r="J51" s="237" t="s">
        <v>4056</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4057</v>
      </c>
      <c r="B52" s="237" t="s">
        <v>4058</v>
      </c>
      <c r="C52" s="237" t="s">
        <v>4059</v>
      </c>
      <c r="D52" s="237" t="s">
        <v>21</v>
      </c>
      <c r="E52" s="237" t="s">
        <v>21</v>
      </c>
      <c r="F52" s="237" t="s">
        <v>4060</v>
      </c>
      <c r="G52" s="237" t="s">
        <v>21</v>
      </c>
      <c r="H52" s="237" t="s">
        <v>4041</v>
      </c>
      <c r="I52" s="237" t="s">
        <v>4061</v>
      </c>
      <c r="J52" s="237" t="s">
        <v>4062</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4063</v>
      </c>
      <c r="B53" s="237" t="s">
        <v>4064</v>
      </c>
      <c r="C53" s="237" t="s">
        <v>4065</v>
      </c>
      <c r="D53" s="237" t="s">
        <v>4066</v>
      </c>
      <c r="E53" s="237" t="s">
        <v>4067</v>
      </c>
      <c r="F53" s="237" t="s">
        <v>21</v>
      </c>
      <c r="G53" s="237" t="s">
        <v>21</v>
      </c>
      <c r="H53" s="237" t="s">
        <v>4068</v>
      </c>
      <c r="I53" s="237" t="s">
        <v>21</v>
      </c>
      <c r="J53" s="237" t="s">
        <v>4069</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4070</v>
      </c>
      <c r="B54" s="237" t="s">
        <v>4071</v>
      </c>
      <c r="C54" s="237" t="s">
        <v>4065</v>
      </c>
      <c r="D54" s="237" t="s">
        <v>4066</v>
      </c>
      <c r="E54" s="237" t="s">
        <v>21</v>
      </c>
      <c r="F54" s="237" t="s">
        <v>21</v>
      </c>
      <c r="G54" s="237" t="s">
        <v>21</v>
      </c>
      <c r="H54" s="237" t="s">
        <v>4072</v>
      </c>
      <c r="I54" s="237" t="s">
        <v>4073</v>
      </c>
      <c r="J54" s="237" t="s">
        <v>4074</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1099</v>
      </c>
      <c r="B55" s="236" t="s">
        <v>4075</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4076</v>
      </c>
      <c r="B56" s="237" t="s">
        <v>4077</v>
      </c>
      <c r="C56" s="237" t="s">
        <v>4078</v>
      </c>
      <c r="D56" s="237" t="s">
        <v>4079</v>
      </c>
      <c r="E56" s="237" t="s">
        <v>4080</v>
      </c>
      <c r="F56" s="237" t="s">
        <v>21</v>
      </c>
      <c r="G56" s="237" t="s">
        <v>4081</v>
      </c>
      <c r="H56" s="237" t="s">
        <v>21</v>
      </c>
      <c r="I56" s="237" t="s">
        <v>21</v>
      </c>
      <c r="J56" s="237" t="s">
        <v>4082</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4083</v>
      </c>
      <c r="B57" s="237" t="s">
        <v>4084</v>
      </c>
      <c r="C57" s="237" t="s">
        <v>4085</v>
      </c>
      <c r="D57" s="237" t="s">
        <v>4086</v>
      </c>
      <c r="E57" s="237" t="s">
        <v>4087</v>
      </c>
      <c r="F57" s="237" t="s">
        <v>21</v>
      </c>
      <c r="G57" s="237" t="s">
        <v>4088</v>
      </c>
      <c r="H57" s="237" t="s">
        <v>4089</v>
      </c>
      <c r="I57" s="237" t="s">
        <v>21</v>
      </c>
      <c r="J57" s="237" t="s">
        <v>4090</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1103</v>
      </c>
      <c r="B58" s="236" t="s">
        <v>4091</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4092</v>
      </c>
      <c r="B59" s="237" t="s">
        <v>4093</v>
      </c>
      <c r="C59" s="237" t="s">
        <v>4094</v>
      </c>
      <c r="D59" s="237" t="s">
        <v>4095</v>
      </c>
      <c r="E59" s="237" t="s">
        <v>21</v>
      </c>
      <c r="F59" s="237" t="s">
        <v>21</v>
      </c>
      <c r="G59" s="237" t="s">
        <v>4096</v>
      </c>
      <c r="H59" s="237" t="s">
        <v>4097</v>
      </c>
      <c r="I59" s="237" t="s">
        <v>4098</v>
      </c>
      <c r="J59" s="237" t="s">
        <v>4099</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4100</v>
      </c>
      <c r="B60" s="237" t="s">
        <v>4101</v>
      </c>
      <c r="C60" s="237" t="s">
        <v>4102</v>
      </c>
      <c r="D60" s="237" t="s">
        <v>21</v>
      </c>
      <c r="E60" s="237" t="s">
        <v>4103</v>
      </c>
      <c r="F60" s="237" t="s">
        <v>4104</v>
      </c>
      <c r="G60" s="237" t="s">
        <v>21</v>
      </c>
      <c r="H60" s="237" t="s">
        <v>4105</v>
      </c>
      <c r="I60" s="237" t="s">
        <v>4106</v>
      </c>
      <c r="J60" s="237" t="s">
        <v>4107</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4108</v>
      </c>
      <c r="B61" s="237" t="s">
        <v>4109</v>
      </c>
      <c r="C61" s="237" t="s">
        <v>4110</v>
      </c>
      <c r="D61" s="237" t="s">
        <v>21</v>
      </c>
      <c r="E61" s="237" t="s">
        <v>21</v>
      </c>
      <c r="F61" s="237" t="s">
        <v>21</v>
      </c>
      <c r="G61" s="237" t="s">
        <v>4111</v>
      </c>
      <c r="H61" s="237" t="s">
        <v>4112</v>
      </c>
      <c r="I61" s="237" t="s">
        <v>4113</v>
      </c>
      <c r="J61" s="237" t="s">
        <v>4114</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4115</v>
      </c>
      <c r="B62" s="237" t="s">
        <v>4116</v>
      </c>
      <c r="C62" s="237" t="s">
        <v>4117</v>
      </c>
      <c r="D62" s="237" t="s">
        <v>4118</v>
      </c>
      <c r="E62" s="237" t="s">
        <v>21</v>
      </c>
      <c r="F62" s="237" t="s">
        <v>21</v>
      </c>
      <c r="G62" s="237" t="s">
        <v>21</v>
      </c>
      <c r="H62" s="237" t="s">
        <v>4119</v>
      </c>
      <c r="I62" s="237" t="s">
        <v>4120</v>
      </c>
      <c r="J62" s="237" t="s">
        <v>4121</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1107</v>
      </c>
      <c r="B63" s="236" t="s">
        <v>4122</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4123</v>
      </c>
      <c r="B64" s="237" t="s">
        <v>4124</v>
      </c>
      <c r="C64" s="237" t="s">
        <v>4125</v>
      </c>
      <c r="D64" s="237" t="s">
        <v>4126</v>
      </c>
      <c r="E64" s="237" t="s">
        <v>21</v>
      </c>
      <c r="F64" s="237" t="s">
        <v>21</v>
      </c>
      <c r="G64" s="237" t="s">
        <v>4127</v>
      </c>
      <c r="H64" s="237" t="s">
        <v>4128</v>
      </c>
      <c r="I64" s="237" t="s">
        <v>4129</v>
      </c>
      <c r="J64" s="237" t="s">
        <v>4130</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4131</v>
      </c>
      <c r="B65" s="237" t="s">
        <v>4132</v>
      </c>
      <c r="C65" s="237" t="s">
        <v>4133</v>
      </c>
      <c r="D65" s="237" t="s">
        <v>4134</v>
      </c>
      <c r="E65" s="237" t="s">
        <v>21</v>
      </c>
      <c r="F65" s="237" t="s">
        <v>21</v>
      </c>
      <c r="G65" s="237" t="s">
        <v>21</v>
      </c>
      <c r="H65" s="237" t="s">
        <v>4135</v>
      </c>
      <c r="I65" s="237" t="s">
        <v>4136</v>
      </c>
      <c r="J65" s="237" t="s">
        <v>4137</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4138</v>
      </c>
      <c r="B66" s="237" t="s">
        <v>4139</v>
      </c>
      <c r="C66" s="237" t="s">
        <v>4140</v>
      </c>
      <c r="D66" s="237" t="s">
        <v>4141</v>
      </c>
      <c r="E66" s="237" t="s">
        <v>21</v>
      </c>
      <c r="F66" s="237" t="s">
        <v>21</v>
      </c>
      <c r="G66" s="237" t="s">
        <v>21</v>
      </c>
      <c r="H66" s="237" t="s">
        <v>4142</v>
      </c>
      <c r="I66" s="237" t="s">
        <v>4143</v>
      </c>
      <c r="J66" s="237" t="s">
        <v>4144</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4145</v>
      </c>
      <c r="B67" s="237" t="s">
        <v>4146</v>
      </c>
      <c r="C67" s="237" t="s">
        <v>4147</v>
      </c>
      <c r="D67" s="237" t="s">
        <v>4148</v>
      </c>
      <c r="E67" s="237" t="s">
        <v>21</v>
      </c>
      <c r="F67" s="237" t="s">
        <v>21</v>
      </c>
      <c r="G67" s="237" t="s">
        <v>21</v>
      </c>
      <c r="H67" s="237" t="s">
        <v>4149</v>
      </c>
      <c r="I67" s="237" t="s">
        <v>21</v>
      </c>
      <c r="J67" s="237" t="s">
        <v>4150</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4151</v>
      </c>
      <c r="B68" s="237" t="s">
        <v>4152</v>
      </c>
      <c r="C68" s="237" t="s">
        <v>4153</v>
      </c>
      <c r="D68" s="237" t="s">
        <v>21</v>
      </c>
      <c r="E68" s="237" t="s">
        <v>21</v>
      </c>
      <c r="F68" s="237" t="s">
        <v>21</v>
      </c>
      <c r="G68" s="237" t="s">
        <v>21</v>
      </c>
      <c r="H68" s="237" t="s">
        <v>4154</v>
      </c>
      <c r="I68" s="237" t="s">
        <v>21</v>
      </c>
      <c r="J68" s="237" t="s">
        <v>4155</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1111</v>
      </c>
      <c r="B69" s="236" t="s">
        <v>4156</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4157</v>
      </c>
      <c r="B70" s="237" t="s">
        <v>4158</v>
      </c>
      <c r="C70" s="237" t="s">
        <v>4159</v>
      </c>
      <c r="D70" s="237" t="s">
        <v>21</v>
      </c>
      <c r="E70" s="237" t="s">
        <v>21</v>
      </c>
      <c r="F70" s="237" t="s">
        <v>21</v>
      </c>
      <c r="G70" s="237" t="s">
        <v>4160</v>
      </c>
      <c r="H70" s="237" t="s">
        <v>4161</v>
      </c>
      <c r="I70" s="237" t="s">
        <v>21</v>
      </c>
      <c r="J70" s="237" t="s">
        <v>4162</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4163</v>
      </c>
      <c r="B71" s="237" t="s">
        <v>4164</v>
      </c>
      <c r="C71" s="237" t="s">
        <v>4165</v>
      </c>
      <c r="D71" s="237" t="s">
        <v>21</v>
      </c>
      <c r="E71" s="237" t="s">
        <v>21</v>
      </c>
      <c r="F71" s="237" t="s">
        <v>21</v>
      </c>
      <c r="G71" s="237" t="s">
        <v>21</v>
      </c>
      <c r="H71" s="237" t="s">
        <v>4166</v>
      </c>
      <c r="I71" s="237" t="s">
        <v>21</v>
      </c>
      <c r="J71" s="237" t="s">
        <v>4167</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4168</v>
      </c>
      <c r="B72" s="237" t="s">
        <v>4169</v>
      </c>
      <c r="C72" s="237" t="s">
        <v>4170</v>
      </c>
      <c r="D72" s="237" t="s">
        <v>4171</v>
      </c>
      <c r="E72" s="237" t="s">
        <v>4172</v>
      </c>
      <c r="F72" s="237" t="s">
        <v>21</v>
      </c>
      <c r="G72" s="237" t="s">
        <v>21</v>
      </c>
      <c r="H72" s="237" t="s">
        <v>4173</v>
      </c>
      <c r="I72" s="237" t="s">
        <v>21</v>
      </c>
      <c r="J72" s="237" t="s">
        <v>4174</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4175</v>
      </c>
      <c r="B73" s="237" t="s">
        <v>4176</v>
      </c>
      <c r="C73" s="237" t="s">
        <v>4177</v>
      </c>
      <c r="D73" s="237" t="s">
        <v>4178</v>
      </c>
      <c r="E73" s="237" t="s">
        <v>4172</v>
      </c>
      <c r="F73" s="237" t="s">
        <v>21</v>
      </c>
      <c r="G73" s="237" t="s">
        <v>4179</v>
      </c>
      <c r="H73" s="237" t="s">
        <v>4180</v>
      </c>
      <c r="I73" s="237" t="s">
        <v>21</v>
      </c>
      <c r="J73" s="237" t="s">
        <v>4181</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4182</v>
      </c>
      <c r="B74" s="237" t="s">
        <v>4183</v>
      </c>
      <c r="C74" s="237" t="s">
        <v>4184</v>
      </c>
      <c r="D74" s="237" t="s">
        <v>4178</v>
      </c>
      <c r="E74" s="237" t="s">
        <v>4185</v>
      </c>
      <c r="F74" s="237" t="s">
        <v>21</v>
      </c>
      <c r="G74" s="237" t="s">
        <v>4186</v>
      </c>
      <c r="H74" s="237" t="s">
        <v>4187</v>
      </c>
      <c r="I74" s="237" t="s">
        <v>4188</v>
      </c>
      <c r="J74" s="237" t="s">
        <v>4189</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4190</v>
      </c>
      <c r="B75" s="237" t="s">
        <v>4191</v>
      </c>
      <c r="C75" s="237" t="s">
        <v>4192</v>
      </c>
      <c r="D75" s="237" t="s">
        <v>4193</v>
      </c>
      <c r="E75" s="237" t="s">
        <v>4185</v>
      </c>
      <c r="F75" s="237" t="s">
        <v>4194</v>
      </c>
      <c r="G75" s="237" t="s">
        <v>4195</v>
      </c>
      <c r="H75" s="237" t="s">
        <v>4196</v>
      </c>
      <c r="I75" s="237" t="s">
        <v>4197</v>
      </c>
      <c r="J75" s="237" t="s">
        <v>4198</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4199</v>
      </c>
      <c r="B76" s="237" t="s">
        <v>4200</v>
      </c>
      <c r="C76" s="237" t="s">
        <v>4201</v>
      </c>
      <c r="D76" s="237" t="s">
        <v>4202</v>
      </c>
      <c r="E76" s="237" t="s">
        <v>21</v>
      </c>
      <c r="F76" s="237" t="s">
        <v>21</v>
      </c>
      <c r="G76" s="237" t="s">
        <v>21</v>
      </c>
      <c r="H76" s="237" t="s">
        <v>4203</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4204</v>
      </c>
      <c r="B77" s="237" t="s">
        <v>4205</v>
      </c>
      <c r="C77" s="237" t="s">
        <v>4206</v>
      </c>
      <c r="D77" s="237" t="s">
        <v>21</v>
      </c>
      <c r="E77" s="237" t="s">
        <v>21</v>
      </c>
      <c r="F77" s="237" t="s">
        <v>21</v>
      </c>
      <c r="G77" s="237" t="s">
        <v>4207</v>
      </c>
      <c r="H77" s="237" t="s">
        <v>4208</v>
      </c>
      <c r="I77" s="237" t="s">
        <v>21</v>
      </c>
      <c r="J77" s="237" t="s">
        <v>4209</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4210</v>
      </c>
      <c r="B78" s="237" t="s">
        <v>4211</v>
      </c>
      <c r="C78" s="237" t="s">
        <v>4212</v>
      </c>
      <c r="D78" s="237" t="s">
        <v>21</v>
      </c>
      <c r="E78" s="237" t="s">
        <v>21</v>
      </c>
      <c r="F78" s="237" t="s">
        <v>21</v>
      </c>
      <c r="G78" s="237" t="s">
        <v>4213</v>
      </c>
      <c r="H78" s="237" t="s">
        <v>4214</v>
      </c>
      <c r="I78" s="237" t="s">
        <v>4215</v>
      </c>
      <c r="J78" s="237" t="s">
        <v>4216</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4217</v>
      </c>
      <c r="B79" s="235" t="s">
        <v>4218</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1145</v>
      </c>
      <c r="B80" s="236" t="s">
        <v>4219</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4220</v>
      </c>
      <c r="B81" s="237" t="s">
        <v>4221</v>
      </c>
      <c r="C81" s="237" t="s">
        <v>4222</v>
      </c>
      <c r="D81" s="237" t="s">
        <v>4017</v>
      </c>
      <c r="E81" s="237" t="s">
        <v>4223</v>
      </c>
      <c r="F81" s="237" t="s">
        <v>21</v>
      </c>
      <c r="G81" s="237" t="s">
        <v>21</v>
      </c>
      <c r="H81" s="237" t="s">
        <v>4224</v>
      </c>
      <c r="I81" s="237" t="s">
        <v>21</v>
      </c>
      <c r="J81" s="237" t="s">
        <v>4225</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4226</v>
      </c>
      <c r="B82" s="237" t="s">
        <v>4227</v>
      </c>
      <c r="C82" s="237" t="s">
        <v>3808</v>
      </c>
      <c r="D82" s="237" t="s">
        <v>3809</v>
      </c>
      <c r="E82" s="237" t="s">
        <v>21</v>
      </c>
      <c r="F82" s="237" t="s">
        <v>3811</v>
      </c>
      <c r="G82" s="237" t="s">
        <v>21</v>
      </c>
      <c r="H82" s="237" t="s">
        <v>4228</v>
      </c>
      <c r="I82" s="237" t="s">
        <v>21</v>
      </c>
      <c r="J82" s="237" t="s">
        <v>4229</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1150</v>
      </c>
      <c r="B83" s="236" t="s">
        <v>4230</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4231</v>
      </c>
      <c r="B84" s="237" t="s">
        <v>4232</v>
      </c>
      <c r="C84" s="237" t="s">
        <v>4233</v>
      </c>
      <c r="D84" s="237" t="s">
        <v>4234</v>
      </c>
      <c r="E84" s="237" t="s">
        <v>21</v>
      </c>
      <c r="F84" s="237" t="s">
        <v>4235</v>
      </c>
      <c r="G84" s="237" t="s">
        <v>4236</v>
      </c>
      <c r="H84" s="237" t="s">
        <v>4237</v>
      </c>
      <c r="I84" s="237" t="s">
        <v>4238</v>
      </c>
      <c r="J84" s="237" t="s">
        <v>4239</v>
      </c>
      <c r="K84" s="240">
        <f>IF(COUNTIF(L84:AY84,"&lt;&gt;")=0,"",SUMPRODUCT(((Recommendations[ImplStatus]="Implemented")+(Recommendations[ImplStatus]="Compensated"))*ISNUMBER(MATCH(Recommendations[Id],L84:AY84,0)))/COUNTIF(L84:AY84,"&lt;&gt;"))</f>
        <v>0</v>
      </c>
      <c r="L84" s="243" t="s">
        <v>281</v>
      </c>
      <c r="M84" s="243" t="s">
        <v>286</v>
      </c>
      <c r="N84" s="243" t="s">
        <v>296</v>
      </c>
      <c r="O84" s="243" t="s">
        <v>301</v>
      </c>
      <c r="P84" s="243" t="s">
        <v>306</v>
      </c>
      <c r="Q84" s="243" t="s">
        <v>311</v>
      </c>
      <c r="R84" s="243" t="s">
        <v>321</v>
      </c>
      <c r="S84" s="243" t="s">
        <v>335</v>
      </c>
      <c r="T84" s="243" t="s">
        <v>340</v>
      </c>
      <c r="U84" s="243" t="s">
        <v>348</v>
      </c>
      <c r="V84" s="243" t="s">
        <v>376</v>
      </c>
      <c r="W84" s="243" t="s">
        <v>381</v>
      </c>
      <c r="X84" s="243" t="s">
        <v>386</v>
      </c>
      <c r="Y84" s="243" t="s">
        <v>406</v>
      </c>
      <c r="Z84" s="243" t="s">
        <v>605</v>
      </c>
      <c r="AA84" s="243" t="s">
        <v>615</v>
      </c>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4240</v>
      </c>
      <c r="B85" s="237" t="s">
        <v>4241</v>
      </c>
      <c r="C85" s="237" t="s">
        <v>4242</v>
      </c>
      <c r="D85" s="237" t="s">
        <v>4243</v>
      </c>
      <c r="E85" s="237" t="s">
        <v>21</v>
      </c>
      <c r="F85" s="237" t="s">
        <v>21</v>
      </c>
      <c r="G85" s="237" t="s">
        <v>21</v>
      </c>
      <c r="H85" s="237" t="s">
        <v>4244</v>
      </c>
      <c r="I85" s="237" t="s">
        <v>4245</v>
      </c>
      <c r="J85" s="237" t="s">
        <v>4246</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4247</v>
      </c>
      <c r="B86" s="237" t="s">
        <v>4248</v>
      </c>
      <c r="C86" s="237" t="s">
        <v>4249</v>
      </c>
      <c r="D86" s="237" t="s">
        <v>4250</v>
      </c>
      <c r="E86" s="237" t="s">
        <v>21</v>
      </c>
      <c r="F86" s="237" t="s">
        <v>21</v>
      </c>
      <c r="G86" s="237" t="s">
        <v>4251</v>
      </c>
      <c r="H86" s="237" t="s">
        <v>4252</v>
      </c>
      <c r="I86" s="237" t="s">
        <v>21</v>
      </c>
      <c r="J86" s="237" t="s">
        <v>4253</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4254</v>
      </c>
      <c r="B87" s="237" t="s">
        <v>4255</v>
      </c>
      <c r="C87" s="237" t="s">
        <v>4256</v>
      </c>
      <c r="D87" s="237" t="s">
        <v>4257</v>
      </c>
      <c r="E87" s="237" t="s">
        <v>21</v>
      </c>
      <c r="F87" s="237" t="s">
        <v>4258</v>
      </c>
      <c r="G87" s="237" t="s">
        <v>21</v>
      </c>
      <c r="H87" s="237" t="s">
        <v>4259</v>
      </c>
      <c r="I87" s="237" t="s">
        <v>4260</v>
      </c>
      <c r="J87" s="237" t="s">
        <v>4261</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4262</v>
      </c>
      <c r="B88" s="235" t="s">
        <v>4263</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1197</v>
      </c>
      <c r="B89" s="236" t="s">
        <v>4264</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4265</v>
      </c>
      <c r="B90" s="237" t="s">
        <v>4266</v>
      </c>
      <c r="C90" s="237" t="s">
        <v>4267</v>
      </c>
      <c r="D90" s="237" t="s">
        <v>4017</v>
      </c>
      <c r="E90" s="237" t="s">
        <v>3803</v>
      </c>
      <c r="F90" s="237" t="s">
        <v>21</v>
      </c>
      <c r="G90" s="237" t="s">
        <v>21</v>
      </c>
      <c r="H90" s="237" t="s">
        <v>4268</v>
      </c>
      <c r="I90" s="237" t="s">
        <v>21</v>
      </c>
      <c r="J90" s="237" t="s">
        <v>4269</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4270</v>
      </c>
      <c r="B91" s="237" t="s">
        <v>4271</v>
      </c>
      <c r="C91" s="237" t="s">
        <v>4272</v>
      </c>
      <c r="D91" s="237" t="s">
        <v>3809</v>
      </c>
      <c r="E91" s="237" t="s">
        <v>21</v>
      </c>
      <c r="F91" s="237" t="s">
        <v>3811</v>
      </c>
      <c r="G91" s="237" t="s">
        <v>21</v>
      </c>
      <c r="H91" s="237" t="s">
        <v>4273</v>
      </c>
      <c r="I91" s="237" t="s">
        <v>21</v>
      </c>
      <c r="J91" s="237" t="s">
        <v>4274</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1201</v>
      </c>
      <c r="B92" s="236" t="s">
        <v>4275</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4276</v>
      </c>
      <c r="B93" s="237" t="s">
        <v>4277</v>
      </c>
      <c r="C93" s="237" t="s">
        <v>4278</v>
      </c>
      <c r="D93" s="237" t="s">
        <v>4279</v>
      </c>
      <c r="E93" s="237" t="s">
        <v>4280</v>
      </c>
      <c r="F93" s="237" t="s">
        <v>21</v>
      </c>
      <c r="G93" s="237" t="s">
        <v>21</v>
      </c>
      <c r="H93" s="237" t="s">
        <v>4281</v>
      </c>
      <c r="I93" s="237" t="s">
        <v>21</v>
      </c>
      <c r="J93" s="237" t="s">
        <v>4282</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4283</v>
      </c>
      <c r="B94" s="237" t="s">
        <v>4284</v>
      </c>
      <c r="C94" s="237" t="s">
        <v>4285</v>
      </c>
      <c r="D94" s="237" t="s">
        <v>4286</v>
      </c>
      <c r="E94" s="237" t="s">
        <v>21</v>
      </c>
      <c r="F94" s="237" t="s">
        <v>4287</v>
      </c>
      <c r="G94" s="237" t="s">
        <v>21</v>
      </c>
      <c r="H94" s="237" t="s">
        <v>4288</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4289</v>
      </c>
      <c r="B95" s="237" t="s">
        <v>4290</v>
      </c>
      <c r="C95" s="237" t="s">
        <v>4291</v>
      </c>
      <c r="D95" s="237" t="s">
        <v>4292</v>
      </c>
      <c r="E95" s="237" t="s">
        <v>21</v>
      </c>
      <c r="F95" s="237" t="s">
        <v>21</v>
      </c>
      <c r="G95" s="237" t="s">
        <v>21</v>
      </c>
      <c r="H95" s="237" t="s">
        <v>4293</v>
      </c>
      <c r="I95" s="237" t="s">
        <v>4294</v>
      </c>
      <c r="J95" s="237" t="s">
        <v>4295</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4296</v>
      </c>
      <c r="B96" s="237" t="s">
        <v>4297</v>
      </c>
      <c r="C96" s="237" t="s">
        <v>4298</v>
      </c>
      <c r="D96" s="237" t="s">
        <v>21</v>
      </c>
      <c r="E96" s="237" t="s">
        <v>21</v>
      </c>
      <c r="F96" s="237" t="s">
        <v>21</v>
      </c>
      <c r="G96" s="237" t="s">
        <v>21</v>
      </c>
      <c r="H96" s="237" t="s">
        <v>4299</v>
      </c>
      <c r="I96" s="237" t="s">
        <v>4245</v>
      </c>
      <c r="J96" s="237" t="s">
        <v>4300</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1205</v>
      </c>
      <c r="B97" s="236" t="s">
        <v>4301</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4302</v>
      </c>
      <c r="B98" s="237" t="s">
        <v>4303</v>
      </c>
      <c r="C98" s="237" t="s">
        <v>4304</v>
      </c>
      <c r="D98" s="237" t="s">
        <v>4305</v>
      </c>
      <c r="E98" s="237" t="s">
        <v>21</v>
      </c>
      <c r="F98" s="237" t="s">
        <v>21</v>
      </c>
      <c r="G98" s="237" t="s">
        <v>21</v>
      </c>
      <c r="H98" s="237" t="s">
        <v>4306</v>
      </c>
      <c r="I98" s="237" t="s">
        <v>21</v>
      </c>
      <c r="J98" s="237" t="s">
        <v>4307</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4308</v>
      </c>
      <c r="B99" s="237" t="s">
        <v>4309</v>
      </c>
      <c r="C99" s="237" t="s">
        <v>4310</v>
      </c>
      <c r="D99" s="237" t="s">
        <v>4311</v>
      </c>
      <c r="E99" s="237" t="s">
        <v>4312</v>
      </c>
      <c r="F99" s="237" t="s">
        <v>21</v>
      </c>
      <c r="G99" s="237" t="s">
        <v>21</v>
      </c>
      <c r="H99" s="237" t="s">
        <v>4313</v>
      </c>
      <c r="I99" s="237" t="s">
        <v>21</v>
      </c>
      <c r="J99" s="237" t="s">
        <v>4314</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4315</v>
      </c>
      <c r="B100" s="237" t="s">
        <v>4316</v>
      </c>
      <c r="C100" s="237" t="s">
        <v>4317</v>
      </c>
      <c r="D100" s="237" t="s">
        <v>21</v>
      </c>
      <c r="E100" s="237" t="s">
        <v>21</v>
      </c>
      <c r="F100" s="237" t="s">
        <v>21</v>
      </c>
      <c r="G100" s="237" t="s">
        <v>21</v>
      </c>
      <c r="H100" s="237" t="s">
        <v>4318</v>
      </c>
      <c r="I100" s="237" t="s">
        <v>4319</v>
      </c>
      <c r="J100" s="237" t="s">
        <v>4320</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4321</v>
      </c>
      <c r="B101" s="237" t="s">
        <v>4322</v>
      </c>
      <c r="C101" s="237" t="s">
        <v>4323</v>
      </c>
      <c r="D101" s="237" t="s">
        <v>21</v>
      </c>
      <c r="E101" s="237" t="s">
        <v>21</v>
      </c>
      <c r="F101" s="237" t="s">
        <v>21</v>
      </c>
      <c r="G101" s="237" t="s">
        <v>21</v>
      </c>
      <c r="H101" s="237" t="s">
        <v>4324</v>
      </c>
      <c r="I101" s="237" t="s">
        <v>4245</v>
      </c>
      <c r="J101" s="237" t="s">
        <v>4325</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4326</v>
      </c>
      <c r="B102" s="237" t="s">
        <v>4327</v>
      </c>
      <c r="C102" s="237" t="s">
        <v>4328</v>
      </c>
      <c r="D102" s="237" t="s">
        <v>4329</v>
      </c>
      <c r="E102" s="237" t="s">
        <v>21</v>
      </c>
      <c r="F102" s="237" t="s">
        <v>21</v>
      </c>
      <c r="G102" s="237" t="s">
        <v>21</v>
      </c>
      <c r="H102" s="237" t="s">
        <v>4330</v>
      </c>
      <c r="I102" s="237" t="s">
        <v>21</v>
      </c>
      <c r="J102" s="237" t="s">
        <v>4331</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4332</v>
      </c>
      <c r="B103" s="237" t="s">
        <v>4333</v>
      </c>
      <c r="C103" s="237" t="s">
        <v>4334</v>
      </c>
      <c r="D103" s="237" t="s">
        <v>4329</v>
      </c>
      <c r="E103" s="237" t="s">
        <v>21</v>
      </c>
      <c r="F103" s="237" t="s">
        <v>4335</v>
      </c>
      <c r="G103" s="237" t="s">
        <v>21</v>
      </c>
      <c r="H103" s="237" t="s">
        <v>4336</v>
      </c>
      <c r="I103" s="237" t="s">
        <v>4337</v>
      </c>
      <c r="J103" s="237" t="s">
        <v>4338</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1209</v>
      </c>
      <c r="B104" s="236" t="s">
        <v>4339</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4340</v>
      </c>
      <c r="B105" s="237" t="s">
        <v>4341</v>
      </c>
      <c r="C105" s="237" t="s">
        <v>4342</v>
      </c>
      <c r="D105" s="237" t="s">
        <v>4343</v>
      </c>
      <c r="E105" s="237" t="s">
        <v>4344</v>
      </c>
      <c r="F105" s="237" t="s">
        <v>21</v>
      </c>
      <c r="G105" s="237" t="s">
        <v>21</v>
      </c>
      <c r="H105" s="237" t="s">
        <v>4345</v>
      </c>
      <c r="I105" s="237" t="s">
        <v>4346</v>
      </c>
      <c r="J105" s="237" t="s">
        <v>4347</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4348</v>
      </c>
      <c r="B106" s="235" t="s">
        <v>4349</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1223</v>
      </c>
      <c r="B107" s="236" t="s">
        <v>4350</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4351</v>
      </c>
      <c r="B108" s="237" t="s">
        <v>4352</v>
      </c>
      <c r="C108" s="237" t="s">
        <v>4353</v>
      </c>
      <c r="D108" s="237" t="s">
        <v>4017</v>
      </c>
      <c r="E108" s="237" t="s">
        <v>3803</v>
      </c>
      <c r="F108" s="237" t="s">
        <v>21</v>
      </c>
      <c r="G108" s="237" t="s">
        <v>21</v>
      </c>
      <c r="H108" s="237" t="s">
        <v>4354</v>
      </c>
      <c r="I108" s="237" t="s">
        <v>21</v>
      </c>
      <c r="J108" s="237" t="s">
        <v>4355</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4356</v>
      </c>
      <c r="B109" s="237" t="s">
        <v>4357</v>
      </c>
      <c r="C109" s="237" t="s">
        <v>4358</v>
      </c>
      <c r="D109" s="237" t="s">
        <v>3809</v>
      </c>
      <c r="E109" s="237" t="s">
        <v>21</v>
      </c>
      <c r="F109" s="237" t="s">
        <v>3811</v>
      </c>
      <c r="G109" s="237" t="s">
        <v>21</v>
      </c>
      <c r="H109" s="237" t="s">
        <v>4359</v>
      </c>
      <c r="I109" s="237" t="s">
        <v>21</v>
      </c>
      <c r="J109" s="237" t="s">
        <v>4360</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1227</v>
      </c>
      <c r="B110" s="236" t="s">
        <v>4361</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4362</v>
      </c>
      <c r="B111" s="237" t="s">
        <v>4363</v>
      </c>
      <c r="C111" s="237" t="s">
        <v>4364</v>
      </c>
      <c r="D111" s="237" t="s">
        <v>4365</v>
      </c>
      <c r="E111" s="237" t="s">
        <v>21</v>
      </c>
      <c r="F111" s="237" t="s">
        <v>4366</v>
      </c>
      <c r="G111" s="237" t="s">
        <v>21</v>
      </c>
      <c r="H111" s="237" t="s">
        <v>4367</v>
      </c>
      <c r="I111" s="237" t="s">
        <v>4368</v>
      </c>
      <c r="J111" s="237" t="s">
        <v>4369</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4370</v>
      </c>
      <c r="B112" s="237" t="s">
        <v>4371</v>
      </c>
      <c r="C112" s="237" t="s">
        <v>4372</v>
      </c>
      <c r="D112" s="237" t="s">
        <v>4373</v>
      </c>
      <c r="E112" s="237" t="s">
        <v>21</v>
      </c>
      <c r="F112" s="237" t="s">
        <v>21</v>
      </c>
      <c r="G112" s="237" t="s">
        <v>21</v>
      </c>
      <c r="H112" s="237" t="s">
        <v>4374</v>
      </c>
      <c r="I112" s="237" t="s">
        <v>21</v>
      </c>
      <c r="J112" s="237" t="s">
        <v>4375</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4376</v>
      </c>
      <c r="B113" s="237" t="s">
        <v>4377</v>
      </c>
      <c r="C113" s="237" t="s">
        <v>4378</v>
      </c>
      <c r="D113" s="237" t="s">
        <v>4379</v>
      </c>
      <c r="E113" s="237" t="s">
        <v>21</v>
      </c>
      <c r="F113" s="237" t="s">
        <v>21</v>
      </c>
      <c r="G113" s="237" t="s">
        <v>21</v>
      </c>
      <c r="H113" s="237" t="s">
        <v>4380</v>
      </c>
      <c r="I113" s="237" t="s">
        <v>4381</v>
      </c>
      <c r="J113" s="237" t="s">
        <v>4382</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4383</v>
      </c>
      <c r="B114" s="237" t="s">
        <v>4384</v>
      </c>
      <c r="C114" s="237" t="s">
        <v>4385</v>
      </c>
      <c r="D114" s="237" t="s">
        <v>4386</v>
      </c>
      <c r="E114" s="237" t="s">
        <v>21</v>
      </c>
      <c r="F114" s="237" t="s">
        <v>21</v>
      </c>
      <c r="G114" s="237" t="s">
        <v>4387</v>
      </c>
      <c r="H114" s="237" t="s">
        <v>4388</v>
      </c>
      <c r="I114" s="237" t="s">
        <v>4389</v>
      </c>
      <c r="J114" s="237" t="s">
        <v>4390</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4391</v>
      </c>
      <c r="B115" s="237" t="s">
        <v>4392</v>
      </c>
      <c r="C115" s="237" t="s">
        <v>4393</v>
      </c>
      <c r="D115" s="237" t="s">
        <v>4394</v>
      </c>
      <c r="E115" s="237" t="s">
        <v>21</v>
      </c>
      <c r="F115" s="237" t="s">
        <v>4395</v>
      </c>
      <c r="G115" s="237" t="s">
        <v>21</v>
      </c>
      <c r="H115" s="237" t="s">
        <v>4396</v>
      </c>
      <c r="I115" s="237" t="s">
        <v>4396</v>
      </c>
      <c r="J115" s="237" t="s">
        <v>4397</v>
      </c>
      <c r="K115" s="240">
        <f>IF(COUNTIF(L115:AY115,"&lt;&gt;")=0,"",SUMPRODUCT(((Recommendations[ImplStatus]="Implemented")+(Recommendations[ImplStatus]="Compensated"))*ISNUMBER(MATCH(Recommendations[Id],L115:AY115,0)))/COUNTIF(L115:AY115,"&lt;&gt;"))</f>
        <v>0</v>
      </c>
      <c r="L115" s="243" t="s">
        <v>44</v>
      </c>
      <c r="M115" s="243" t="s">
        <v>345</v>
      </c>
      <c r="N115" s="243" t="s">
        <v>527</v>
      </c>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1231</v>
      </c>
      <c r="B116" s="236" t="s">
        <v>4398</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4399</v>
      </c>
      <c r="B117" s="237" t="s">
        <v>4400</v>
      </c>
      <c r="C117" s="237" t="s">
        <v>4401</v>
      </c>
      <c r="D117" s="237" t="s">
        <v>4402</v>
      </c>
      <c r="E117" s="237" t="s">
        <v>21</v>
      </c>
      <c r="F117" s="237" t="s">
        <v>4403</v>
      </c>
      <c r="G117" s="237" t="s">
        <v>4404</v>
      </c>
      <c r="H117" s="237" t="s">
        <v>4405</v>
      </c>
      <c r="I117" s="237" t="s">
        <v>4406</v>
      </c>
      <c r="J117" s="237" t="s">
        <v>4407</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4408</v>
      </c>
      <c r="B118" s="237" t="s">
        <v>4409</v>
      </c>
      <c r="C118" s="237" t="s">
        <v>4410</v>
      </c>
      <c r="D118" s="237" t="s">
        <v>4411</v>
      </c>
      <c r="E118" s="237" t="s">
        <v>21</v>
      </c>
      <c r="F118" s="237" t="s">
        <v>21</v>
      </c>
      <c r="G118" s="237" t="s">
        <v>21</v>
      </c>
      <c r="H118" s="237" t="s">
        <v>4412</v>
      </c>
      <c r="I118" s="237" t="s">
        <v>4245</v>
      </c>
      <c r="J118" s="237" t="s">
        <v>4413</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4414</v>
      </c>
      <c r="B119" s="237" t="s">
        <v>4415</v>
      </c>
      <c r="C119" s="237" t="s">
        <v>4416</v>
      </c>
      <c r="D119" s="237" t="s">
        <v>4417</v>
      </c>
      <c r="E119" s="237" t="s">
        <v>21</v>
      </c>
      <c r="F119" s="237" t="s">
        <v>4418</v>
      </c>
      <c r="G119" s="237" t="s">
        <v>21</v>
      </c>
      <c r="H119" s="237" t="s">
        <v>4419</v>
      </c>
      <c r="I119" s="237" t="s">
        <v>4420</v>
      </c>
      <c r="J119" s="237" t="s">
        <v>4421</v>
      </c>
      <c r="K119" s="240">
        <f>IF(COUNTIF(L119:AY119,"&lt;&gt;")=0,"",SUMPRODUCT(((Recommendations[ImplStatus]="Implemented")+(Recommendations[ImplStatus]="Compensated"))*ISNUMBER(MATCH(Recommendations[Id],L119:AY119,0)))/COUNTIF(L119:AY119,"&lt;&gt;"))</f>
        <v>0</v>
      </c>
      <c r="L119" s="243" t="s">
        <v>650</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1235</v>
      </c>
      <c r="B120" s="236" t="s">
        <v>4422</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4423</v>
      </c>
      <c r="B121" s="237" t="s">
        <v>4424</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4425</v>
      </c>
      <c r="B122" s="237" t="s">
        <v>4426</v>
      </c>
      <c r="C122" s="237" t="s">
        <v>4427</v>
      </c>
      <c r="D122" s="237" t="s">
        <v>4428</v>
      </c>
      <c r="E122" s="237" t="s">
        <v>21</v>
      </c>
      <c r="F122" s="237" t="s">
        <v>4429</v>
      </c>
      <c r="G122" s="237" t="s">
        <v>21</v>
      </c>
      <c r="H122" s="237" t="s">
        <v>4430</v>
      </c>
      <c r="I122" s="237" t="s">
        <v>4431</v>
      </c>
      <c r="J122" s="237" t="s">
        <v>4432</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4433</v>
      </c>
      <c r="B123" s="237" t="s">
        <v>4434</v>
      </c>
      <c r="C123" s="237" t="s">
        <v>4435</v>
      </c>
      <c r="D123" s="237" t="s">
        <v>4436</v>
      </c>
      <c r="E123" s="237" t="s">
        <v>21</v>
      </c>
      <c r="F123" s="237" t="s">
        <v>4437</v>
      </c>
      <c r="G123" s="237" t="s">
        <v>21</v>
      </c>
      <c r="H123" s="237" t="s">
        <v>4438</v>
      </c>
      <c r="I123" s="237" t="s">
        <v>21</v>
      </c>
      <c r="J123" s="237" t="s">
        <v>4439</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1239</v>
      </c>
      <c r="B124" s="236" t="s">
        <v>4440</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4441</v>
      </c>
      <c r="B125" s="237" t="s">
        <v>4442</v>
      </c>
      <c r="C125" s="237" t="s">
        <v>4443</v>
      </c>
      <c r="D125" s="237" t="s">
        <v>4444</v>
      </c>
      <c r="E125" s="237" t="s">
        <v>21</v>
      </c>
      <c r="F125" s="237" t="s">
        <v>21</v>
      </c>
      <c r="G125" s="237" t="s">
        <v>21</v>
      </c>
      <c r="H125" s="237" t="s">
        <v>4445</v>
      </c>
      <c r="I125" s="237" t="s">
        <v>21</v>
      </c>
      <c r="J125" s="237" t="s">
        <v>4446</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4447</v>
      </c>
      <c r="B126" s="237" t="s">
        <v>4448</v>
      </c>
      <c r="C126" s="237" t="s">
        <v>4449</v>
      </c>
      <c r="D126" s="237" t="s">
        <v>4450</v>
      </c>
      <c r="E126" s="237" t="s">
        <v>21</v>
      </c>
      <c r="F126" s="237" t="s">
        <v>4451</v>
      </c>
      <c r="G126" s="237" t="s">
        <v>21</v>
      </c>
      <c r="H126" s="237" t="s">
        <v>4452</v>
      </c>
      <c r="I126" s="237" t="s">
        <v>4453</v>
      </c>
      <c r="J126" s="237" t="s">
        <v>4454</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4455</v>
      </c>
      <c r="B127" s="237" t="s">
        <v>4456</v>
      </c>
      <c r="C127" s="237" t="s">
        <v>4457</v>
      </c>
      <c r="D127" s="237" t="s">
        <v>4458</v>
      </c>
      <c r="E127" s="237" t="s">
        <v>4459</v>
      </c>
      <c r="F127" s="237" t="s">
        <v>21</v>
      </c>
      <c r="G127" s="237" t="s">
        <v>21</v>
      </c>
      <c r="H127" s="237" t="s">
        <v>4460</v>
      </c>
      <c r="I127" s="237" t="s">
        <v>21</v>
      </c>
      <c r="J127" s="237" t="s">
        <v>4461</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4462</v>
      </c>
      <c r="B128" s="237" t="s">
        <v>4463</v>
      </c>
      <c r="C128" s="237" t="s">
        <v>4464</v>
      </c>
      <c r="D128" s="237" t="s">
        <v>21</v>
      </c>
      <c r="E128" s="237" t="s">
        <v>21</v>
      </c>
      <c r="F128" s="237" t="s">
        <v>21</v>
      </c>
      <c r="G128" s="237" t="s">
        <v>21</v>
      </c>
      <c r="H128" s="237" t="s">
        <v>4465</v>
      </c>
      <c r="I128" s="237" t="s">
        <v>4466</v>
      </c>
      <c r="J128" s="237" t="s">
        <v>4467</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4468</v>
      </c>
      <c r="B129" s="237" t="s">
        <v>4469</v>
      </c>
      <c r="C129" s="237" t="s">
        <v>4470</v>
      </c>
      <c r="D129" s="237" t="s">
        <v>21</v>
      </c>
      <c r="E129" s="237" t="s">
        <v>4471</v>
      </c>
      <c r="F129" s="237" t="s">
        <v>21</v>
      </c>
      <c r="G129" s="237" t="s">
        <v>21</v>
      </c>
      <c r="H129" s="237" t="s">
        <v>4472</v>
      </c>
      <c r="I129" s="237" t="s">
        <v>21</v>
      </c>
      <c r="J129" s="237" t="s">
        <v>4473</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4474</v>
      </c>
      <c r="B130" s="237" t="s">
        <v>4475</v>
      </c>
      <c r="C130" s="237" t="s">
        <v>4476</v>
      </c>
      <c r="D130" s="237" t="s">
        <v>21</v>
      </c>
      <c r="E130" s="237" t="s">
        <v>21</v>
      </c>
      <c r="F130" s="237" t="s">
        <v>21</v>
      </c>
      <c r="G130" s="237" t="s">
        <v>21</v>
      </c>
      <c r="H130" s="237" t="s">
        <v>4477</v>
      </c>
      <c r="I130" s="237" t="s">
        <v>21</v>
      </c>
      <c r="J130" s="237" t="s">
        <v>4478</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4479</v>
      </c>
      <c r="B131" s="235" t="s">
        <v>4480</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1257</v>
      </c>
      <c r="B132" s="236" t="s">
        <v>4481</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4482</v>
      </c>
      <c r="B133" s="237" t="s">
        <v>4483</v>
      </c>
      <c r="C133" s="237" t="s">
        <v>4484</v>
      </c>
      <c r="D133" s="237" t="s">
        <v>4017</v>
      </c>
      <c r="E133" s="237" t="s">
        <v>3803</v>
      </c>
      <c r="F133" s="237" t="s">
        <v>21</v>
      </c>
      <c r="G133" s="237" t="s">
        <v>21</v>
      </c>
      <c r="H133" s="237" t="s">
        <v>4485</v>
      </c>
      <c r="I133" s="237" t="s">
        <v>21</v>
      </c>
      <c r="J133" s="237" t="s">
        <v>4486</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4487</v>
      </c>
      <c r="B134" s="237" t="s">
        <v>4488</v>
      </c>
      <c r="C134" s="237" t="s">
        <v>4022</v>
      </c>
      <c r="D134" s="237" t="s">
        <v>3809</v>
      </c>
      <c r="E134" s="237" t="s">
        <v>21</v>
      </c>
      <c r="F134" s="237" t="s">
        <v>3811</v>
      </c>
      <c r="G134" s="237" t="s">
        <v>21</v>
      </c>
      <c r="H134" s="237" t="s">
        <v>4489</v>
      </c>
      <c r="I134" s="237" t="s">
        <v>21</v>
      </c>
      <c r="J134" s="237" t="s">
        <v>4490</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1261</v>
      </c>
      <c r="B135" s="236" t="s">
        <v>4491</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4492</v>
      </c>
      <c r="B136" s="237" t="s">
        <v>4493</v>
      </c>
      <c r="C136" s="237" t="s">
        <v>4494</v>
      </c>
      <c r="D136" s="237" t="s">
        <v>4495</v>
      </c>
      <c r="E136" s="237" t="s">
        <v>4496</v>
      </c>
      <c r="F136" s="237" t="s">
        <v>4497</v>
      </c>
      <c r="G136" s="237" t="s">
        <v>21</v>
      </c>
      <c r="H136" s="237" t="s">
        <v>4498</v>
      </c>
      <c r="I136" s="237" t="s">
        <v>21</v>
      </c>
      <c r="J136" s="237" t="s">
        <v>4499</v>
      </c>
      <c r="K136" s="240">
        <f>IF(COUNTIF(L136:AY136,"&lt;&gt;")=0,"",SUMPRODUCT(((Recommendations[ImplStatus]="Implemented")+(Recommendations[ImplStatus]="Compensated"))*ISNUMBER(MATCH(Recommendations[Id],L136:AY136,0)))/COUNTIF(L136:AY136,"&lt;&gt;"))</f>
        <v>0</v>
      </c>
      <c r="L136" s="243" t="s">
        <v>14</v>
      </c>
      <c r="M136" s="243" t="s">
        <v>437</v>
      </c>
      <c r="N136" s="243" t="s">
        <v>497</v>
      </c>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4500</v>
      </c>
      <c r="B137" s="237" t="s">
        <v>4501</v>
      </c>
      <c r="C137" s="237" t="s">
        <v>4502</v>
      </c>
      <c r="D137" s="237" t="s">
        <v>4503</v>
      </c>
      <c r="E137" s="237" t="s">
        <v>21</v>
      </c>
      <c r="F137" s="237" t="s">
        <v>21</v>
      </c>
      <c r="G137" s="237" t="s">
        <v>21</v>
      </c>
      <c r="H137" s="237" t="s">
        <v>4504</v>
      </c>
      <c r="I137" s="237" t="s">
        <v>21</v>
      </c>
      <c r="J137" s="237" t="s">
        <v>4505</v>
      </c>
      <c r="K137" s="240">
        <f>IF(COUNTIF(L137:AY137,"&lt;&gt;")=0,"",SUMPRODUCT(((Recommendations[ImplStatus]="Implemented")+(Recommendations[ImplStatus]="Compensated"))*ISNUMBER(MATCH(Recommendations[Id],L137:AY137,0)))/COUNTIF(L137:AY137,"&lt;&gt;"))</f>
        <v>0</v>
      </c>
      <c r="L137" s="243" t="s">
        <v>14</v>
      </c>
      <c r="M137" s="243" t="s">
        <v>437</v>
      </c>
      <c r="N137" s="243" t="s">
        <v>497</v>
      </c>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4506</v>
      </c>
      <c r="B138" s="237" t="s">
        <v>4507</v>
      </c>
      <c r="C138" s="237" t="s">
        <v>4508</v>
      </c>
      <c r="D138" s="237" t="s">
        <v>21</v>
      </c>
      <c r="E138" s="237" t="s">
        <v>21</v>
      </c>
      <c r="F138" s="237" t="s">
        <v>21</v>
      </c>
      <c r="G138" s="237" t="s">
        <v>21</v>
      </c>
      <c r="H138" s="237" t="s">
        <v>4509</v>
      </c>
      <c r="I138" s="237" t="s">
        <v>21</v>
      </c>
      <c r="J138" s="237" t="s">
        <v>4510</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4511</v>
      </c>
      <c r="B139" s="237" t="s">
        <v>4512</v>
      </c>
      <c r="C139" s="237" t="s">
        <v>4513</v>
      </c>
      <c r="D139" s="237" t="s">
        <v>4514</v>
      </c>
      <c r="E139" s="237" t="s">
        <v>21</v>
      </c>
      <c r="F139" s="237" t="s">
        <v>21</v>
      </c>
      <c r="G139" s="237" t="s">
        <v>21</v>
      </c>
      <c r="H139" s="237" t="s">
        <v>4515</v>
      </c>
      <c r="I139" s="237" t="s">
        <v>4516</v>
      </c>
      <c r="J139" s="237" t="s">
        <v>4517</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4518</v>
      </c>
      <c r="B140" s="237" t="s">
        <v>4519</v>
      </c>
      <c r="C140" s="237" t="s">
        <v>4520</v>
      </c>
      <c r="D140" s="237" t="s">
        <v>4521</v>
      </c>
      <c r="E140" s="237" t="s">
        <v>21</v>
      </c>
      <c r="F140" s="237" t="s">
        <v>21</v>
      </c>
      <c r="G140" s="237" t="s">
        <v>21</v>
      </c>
      <c r="H140" s="237" t="s">
        <v>4522</v>
      </c>
      <c r="I140" s="237" t="s">
        <v>4245</v>
      </c>
      <c r="J140" s="237" t="s">
        <v>4523</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4524</v>
      </c>
      <c r="B141" s="237" t="s">
        <v>4525</v>
      </c>
      <c r="C141" s="237" t="s">
        <v>4526</v>
      </c>
      <c r="D141" s="237" t="s">
        <v>21</v>
      </c>
      <c r="E141" s="237" t="s">
        <v>4527</v>
      </c>
      <c r="F141" s="237" t="s">
        <v>21</v>
      </c>
      <c r="G141" s="237" t="s">
        <v>21</v>
      </c>
      <c r="H141" s="237" t="s">
        <v>4528</v>
      </c>
      <c r="I141" s="237" t="s">
        <v>4245</v>
      </c>
      <c r="J141" s="237" t="s">
        <v>4529</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4530</v>
      </c>
      <c r="B142" s="237" t="s">
        <v>4531</v>
      </c>
      <c r="C142" s="237" t="s">
        <v>4532</v>
      </c>
      <c r="D142" s="237" t="s">
        <v>4533</v>
      </c>
      <c r="E142" s="237" t="s">
        <v>4527</v>
      </c>
      <c r="F142" s="237" t="s">
        <v>21</v>
      </c>
      <c r="G142" s="237" t="s">
        <v>21</v>
      </c>
      <c r="H142" s="237" t="s">
        <v>4534</v>
      </c>
      <c r="I142" s="237" t="s">
        <v>4535</v>
      </c>
      <c r="J142" s="237" t="s">
        <v>4536</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1265</v>
      </c>
      <c r="B143" s="236" t="s">
        <v>4537</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4538</v>
      </c>
      <c r="B144" s="237" t="s">
        <v>4539</v>
      </c>
      <c r="C144" s="237" t="s">
        <v>4540</v>
      </c>
      <c r="D144" s="237" t="s">
        <v>21</v>
      </c>
      <c r="E144" s="237" t="s">
        <v>21</v>
      </c>
      <c r="F144" s="237" t="s">
        <v>21</v>
      </c>
      <c r="G144" s="237" t="s">
        <v>21</v>
      </c>
      <c r="H144" s="237" t="s">
        <v>4541</v>
      </c>
      <c r="I144" s="237" t="s">
        <v>21</v>
      </c>
      <c r="J144" s="237" t="s">
        <v>4542</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4543</v>
      </c>
      <c r="B145" s="237" t="s">
        <v>4544</v>
      </c>
      <c r="C145" s="237" t="s">
        <v>4545</v>
      </c>
      <c r="D145" s="237" t="s">
        <v>21</v>
      </c>
      <c r="E145" s="237" t="s">
        <v>21</v>
      </c>
      <c r="F145" s="237" t="s">
        <v>21</v>
      </c>
      <c r="G145" s="237" t="s">
        <v>21</v>
      </c>
      <c r="H145" s="237" t="s">
        <v>4546</v>
      </c>
      <c r="I145" s="237" t="s">
        <v>21</v>
      </c>
      <c r="J145" s="237" t="s">
        <v>4547</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4548</v>
      </c>
      <c r="B146" s="237" t="s">
        <v>4549</v>
      </c>
      <c r="C146" s="237" t="s">
        <v>4550</v>
      </c>
      <c r="D146" s="237" t="s">
        <v>4551</v>
      </c>
      <c r="E146" s="237" t="s">
        <v>21</v>
      </c>
      <c r="F146" s="237" t="s">
        <v>21</v>
      </c>
      <c r="G146" s="237" t="s">
        <v>21</v>
      </c>
      <c r="H146" s="237" t="s">
        <v>4552</v>
      </c>
      <c r="I146" s="237" t="s">
        <v>21</v>
      </c>
      <c r="J146" s="237" t="s">
        <v>4553</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4554</v>
      </c>
      <c r="B147" s="235" t="s">
        <v>4555</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1287</v>
      </c>
      <c r="B148" s="236" t="s">
        <v>4556</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4557</v>
      </c>
      <c r="B149" s="237" t="s">
        <v>4558</v>
      </c>
      <c r="C149" s="237" t="s">
        <v>4559</v>
      </c>
      <c r="D149" s="237" t="s">
        <v>4017</v>
      </c>
      <c r="E149" s="237" t="s">
        <v>3803</v>
      </c>
      <c r="F149" s="237" t="s">
        <v>21</v>
      </c>
      <c r="G149" s="237" t="s">
        <v>21</v>
      </c>
      <c r="H149" s="237" t="s">
        <v>4560</v>
      </c>
      <c r="I149" s="237" t="s">
        <v>21</v>
      </c>
      <c r="J149" s="237" t="s">
        <v>4561</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4562</v>
      </c>
      <c r="B150" s="237" t="s">
        <v>4563</v>
      </c>
      <c r="C150" s="237" t="s">
        <v>3808</v>
      </c>
      <c r="D150" s="237" t="s">
        <v>3809</v>
      </c>
      <c r="E150" s="237" t="s">
        <v>21</v>
      </c>
      <c r="F150" s="237" t="s">
        <v>3811</v>
      </c>
      <c r="G150" s="237" t="s">
        <v>21</v>
      </c>
      <c r="H150" s="237" t="s">
        <v>4564</v>
      </c>
      <c r="I150" s="237" t="s">
        <v>21</v>
      </c>
      <c r="J150" s="237" t="s">
        <v>4565</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1291</v>
      </c>
      <c r="B151" s="236" t="s">
        <v>4566</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4567</v>
      </c>
      <c r="B152" s="237" t="s">
        <v>4568</v>
      </c>
      <c r="C152" s="237" t="s">
        <v>4569</v>
      </c>
      <c r="D152" s="237" t="s">
        <v>21</v>
      </c>
      <c r="E152" s="237" t="s">
        <v>21</v>
      </c>
      <c r="F152" s="237" t="s">
        <v>21</v>
      </c>
      <c r="G152" s="237" t="s">
        <v>21</v>
      </c>
      <c r="H152" s="237" t="s">
        <v>4570</v>
      </c>
      <c r="I152" s="237" t="s">
        <v>4571</v>
      </c>
      <c r="J152" s="237" t="s">
        <v>4572</v>
      </c>
      <c r="K152" s="240">
        <f>IF(COUNTIF(L152:AY152,"&lt;&gt;")=0,"",SUMPRODUCT(((Recommendations[ImplStatus]="Implemented")+(Recommendations[ImplStatus]="Compensated"))*ISNUMBER(MATCH(Recommendations[Id],L152:AY152,0)))/COUNTIF(L152:AY152,"&lt;&gt;"))</f>
        <v>0</v>
      </c>
      <c r="L152" s="243" t="s">
        <v>418</v>
      </c>
      <c r="M152" s="243" t="s">
        <v>423</v>
      </c>
      <c r="N152" s="243" t="s">
        <v>426</v>
      </c>
      <c r="O152" s="243" t="s">
        <v>429</v>
      </c>
      <c r="P152" s="243" t="s">
        <v>432</v>
      </c>
      <c r="Q152" s="243" t="s">
        <v>517</v>
      </c>
      <c r="R152" s="243" t="s">
        <v>557</v>
      </c>
      <c r="S152" s="243" t="s">
        <v>567</v>
      </c>
      <c r="T152" s="243" t="s">
        <v>572</v>
      </c>
      <c r="U152" s="243" t="s">
        <v>577</v>
      </c>
      <c r="V152" s="243" t="s">
        <v>582</v>
      </c>
      <c r="W152" s="243" t="s">
        <v>587</v>
      </c>
      <c r="X152" s="243" t="s">
        <v>591</v>
      </c>
      <c r="Y152" s="243" t="s">
        <v>595</v>
      </c>
      <c r="Z152" s="243" t="s">
        <v>704</v>
      </c>
      <c r="AA152" s="243" t="s">
        <v>714</v>
      </c>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4573</v>
      </c>
      <c r="B153" s="237" t="s">
        <v>4574</v>
      </c>
      <c r="C153" s="237" t="s">
        <v>4575</v>
      </c>
      <c r="D153" s="237" t="s">
        <v>4576</v>
      </c>
      <c r="E153" s="237" t="s">
        <v>21</v>
      </c>
      <c r="F153" s="237" t="s">
        <v>4577</v>
      </c>
      <c r="G153" s="237" t="s">
        <v>21</v>
      </c>
      <c r="H153" s="237" t="s">
        <v>4578</v>
      </c>
      <c r="I153" s="237" t="s">
        <v>4579</v>
      </c>
      <c r="J153" s="237" t="s">
        <v>4580</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4581</v>
      </c>
      <c r="B154" s="237" t="s">
        <v>4582</v>
      </c>
      <c r="C154" s="237" t="s">
        <v>4583</v>
      </c>
      <c r="D154" s="237" t="s">
        <v>21</v>
      </c>
      <c r="E154" s="237" t="s">
        <v>21</v>
      </c>
      <c r="F154" s="237" t="s">
        <v>4584</v>
      </c>
      <c r="G154" s="237" t="s">
        <v>21</v>
      </c>
      <c r="H154" s="237" t="s">
        <v>4585</v>
      </c>
      <c r="I154" s="237" t="s">
        <v>21</v>
      </c>
      <c r="J154" s="237" t="s">
        <v>4586</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4587</v>
      </c>
      <c r="B155" s="237" t="s">
        <v>4588</v>
      </c>
      <c r="C155" s="237" t="s">
        <v>4589</v>
      </c>
      <c r="D155" s="237" t="s">
        <v>21</v>
      </c>
      <c r="E155" s="237" t="s">
        <v>21</v>
      </c>
      <c r="F155" s="237" t="s">
        <v>21</v>
      </c>
      <c r="G155" s="237" t="s">
        <v>21</v>
      </c>
      <c r="H155" s="237" t="s">
        <v>4590</v>
      </c>
      <c r="I155" s="237" t="s">
        <v>4591</v>
      </c>
      <c r="J155" s="237" t="s">
        <v>4592</v>
      </c>
      <c r="K155" s="240">
        <f>IF(COUNTIF(L155:AY155,"&lt;&gt;")=0,"",SUMPRODUCT(((Recommendations[ImplStatus]="Implemented")+(Recommendations[ImplStatus]="Compensated"))*ISNUMBER(MATCH(Recommendations[Id],L155:AY155,0)))/COUNTIF(L155:AY155,"&lt;&gt;"))</f>
        <v>0</v>
      </c>
      <c r="L155" s="243" t="s">
        <v>275</v>
      </c>
      <c r="M155" s="243" t="s">
        <v>411</v>
      </c>
      <c r="N155" s="243" t="s">
        <v>640</v>
      </c>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4593</v>
      </c>
      <c r="B156" s="237" t="s">
        <v>4594</v>
      </c>
      <c r="C156" s="237" t="s">
        <v>4595</v>
      </c>
      <c r="D156" s="237" t="s">
        <v>21</v>
      </c>
      <c r="E156" s="237" t="s">
        <v>21</v>
      </c>
      <c r="F156" s="237" t="s">
        <v>21</v>
      </c>
      <c r="G156" s="237" t="s">
        <v>21</v>
      </c>
      <c r="H156" s="237" t="s">
        <v>4596</v>
      </c>
      <c r="I156" s="237" t="s">
        <v>21</v>
      </c>
      <c r="J156" s="237" t="s">
        <v>4597</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4598</v>
      </c>
      <c r="B157" s="237" t="s">
        <v>4599</v>
      </c>
      <c r="C157" s="237" t="s">
        <v>4600</v>
      </c>
      <c r="D157" s="237" t="s">
        <v>4601</v>
      </c>
      <c r="E157" s="237" t="s">
        <v>21</v>
      </c>
      <c r="F157" s="237" t="s">
        <v>21</v>
      </c>
      <c r="G157" s="237" t="s">
        <v>21</v>
      </c>
      <c r="H157" s="237" t="s">
        <v>4602</v>
      </c>
      <c r="I157" s="237" t="s">
        <v>21</v>
      </c>
      <c r="J157" s="237" t="s">
        <v>4603</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4604</v>
      </c>
      <c r="B158" s="237" t="s">
        <v>4605</v>
      </c>
      <c r="C158" s="237" t="s">
        <v>4606</v>
      </c>
      <c r="D158" s="237" t="s">
        <v>4607</v>
      </c>
      <c r="E158" s="237" t="s">
        <v>21</v>
      </c>
      <c r="F158" s="237" t="s">
        <v>21</v>
      </c>
      <c r="G158" s="237" t="s">
        <v>21</v>
      </c>
      <c r="H158" s="237" t="s">
        <v>21</v>
      </c>
      <c r="I158" s="237" t="s">
        <v>21</v>
      </c>
      <c r="J158" s="237" t="s">
        <v>4608</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4609</v>
      </c>
      <c r="B159" s="237" t="s">
        <v>4610</v>
      </c>
      <c r="C159" s="237" t="s">
        <v>4611</v>
      </c>
      <c r="D159" s="237" t="s">
        <v>4612</v>
      </c>
      <c r="E159" s="237" t="s">
        <v>21</v>
      </c>
      <c r="F159" s="237" t="s">
        <v>4613</v>
      </c>
      <c r="G159" s="237" t="s">
        <v>21</v>
      </c>
      <c r="H159" s="237" t="s">
        <v>4614</v>
      </c>
      <c r="I159" s="237" t="s">
        <v>4615</v>
      </c>
      <c r="J159" s="237" t="s">
        <v>4616</v>
      </c>
      <c r="K159" s="240">
        <f>IF(COUNTIF(L159:AY159,"&lt;&gt;")=0,"",SUMPRODUCT(((Recommendations[ImplStatus]="Implemented")+(Recommendations[ImplStatus]="Compensated"))*ISNUMBER(MATCH(Recommendations[Id],L159:AY159,0)))/COUNTIF(L159:AY159,"&lt;&gt;"))</f>
        <v>0</v>
      </c>
      <c r="L159" s="243" t="s">
        <v>67</v>
      </c>
      <c r="M159" s="243" t="s">
        <v>371</v>
      </c>
      <c r="N159" s="243" t="s">
        <v>452</v>
      </c>
      <c r="O159" s="243" t="s">
        <v>625</v>
      </c>
      <c r="P159" s="243" t="s">
        <v>630</v>
      </c>
      <c r="Q159" s="243" t="s">
        <v>660</v>
      </c>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1295</v>
      </c>
      <c r="B160" s="236" t="s">
        <v>4617</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4618</v>
      </c>
      <c r="B161" s="237" t="s">
        <v>4619</v>
      </c>
      <c r="C161" s="237" t="s">
        <v>4620</v>
      </c>
      <c r="D161" s="237" t="s">
        <v>4621</v>
      </c>
      <c r="E161" s="237" t="s">
        <v>21</v>
      </c>
      <c r="F161" s="237" t="s">
        <v>21</v>
      </c>
      <c r="G161" s="237" t="s">
        <v>4622</v>
      </c>
      <c r="H161" s="237" t="s">
        <v>4623</v>
      </c>
      <c r="I161" s="237" t="s">
        <v>4624</v>
      </c>
      <c r="J161" s="237" t="s">
        <v>4625</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4626</v>
      </c>
      <c r="B162" s="237" t="s">
        <v>4627</v>
      </c>
      <c r="C162" s="237" t="s">
        <v>4628</v>
      </c>
      <c r="D162" s="237" t="s">
        <v>4629</v>
      </c>
      <c r="E162" s="237" t="s">
        <v>21</v>
      </c>
      <c r="F162" s="237" t="s">
        <v>21</v>
      </c>
      <c r="G162" s="237" t="s">
        <v>21</v>
      </c>
      <c r="H162" s="237" t="s">
        <v>4630</v>
      </c>
      <c r="I162" s="237" t="s">
        <v>21</v>
      </c>
      <c r="J162" s="237" t="s">
        <v>4631</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4632</v>
      </c>
      <c r="B163" s="237" t="s">
        <v>4633</v>
      </c>
      <c r="C163" s="237" t="s">
        <v>4634</v>
      </c>
      <c r="D163" s="237" t="s">
        <v>4629</v>
      </c>
      <c r="E163" s="237" t="s">
        <v>21</v>
      </c>
      <c r="F163" s="237" t="s">
        <v>4635</v>
      </c>
      <c r="G163" s="237" t="s">
        <v>21</v>
      </c>
      <c r="H163" s="237" t="s">
        <v>4636</v>
      </c>
      <c r="I163" s="237" t="s">
        <v>21</v>
      </c>
      <c r="J163" s="237" t="s">
        <v>4637</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4638</v>
      </c>
      <c r="B164" s="237" t="s">
        <v>4639</v>
      </c>
      <c r="C164" s="237" t="s">
        <v>4640</v>
      </c>
      <c r="D164" s="237" t="s">
        <v>4641</v>
      </c>
      <c r="E164" s="237" t="s">
        <v>21</v>
      </c>
      <c r="F164" s="237" t="s">
        <v>21</v>
      </c>
      <c r="G164" s="237" t="s">
        <v>21</v>
      </c>
      <c r="H164" s="237" t="s">
        <v>4642</v>
      </c>
      <c r="I164" s="237" t="s">
        <v>4643</v>
      </c>
      <c r="J164" s="237" t="s">
        <v>4644</v>
      </c>
      <c r="K164" s="240">
        <f>IF(COUNTIF(L164:AY164,"&lt;&gt;")=0,"",SUMPRODUCT(((Recommendations[ImplStatus]="Implemented")+(Recommendations[ImplStatus]="Compensated"))*ISNUMBER(MATCH(Recommendations[Id],L164:AY164,0)))/COUNTIF(L164:AY164,"&lt;&gt;"))</f>
        <v>0</v>
      </c>
      <c r="L164" s="243" t="s">
        <v>447</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4645</v>
      </c>
      <c r="B165" s="237" t="s">
        <v>4646</v>
      </c>
      <c r="C165" s="237" t="s">
        <v>4647</v>
      </c>
      <c r="D165" s="237" t="s">
        <v>21</v>
      </c>
      <c r="E165" s="237" t="s">
        <v>21</v>
      </c>
      <c r="F165" s="237" t="s">
        <v>21</v>
      </c>
      <c r="G165" s="237" t="s">
        <v>21</v>
      </c>
      <c r="H165" s="237" t="s">
        <v>4648</v>
      </c>
      <c r="I165" s="237" t="s">
        <v>21</v>
      </c>
      <c r="J165" s="237" t="s">
        <v>4649</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4650</v>
      </c>
      <c r="B166" s="237" t="s">
        <v>4651</v>
      </c>
      <c r="C166" s="237" t="s">
        <v>4652</v>
      </c>
      <c r="D166" s="237" t="s">
        <v>4653</v>
      </c>
      <c r="E166" s="237" t="s">
        <v>21</v>
      </c>
      <c r="F166" s="237" t="s">
        <v>21</v>
      </c>
      <c r="G166" s="237" t="s">
        <v>21</v>
      </c>
      <c r="H166" s="237" t="s">
        <v>4654</v>
      </c>
      <c r="I166" s="237" t="s">
        <v>4655</v>
      </c>
      <c r="J166" s="237" t="s">
        <v>4656</v>
      </c>
      <c r="K166" s="240" t="str">
        <f>IF(COUNTIF(L166:AY166,"&lt;&gt;")=0,"",SUMPRODUCT(((Recommendations[ImplStatus]="Implemented")+(Recommendations[ImplStatus]="Compensated"))*ISNUMBER(MATCH(Recommendations[Id],L166:AY166,0)))/COUNTIF(L166:AY166,"&lt;&gt;"))</f>
        <v/>
      </c>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4657</v>
      </c>
      <c r="B167" s="237" t="s">
        <v>4658</v>
      </c>
      <c r="C167" s="237" t="s">
        <v>4659</v>
      </c>
      <c r="D167" s="237" t="s">
        <v>21</v>
      </c>
      <c r="E167" s="237" t="s">
        <v>21</v>
      </c>
      <c r="F167" s="237" t="s">
        <v>21</v>
      </c>
      <c r="G167" s="237" t="s">
        <v>21</v>
      </c>
      <c r="H167" s="237" t="s">
        <v>4660</v>
      </c>
      <c r="I167" s="237" t="s">
        <v>4661</v>
      </c>
      <c r="J167" s="237" t="s">
        <v>4662</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4663</v>
      </c>
      <c r="B168" s="237" t="s">
        <v>4664</v>
      </c>
      <c r="C168" s="237" t="s">
        <v>4665</v>
      </c>
      <c r="D168" s="237" t="s">
        <v>4666</v>
      </c>
      <c r="E168" s="237" t="s">
        <v>21</v>
      </c>
      <c r="F168" s="237" t="s">
        <v>21</v>
      </c>
      <c r="G168" s="237" t="s">
        <v>21</v>
      </c>
      <c r="H168" s="237" t="s">
        <v>4667</v>
      </c>
      <c r="I168" s="237" t="s">
        <v>21</v>
      </c>
      <c r="J168" s="237" t="s">
        <v>4668</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4669</v>
      </c>
      <c r="B169" s="237" t="s">
        <v>4670</v>
      </c>
      <c r="C169" s="237" t="s">
        <v>4671</v>
      </c>
      <c r="D169" s="237" t="s">
        <v>4672</v>
      </c>
      <c r="E169" s="237" t="s">
        <v>21</v>
      </c>
      <c r="F169" s="237" t="s">
        <v>21</v>
      </c>
      <c r="G169" s="237" t="s">
        <v>4673</v>
      </c>
      <c r="H169" s="237" t="s">
        <v>4674</v>
      </c>
      <c r="I169" s="237" t="s">
        <v>4675</v>
      </c>
      <c r="J169" s="237" t="s">
        <v>4676</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4677</v>
      </c>
      <c r="B170" s="237" t="s">
        <v>4678</v>
      </c>
      <c r="C170" s="237" t="s">
        <v>4679</v>
      </c>
      <c r="D170" s="237" t="s">
        <v>4680</v>
      </c>
      <c r="E170" s="237" t="s">
        <v>21</v>
      </c>
      <c r="F170" s="237" t="s">
        <v>21</v>
      </c>
      <c r="G170" s="237" t="s">
        <v>21</v>
      </c>
      <c r="H170" s="237" t="s">
        <v>4681</v>
      </c>
      <c r="I170" s="237" t="s">
        <v>4682</v>
      </c>
      <c r="J170" s="237" t="s">
        <v>4683</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4684</v>
      </c>
      <c r="B171" s="237" t="s">
        <v>4685</v>
      </c>
      <c r="C171" s="237" t="s">
        <v>4679</v>
      </c>
      <c r="D171" s="237" t="s">
        <v>4686</v>
      </c>
      <c r="E171" s="237" t="s">
        <v>21</v>
      </c>
      <c r="F171" s="237" t="s">
        <v>21</v>
      </c>
      <c r="G171" s="237" t="s">
        <v>4687</v>
      </c>
      <c r="H171" s="237" t="s">
        <v>4681</v>
      </c>
      <c r="I171" s="237" t="s">
        <v>4688</v>
      </c>
      <c r="J171" s="237" t="s">
        <v>4689</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4690</v>
      </c>
      <c r="B172" s="237" t="s">
        <v>4691</v>
      </c>
      <c r="C172" s="237" t="s">
        <v>4692</v>
      </c>
      <c r="D172" s="237" t="s">
        <v>4693</v>
      </c>
      <c r="E172" s="237" t="s">
        <v>21</v>
      </c>
      <c r="F172" s="237" t="s">
        <v>21</v>
      </c>
      <c r="G172" s="237" t="s">
        <v>21</v>
      </c>
      <c r="H172" s="237" t="s">
        <v>4694</v>
      </c>
      <c r="I172" s="237" t="s">
        <v>21</v>
      </c>
      <c r="J172" s="237" t="s">
        <v>4695</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1299</v>
      </c>
      <c r="B173" s="236" t="s">
        <v>4696</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4697</v>
      </c>
      <c r="B174" s="237" t="s">
        <v>4698</v>
      </c>
      <c r="C174" s="237" t="s">
        <v>4699</v>
      </c>
      <c r="D174" s="237" t="s">
        <v>4700</v>
      </c>
      <c r="E174" s="237" t="s">
        <v>4701</v>
      </c>
      <c r="F174" s="237" t="s">
        <v>21</v>
      </c>
      <c r="G174" s="237" t="s">
        <v>21</v>
      </c>
      <c r="H174" s="237" t="s">
        <v>4702</v>
      </c>
      <c r="I174" s="237" t="s">
        <v>4703</v>
      </c>
      <c r="J174" s="237" t="s">
        <v>4704</v>
      </c>
      <c r="K174" s="240">
        <f>IF(COUNTIF(L174:AY174,"&lt;&gt;")=0,"",SUMPRODUCT(((Recommendations[ImplStatus]="Implemented")+(Recommendations[ImplStatus]="Compensated"))*ISNUMBER(MATCH(Recommendations[Id],L174:AY174,0)))/COUNTIF(L174:AY174,"&lt;&gt;"))</f>
        <v>0</v>
      </c>
      <c r="L174" s="243" t="s">
        <v>330</v>
      </c>
      <c r="M174" s="243" t="s">
        <v>356</v>
      </c>
      <c r="N174" s="243" t="s">
        <v>361</v>
      </c>
      <c r="O174" s="243" t="s">
        <v>366</v>
      </c>
      <c r="P174" s="243" t="s">
        <v>391</v>
      </c>
      <c r="Q174" s="243" t="s">
        <v>522</v>
      </c>
      <c r="R174" s="243" t="s">
        <v>562</v>
      </c>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4705</v>
      </c>
      <c r="B175" s="237" t="s">
        <v>4706</v>
      </c>
      <c r="C175" s="237" t="s">
        <v>4707</v>
      </c>
      <c r="D175" s="237" t="s">
        <v>21</v>
      </c>
      <c r="E175" s="237" t="s">
        <v>4708</v>
      </c>
      <c r="F175" s="237" t="s">
        <v>21</v>
      </c>
      <c r="G175" s="237" t="s">
        <v>21</v>
      </c>
      <c r="H175" s="237" t="s">
        <v>4709</v>
      </c>
      <c r="I175" s="237" t="s">
        <v>21</v>
      </c>
      <c r="J175" s="237" t="s">
        <v>4710</v>
      </c>
      <c r="K175" s="240">
        <f>IF(COUNTIF(L175:AY175,"&lt;&gt;")=0,"",SUMPRODUCT(((Recommendations[ImplStatus]="Implemented")+(Recommendations[ImplStatus]="Compensated"))*ISNUMBER(MATCH(Recommendations[Id],L175:AY175,0)))/COUNTIF(L175:AY175,"&lt;&gt;"))</f>
        <v>0</v>
      </c>
      <c r="L175" s="243" t="s">
        <v>330</v>
      </c>
      <c r="M175" s="243" t="s">
        <v>361</v>
      </c>
      <c r="N175" s="243" t="s">
        <v>391</v>
      </c>
      <c r="O175" s="243" t="s">
        <v>517</v>
      </c>
      <c r="P175" s="243" t="s">
        <v>522</v>
      </c>
      <c r="Q175" s="243" t="s">
        <v>562</v>
      </c>
      <c r="R175" s="243" t="s">
        <v>704</v>
      </c>
      <c r="S175" s="243" t="s">
        <v>714</v>
      </c>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4711</v>
      </c>
      <c r="B176" s="237" t="s">
        <v>4712</v>
      </c>
      <c r="C176" s="237" t="s">
        <v>4713</v>
      </c>
      <c r="D176" s="237" t="s">
        <v>21</v>
      </c>
      <c r="E176" s="237" t="s">
        <v>4714</v>
      </c>
      <c r="F176" s="237" t="s">
        <v>21</v>
      </c>
      <c r="G176" s="237" t="s">
        <v>21</v>
      </c>
      <c r="H176" s="237" t="s">
        <v>4715</v>
      </c>
      <c r="I176" s="237" t="s">
        <v>4716</v>
      </c>
      <c r="J176" s="237" t="s">
        <v>4717</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1304</v>
      </c>
      <c r="B177" s="236" t="s">
        <v>4718</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4719</v>
      </c>
      <c r="B178" s="237" t="s">
        <v>4720</v>
      </c>
      <c r="C178" s="237" t="s">
        <v>4721</v>
      </c>
      <c r="D178" s="237" t="s">
        <v>4722</v>
      </c>
      <c r="E178" s="237" t="s">
        <v>4723</v>
      </c>
      <c r="F178" s="237" t="s">
        <v>4724</v>
      </c>
      <c r="G178" s="237" t="s">
        <v>21</v>
      </c>
      <c r="H178" s="237" t="s">
        <v>4725</v>
      </c>
      <c r="I178" s="237" t="s">
        <v>4726</v>
      </c>
      <c r="J178" s="237" t="s">
        <v>4727</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1308</v>
      </c>
      <c r="B179" s="236" t="s">
        <v>4728</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4729</v>
      </c>
      <c r="B180" s="237" t="s">
        <v>4730</v>
      </c>
      <c r="C180" s="237" t="s">
        <v>4731</v>
      </c>
      <c r="D180" s="237" t="s">
        <v>4722</v>
      </c>
      <c r="E180" s="237" t="s">
        <v>4732</v>
      </c>
      <c r="F180" s="237" t="s">
        <v>21</v>
      </c>
      <c r="G180" s="237" t="s">
        <v>21</v>
      </c>
      <c r="H180" s="237" t="s">
        <v>4733</v>
      </c>
      <c r="I180" s="237" t="s">
        <v>4245</v>
      </c>
      <c r="J180" s="237" t="s">
        <v>4734</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4735</v>
      </c>
      <c r="B181" s="237" t="s">
        <v>4736</v>
      </c>
      <c r="C181" s="237" t="s">
        <v>4737</v>
      </c>
      <c r="D181" s="237" t="s">
        <v>4738</v>
      </c>
      <c r="E181" s="237" t="s">
        <v>21</v>
      </c>
      <c r="F181" s="237" t="s">
        <v>21</v>
      </c>
      <c r="G181" s="237" t="s">
        <v>21</v>
      </c>
      <c r="H181" s="237" t="s">
        <v>4739</v>
      </c>
      <c r="I181" s="237" t="s">
        <v>4740</v>
      </c>
      <c r="J181" s="237" t="s">
        <v>4741</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4742</v>
      </c>
      <c r="B182" s="237" t="s">
        <v>4743</v>
      </c>
      <c r="C182" s="237" t="s">
        <v>4744</v>
      </c>
      <c r="D182" s="237" t="s">
        <v>4745</v>
      </c>
      <c r="E182" s="237" t="s">
        <v>21</v>
      </c>
      <c r="F182" s="237" t="s">
        <v>21</v>
      </c>
      <c r="G182" s="237" t="s">
        <v>21</v>
      </c>
      <c r="H182" s="237" t="s">
        <v>4746</v>
      </c>
      <c r="I182" s="237" t="s">
        <v>4245</v>
      </c>
      <c r="J182" s="237" t="s">
        <v>4747</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4748</v>
      </c>
      <c r="B183" s="235" t="s">
        <v>4749</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1338</v>
      </c>
      <c r="B184" s="236" t="s">
        <v>4750</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4751</v>
      </c>
      <c r="B185" s="237" t="s">
        <v>4752</v>
      </c>
      <c r="C185" s="237" t="s">
        <v>4753</v>
      </c>
      <c r="D185" s="237" t="s">
        <v>4017</v>
      </c>
      <c r="E185" s="237" t="s">
        <v>4754</v>
      </c>
      <c r="F185" s="237" t="s">
        <v>21</v>
      </c>
      <c r="G185" s="237" t="s">
        <v>21</v>
      </c>
      <c r="H185" s="237" t="s">
        <v>4755</v>
      </c>
      <c r="I185" s="237" t="s">
        <v>21</v>
      </c>
      <c r="J185" s="237" t="s">
        <v>4756</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4757</v>
      </c>
      <c r="B186" s="237" t="s">
        <v>4758</v>
      </c>
      <c r="C186" s="237" t="s">
        <v>4022</v>
      </c>
      <c r="D186" s="237" t="s">
        <v>4759</v>
      </c>
      <c r="E186" s="237" t="s">
        <v>21</v>
      </c>
      <c r="F186" s="237" t="s">
        <v>21</v>
      </c>
      <c r="G186" s="237" t="s">
        <v>21</v>
      </c>
      <c r="H186" s="237" t="s">
        <v>4760</v>
      </c>
      <c r="I186" s="237" t="s">
        <v>21</v>
      </c>
      <c r="J186" s="237" t="s">
        <v>4761</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1342</v>
      </c>
      <c r="B187" s="236" t="s">
        <v>4762</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4763</v>
      </c>
      <c r="B188" s="237" t="s">
        <v>4764</v>
      </c>
      <c r="C188" s="237" t="s">
        <v>4765</v>
      </c>
      <c r="D188" s="237" t="s">
        <v>4766</v>
      </c>
      <c r="E188" s="237" t="s">
        <v>21</v>
      </c>
      <c r="F188" s="237" t="s">
        <v>4767</v>
      </c>
      <c r="G188" s="237" t="s">
        <v>21</v>
      </c>
      <c r="H188" s="237" t="s">
        <v>4768</v>
      </c>
      <c r="I188" s="237" t="s">
        <v>4769</v>
      </c>
      <c r="J188" s="237" t="s">
        <v>4770</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4771</v>
      </c>
      <c r="B189" s="237" t="s">
        <v>4772</v>
      </c>
      <c r="C189" s="237" t="s">
        <v>4773</v>
      </c>
      <c r="D189" s="237" t="s">
        <v>4774</v>
      </c>
      <c r="E189" s="237" t="s">
        <v>21</v>
      </c>
      <c r="F189" s="237" t="s">
        <v>21</v>
      </c>
      <c r="G189" s="237" t="s">
        <v>21</v>
      </c>
      <c r="H189" s="237" t="s">
        <v>4775</v>
      </c>
      <c r="I189" s="237" t="s">
        <v>21</v>
      </c>
      <c r="J189" s="237" t="s">
        <v>4776</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4777</v>
      </c>
      <c r="B190" s="237" t="s">
        <v>4778</v>
      </c>
      <c r="C190" s="237" t="s">
        <v>4779</v>
      </c>
      <c r="D190" s="237" t="s">
        <v>4780</v>
      </c>
      <c r="E190" s="237" t="s">
        <v>21</v>
      </c>
      <c r="F190" s="237" t="s">
        <v>4781</v>
      </c>
      <c r="G190" s="237" t="s">
        <v>21</v>
      </c>
      <c r="H190" s="237" t="s">
        <v>4782</v>
      </c>
      <c r="I190" s="237" t="s">
        <v>21</v>
      </c>
      <c r="J190" s="237" t="s">
        <v>4783</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4784</v>
      </c>
      <c r="B191" s="237" t="s">
        <v>4785</v>
      </c>
      <c r="C191" s="237" t="s">
        <v>4786</v>
      </c>
      <c r="D191" s="237" t="s">
        <v>21</v>
      </c>
      <c r="E191" s="237" t="s">
        <v>21</v>
      </c>
      <c r="F191" s="237" t="s">
        <v>21</v>
      </c>
      <c r="G191" s="237" t="s">
        <v>21</v>
      </c>
      <c r="H191" s="237" t="s">
        <v>4787</v>
      </c>
      <c r="I191" s="237" t="s">
        <v>21</v>
      </c>
      <c r="J191" s="237" t="s">
        <v>4788</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4789</v>
      </c>
      <c r="B192" s="237" t="s">
        <v>4790</v>
      </c>
      <c r="C192" s="237" t="s">
        <v>4791</v>
      </c>
      <c r="D192" s="237" t="s">
        <v>4792</v>
      </c>
      <c r="E192" s="237" t="s">
        <v>4793</v>
      </c>
      <c r="F192" s="237" t="s">
        <v>21</v>
      </c>
      <c r="G192" s="237" t="s">
        <v>21</v>
      </c>
      <c r="H192" s="237" t="s">
        <v>4794</v>
      </c>
      <c r="I192" s="237" t="s">
        <v>21</v>
      </c>
      <c r="J192" s="237" t="s">
        <v>4795</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1346</v>
      </c>
      <c r="B193" s="236" t="s">
        <v>4796</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4797</v>
      </c>
      <c r="B194" s="237" t="s">
        <v>4798</v>
      </c>
      <c r="C194" s="237" t="s">
        <v>4799</v>
      </c>
      <c r="D194" s="237" t="s">
        <v>4792</v>
      </c>
      <c r="E194" s="237" t="s">
        <v>4793</v>
      </c>
      <c r="F194" s="237" t="s">
        <v>4800</v>
      </c>
      <c r="G194" s="237" t="s">
        <v>21</v>
      </c>
      <c r="H194" s="237" t="s">
        <v>4801</v>
      </c>
      <c r="I194" s="237" t="s">
        <v>21</v>
      </c>
      <c r="J194" s="237" t="s">
        <v>4802</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4803</v>
      </c>
      <c r="B195" s="237" t="s">
        <v>4804</v>
      </c>
      <c r="C195" s="237" t="s">
        <v>4805</v>
      </c>
      <c r="D195" s="237" t="s">
        <v>4806</v>
      </c>
      <c r="E195" s="237" t="s">
        <v>21</v>
      </c>
      <c r="F195" s="237" t="s">
        <v>21</v>
      </c>
      <c r="G195" s="237" t="s">
        <v>21</v>
      </c>
      <c r="H195" s="237" t="s">
        <v>4807</v>
      </c>
      <c r="I195" s="237" t="s">
        <v>21</v>
      </c>
      <c r="J195" s="237" t="s">
        <v>4808</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4809</v>
      </c>
      <c r="B196" s="237" t="s">
        <v>4810</v>
      </c>
      <c r="C196" s="237" t="s">
        <v>4811</v>
      </c>
      <c r="D196" s="237" t="s">
        <v>21</v>
      </c>
      <c r="E196" s="237" t="s">
        <v>4812</v>
      </c>
      <c r="F196" s="237" t="s">
        <v>21</v>
      </c>
      <c r="G196" s="237" t="s">
        <v>21</v>
      </c>
      <c r="H196" s="237" t="s">
        <v>4813</v>
      </c>
      <c r="I196" s="237" t="s">
        <v>21</v>
      </c>
      <c r="J196" s="237" t="s">
        <v>4814</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4815</v>
      </c>
      <c r="B197" s="237" t="s">
        <v>4816</v>
      </c>
      <c r="C197" s="237" t="s">
        <v>4817</v>
      </c>
      <c r="D197" s="237" t="s">
        <v>21</v>
      </c>
      <c r="E197" s="237" t="s">
        <v>21</v>
      </c>
      <c r="F197" s="237" t="s">
        <v>21</v>
      </c>
      <c r="G197" s="237" t="s">
        <v>21</v>
      </c>
      <c r="H197" s="237" t="s">
        <v>4818</v>
      </c>
      <c r="I197" s="237" t="s">
        <v>21</v>
      </c>
      <c r="J197" s="237" t="s">
        <v>4819</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4820</v>
      </c>
      <c r="B198" s="237" t="s">
        <v>4821</v>
      </c>
      <c r="C198" s="237" t="s">
        <v>4822</v>
      </c>
      <c r="D198" s="237" t="s">
        <v>4823</v>
      </c>
      <c r="E198" s="237" t="s">
        <v>21</v>
      </c>
      <c r="F198" s="237" t="s">
        <v>21</v>
      </c>
      <c r="G198" s="237" t="s">
        <v>21</v>
      </c>
      <c r="H198" s="237" t="s">
        <v>4824</v>
      </c>
      <c r="I198" s="237" t="s">
        <v>21</v>
      </c>
      <c r="J198" s="237" t="s">
        <v>4825</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1350</v>
      </c>
      <c r="B199" s="236" t="s">
        <v>4826</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4827</v>
      </c>
      <c r="B200" s="237" t="s">
        <v>4828</v>
      </c>
      <c r="C200" s="237" t="s">
        <v>4829</v>
      </c>
      <c r="D200" s="237" t="s">
        <v>21</v>
      </c>
      <c r="E200" s="237" t="s">
        <v>21</v>
      </c>
      <c r="F200" s="237" t="s">
        <v>21</v>
      </c>
      <c r="G200" s="237" t="s">
        <v>21</v>
      </c>
      <c r="H200" s="237" t="s">
        <v>4830</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4831</v>
      </c>
      <c r="B201" s="237" t="s">
        <v>4832</v>
      </c>
      <c r="C201" s="237" t="s">
        <v>4833</v>
      </c>
      <c r="D201" s="237" t="s">
        <v>4834</v>
      </c>
      <c r="E201" s="237" t="s">
        <v>21</v>
      </c>
      <c r="F201" s="237" t="s">
        <v>21</v>
      </c>
      <c r="G201" s="237" t="s">
        <v>21</v>
      </c>
      <c r="H201" s="237" t="s">
        <v>4835</v>
      </c>
      <c r="I201" s="237" t="s">
        <v>21</v>
      </c>
      <c r="J201" s="237" t="s">
        <v>4836</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4837</v>
      </c>
      <c r="B202" s="237" t="s">
        <v>4838</v>
      </c>
      <c r="C202" s="237" t="s">
        <v>4839</v>
      </c>
      <c r="D202" s="237" t="s">
        <v>21</v>
      </c>
      <c r="E202" s="237" t="s">
        <v>21</v>
      </c>
      <c r="F202" s="237" t="s">
        <v>21</v>
      </c>
      <c r="G202" s="237" t="s">
        <v>21</v>
      </c>
      <c r="H202" s="237" t="s">
        <v>4840</v>
      </c>
      <c r="I202" s="237" t="s">
        <v>21</v>
      </c>
      <c r="J202" s="237" t="s">
        <v>4841</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4842</v>
      </c>
      <c r="B203" s="237" t="s">
        <v>4843</v>
      </c>
      <c r="C203" s="237" t="s">
        <v>4844</v>
      </c>
      <c r="D203" s="237" t="s">
        <v>4845</v>
      </c>
      <c r="E203" s="237" t="s">
        <v>21</v>
      </c>
      <c r="F203" s="237" t="s">
        <v>21</v>
      </c>
      <c r="G203" s="237" t="s">
        <v>21</v>
      </c>
      <c r="H203" s="237" t="s">
        <v>4846</v>
      </c>
      <c r="I203" s="237" t="s">
        <v>21</v>
      </c>
      <c r="J203" s="237" t="s">
        <v>4847</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4848</v>
      </c>
      <c r="B204" s="237" t="s">
        <v>4849</v>
      </c>
      <c r="C204" s="237" t="s">
        <v>4850</v>
      </c>
      <c r="D204" s="237" t="s">
        <v>21</v>
      </c>
      <c r="E204" s="237" t="s">
        <v>21</v>
      </c>
      <c r="F204" s="237" t="s">
        <v>21</v>
      </c>
      <c r="G204" s="237" t="s">
        <v>21</v>
      </c>
      <c r="H204" s="237" t="s">
        <v>4851</v>
      </c>
      <c r="I204" s="237" t="s">
        <v>21</v>
      </c>
      <c r="J204" s="237" t="s">
        <v>4852</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4853</v>
      </c>
      <c r="B205" s="237" t="s">
        <v>4854</v>
      </c>
      <c r="C205" s="237" t="s">
        <v>4855</v>
      </c>
      <c r="D205" s="237" t="s">
        <v>21</v>
      </c>
      <c r="E205" s="237" t="s">
        <v>21</v>
      </c>
      <c r="F205" s="237" t="s">
        <v>21</v>
      </c>
      <c r="G205" s="237" t="s">
        <v>21</v>
      </c>
      <c r="H205" s="237" t="s">
        <v>4856</v>
      </c>
      <c r="I205" s="237" t="s">
        <v>4857</v>
      </c>
      <c r="J205" s="237" t="s">
        <v>4858</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4859</v>
      </c>
      <c r="B206" s="237" t="s">
        <v>4860</v>
      </c>
      <c r="C206" s="237" t="s">
        <v>4861</v>
      </c>
      <c r="D206" s="237" t="s">
        <v>21</v>
      </c>
      <c r="E206" s="237" t="s">
        <v>21</v>
      </c>
      <c r="F206" s="237" t="s">
        <v>21</v>
      </c>
      <c r="G206" s="237" t="s">
        <v>21</v>
      </c>
      <c r="H206" s="237" t="s">
        <v>4862</v>
      </c>
      <c r="I206" s="237" t="s">
        <v>21</v>
      </c>
      <c r="J206" s="237" t="s">
        <v>4863</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4864</v>
      </c>
      <c r="B207" s="237" t="s">
        <v>4865</v>
      </c>
      <c r="C207" s="237" t="s">
        <v>4861</v>
      </c>
      <c r="D207" s="237" t="s">
        <v>4866</v>
      </c>
      <c r="E207" s="237" t="s">
        <v>21</v>
      </c>
      <c r="F207" s="237" t="s">
        <v>21</v>
      </c>
      <c r="G207" s="237" t="s">
        <v>21</v>
      </c>
      <c r="H207" s="237" t="s">
        <v>4867</v>
      </c>
      <c r="I207" s="237" t="s">
        <v>21</v>
      </c>
      <c r="J207" s="237" t="s">
        <v>4868</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4869</v>
      </c>
      <c r="B208" s="237" t="s">
        <v>4870</v>
      </c>
      <c r="C208" s="237" t="s">
        <v>4871</v>
      </c>
      <c r="D208" s="237" t="s">
        <v>4866</v>
      </c>
      <c r="E208" s="237" t="s">
        <v>21</v>
      </c>
      <c r="F208" s="237" t="s">
        <v>4872</v>
      </c>
      <c r="G208" s="237" t="s">
        <v>4873</v>
      </c>
      <c r="H208" s="237" t="s">
        <v>4874</v>
      </c>
      <c r="I208" s="237" t="s">
        <v>4875</v>
      </c>
      <c r="J208" s="237" t="s">
        <v>4876</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4877</v>
      </c>
      <c r="B209" s="237" t="s">
        <v>4878</v>
      </c>
      <c r="C209" s="237" t="s">
        <v>4879</v>
      </c>
      <c r="D209" s="237" t="s">
        <v>4880</v>
      </c>
      <c r="E209" s="237" t="s">
        <v>21</v>
      </c>
      <c r="F209" s="237" t="s">
        <v>4872</v>
      </c>
      <c r="G209" s="237" t="s">
        <v>4881</v>
      </c>
      <c r="H209" s="237" t="s">
        <v>4882</v>
      </c>
      <c r="I209" s="237" t="s">
        <v>4875</v>
      </c>
      <c r="J209" s="237" t="s">
        <v>4883</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1354</v>
      </c>
      <c r="B210" s="236" t="s">
        <v>4884</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4885</v>
      </c>
      <c r="B211" s="237" t="s">
        <v>4886</v>
      </c>
      <c r="C211" s="237" t="s">
        <v>4887</v>
      </c>
      <c r="D211" s="237" t="s">
        <v>4888</v>
      </c>
      <c r="E211" s="237" t="s">
        <v>21</v>
      </c>
      <c r="F211" s="237" t="s">
        <v>21</v>
      </c>
      <c r="G211" s="237" t="s">
        <v>4889</v>
      </c>
      <c r="H211" s="237" t="s">
        <v>4890</v>
      </c>
      <c r="I211" s="237" t="s">
        <v>4891</v>
      </c>
      <c r="J211" s="237" t="s">
        <v>4892</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4893</v>
      </c>
      <c r="B212" s="237" t="s">
        <v>4894</v>
      </c>
      <c r="C212" s="237" t="s">
        <v>4895</v>
      </c>
      <c r="D212" s="237" t="s">
        <v>4896</v>
      </c>
      <c r="E212" s="237" t="s">
        <v>21</v>
      </c>
      <c r="F212" s="237" t="s">
        <v>4897</v>
      </c>
      <c r="G212" s="237" t="s">
        <v>21</v>
      </c>
      <c r="H212" s="237" t="s">
        <v>21</v>
      </c>
      <c r="I212" s="237" t="s">
        <v>21</v>
      </c>
      <c r="J212" s="237" t="s">
        <v>4898</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4899</v>
      </c>
      <c r="B213" s="237" t="s">
        <v>4900</v>
      </c>
      <c r="C213" s="237" t="s">
        <v>4901</v>
      </c>
      <c r="D213" s="237" t="s">
        <v>4902</v>
      </c>
      <c r="E213" s="237" t="s">
        <v>21</v>
      </c>
      <c r="F213" s="237" t="s">
        <v>4903</v>
      </c>
      <c r="G213" s="237" t="s">
        <v>21</v>
      </c>
      <c r="H213" s="237" t="s">
        <v>4904</v>
      </c>
      <c r="I213" s="237" t="s">
        <v>21</v>
      </c>
      <c r="J213" s="237" t="s">
        <v>4905</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4906</v>
      </c>
      <c r="B214" s="237" t="s">
        <v>4907</v>
      </c>
      <c r="C214" s="237" t="s">
        <v>4908</v>
      </c>
      <c r="D214" s="237" t="s">
        <v>4909</v>
      </c>
      <c r="E214" s="237" t="s">
        <v>21</v>
      </c>
      <c r="F214" s="237" t="s">
        <v>21</v>
      </c>
      <c r="G214" s="237" t="s">
        <v>21</v>
      </c>
      <c r="H214" s="237" t="s">
        <v>4910</v>
      </c>
      <c r="I214" s="237" t="s">
        <v>4245</v>
      </c>
      <c r="J214" s="237" t="s">
        <v>4911</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4912</v>
      </c>
      <c r="B215" s="237" t="s">
        <v>4913</v>
      </c>
      <c r="C215" s="237" t="s">
        <v>4914</v>
      </c>
      <c r="D215" s="237" t="s">
        <v>4915</v>
      </c>
      <c r="E215" s="237" t="s">
        <v>21</v>
      </c>
      <c r="F215" s="237" t="s">
        <v>21</v>
      </c>
      <c r="G215" s="237" t="s">
        <v>21</v>
      </c>
      <c r="H215" s="237" t="s">
        <v>4916</v>
      </c>
      <c r="I215" s="237" t="s">
        <v>21</v>
      </c>
      <c r="J215" s="237" t="s">
        <v>4917</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4918</v>
      </c>
      <c r="B216" s="235" t="s">
        <v>4919</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1368</v>
      </c>
      <c r="B217" s="236" t="s">
        <v>4920</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4921</v>
      </c>
      <c r="B218" s="237" t="s">
        <v>4922</v>
      </c>
      <c r="C218" s="237" t="s">
        <v>4923</v>
      </c>
      <c r="D218" s="237" t="s">
        <v>4017</v>
      </c>
      <c r="E218" s="237" t="s">
        <v>3803</v>
      </c>
      <c r="F218" s="237" t="s">
        <v>21</v>
      </c>
      <c r="G218" s="237" t="s">
        <v>21</v>
      </c>
      <c r="H218" s="237" t="s">
        <v>4924</v>
      </c>
      <c r="I218" s="237" t="s">
        <v>21</v>
      </c>
      <c r="J218" s="237" t="s">
        <v>4925</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4926</v>
      </c>
      <c r="B219" s="237" t="s">
        <v>4927</v>
      </c>
      <c r="C219" s="237" t="s">
        <v>3808</v>
      </c>
      <c r="D219" s="237" t="s">
        <v>3809</v>
      </c>
      <c r="E219" s="237" t="s">
        <v>21</v>
      </c>
      <c r="F219" s="237" t="s">
        <v>3811</v>
      </c>
      <c r="G219" s="237" t="s">
        <v>21</v>
      </c>
      <c r="H219" s="237" t="s">
        <v>4928</v>
      </c>
      <c r="I219" s="237" t="s">
        <v>21</v>
      </c>
      <c r="J219" s="237" t="s">
        <v>4929</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1372</v>
      </c>
      <c r="B220" s="236" t="s">
        <v>4930</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4931</v>
      </c>
      <c r="B221" s="237" t="s">
        <v>4932</v>
      </c>
      <c r="C221" s="237" t="s">
        <v>4933</v>
      </c>
      <c r="D221" s="237" t="s">
        <v>4934</v>
      </c>
      <c r="E221" s="237" t="s">
        <v>21</v>
      </c>
      <c r="F221" s="237" t="s">
        <v>21</v>
      </c>
      <c r="G221" s="237" t="s">
        <v>21</v>
      </c>
      <c r="H221" s="237" t="s">
        <v>4935</v>
      </c>
      <c r="I221" s="237" t="s">
        <v>21</v>
      </c>
      <c r="J221" s="237" t="s">
        <v>4936</v>
      </c>
      <c r="K221" s="240">
        <f>IF(COUNTIF(L221:AY221,"&lt;&gt;")=0,"",SUMPRODUCT(((Recommendations[ImplStatus]="Implemented")+(Recommendations[ImplStatus]="Compensated"))*ISNUMBER(MATCH(Recommendations[Id],L221:AY221,0)))/COUNTIF(L221:AY221,"&lt;&gt;"))</f>
        <v>0</v>
      </c>
      <c r="L221" s="243" t="s">
        <v>25</v>
      </c>
      <c r="M221" s="243" t="s">
        <v>30</v>
      </c>
      <c r="N221" s="243" t="s">
        <v>34</v>
      </c>
      <c r="O221" s="243" t="s">
        <v>39</v>
      </c>
      <c r="P221" s="243" t="s">
        <v>137</v>
      </c>
      <c r="Q221" s="243" t="s">
        <v>153</v>
      </c>
      <c r="R221" s="243" t="s">
        <v>418</v>
      </c>
      <c r="S221" s="243" t="s">
        <v>423</v>
      </c>
      <c r="T221" s="243" t="s">
        <v>426</v>
      </c>
      <c r="U221" s="243" t="s">
        <v>429</v>
      </c>
      <c r="V221" s="243" t="s">
        <v>432</v>
      </c>
      <c r="W221" s="243" t="s">
        <v>457</v>
      </c>
      <c r="X221" s="243" t="s">
        <v>462</v>
      </c>
      <c r="Y221" s="243" t="s">
        <v>465</v>
      </c>
      <c r="Z221" s="243" t="s">
        <v>467</v>
      </c>
      <c r="AA221" s="243" t="s">
        <v>471</v>
      </c>
      <c r="AB221" s="243" t="s">
        <v>475</v>
      </c>
      <c r="AC221" s="243" t="s">
        <v>477</v>
      </c>
      <c r="AD221" s="243" t="s">
        <v>482</v>
      </c>
      <c r="AE221" s="243" t="s">
        <v>492</v>
      </c>
      <c r="AF221" s="243" t="s">
        <v>679</v>
      </c>
      <c r="AG221" s="243" t="s">
        <v>699</v>
      </c>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4937</v>
      </c>
      <c r="B222" s="237" t="s">
        <v>4938</v>
      </c>
      <c r="C222" s="237" t="s">
        <v>4939</v>
      </c>
      <c r="D222" s="237" t="s">
        <v>4940</v>
      </c>
      <c r="E222" s="237" t="s">
        <v>21</v>
      </c>
      <c r="F222" s="237" t="s">
        <v>21</v>
      </c>
      <c r="G222" s="237" t="s">
        <v>21</v>
      </c>
      <c r="H222" s="237" t="s">
        <v>4941</v>
      </c>
      <c r="I222" s="237" t="s">
        <v>21</v>
      </c>
      <c r="J222" s="237" t="s">
        <v>4942</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4943</v>
      </c>
      <c r="B223" s="237" t="s">
        <v>4944</v>
      </c>
      <c r="C223" s="237" t="s">
        <v>4945</v>
      </c>
      <c r="D223" s="237" t="s">
        <v>21</v>
      </c>
      <c r="E223" s="237" t="s">
        <v>4946</v>
      </c>
      <c r="F223" s="237" t="s">
        <v>21</v>
      </c>
      <c r="G223" s="237" t="s">
        <v>21</v>
      </c>
      <c r="H223" s="237" t="s">
        <v>4947</v>
      </c>
      <c r="I223" s="237" t="s">
        <v>21</v>
      </c>
      <c r="J223" s="237" t="s">
        <v>4948</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4949</v>
      </c>
      <c r="B224" s="237" t="s">
        <v>4950</v>
      </c>
      <c r="C224" s="237" t="s">
        <v>4951</v>
      </c>
      <c r="D224" s="237" t="s">
        <v>21</v>
      </c>
      <c r="E224" s="237" t="s">
        <v>21</v>
      </c>
      <c r="F224" s="237" t="s">
        <v>21</v>
      </c>
      <c r="G224" s="237" t="s">
        <v>21</v>
      </c>
      <c r="H224" s="237" t="s">
        <v>4952</v>
      </c>
      <c r="I224" s="237" t="s">
        <v>21</v>
      </c>
      <c r="J224" s="237" t="s">
        <v>4953</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4954</v>
      </c>
      <c r="B225" s="237" t="s">
        <v>4955</v>
      </c>
      <c r="C225" s="237" t="s">
        <v>4956</v>
      </c>
      <c r="D225" s="237" t="s">
        <v>21</v>
      </c>
      <c r="E225" s="237" t="s">
        <v>21</v>
      </c>
      <c r="F225" s="237" t="s">
        <v>21</v>
      </c>
      <c r="G225" s="237" t="s">
        <v>21</v>
      </c>
      <c r="H225" s="237" t="s">
        <v>4957</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4958</v>
      </c>
      <c r="B226" s="237" t="s">
        <v>4959</v>
      </c>
      <c r="C226" s="237" t="s">
        <v>4960</v>
      </c>
      <c r="D226" s="237" t="s">
        <v>21</v>
      </c>
      <c r="E226" s="237" t="s">
        <v>21</v>
      </c>
      <c r="F226" s="237" t="s">
        <v>21</v>
      </c>
      <c r="G226" s="237" t="s">
        <v>21</v>
      </c>
      <c r="H226" s="237" t="s">
        <v>4961</v>
      </c>
      <c r="I226" s="237" t="s">
        <v>21</v>
      </c>
      <c r="J226" s="237" t="s">
        <v>4962</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4963</v>
      </c>
      <c r="B227" s="237" t="s">
        <v>4964</v>
      </c>
      <c r="C227" s="237" t="s">
        <v>4965</v>
      </c>
      <c r="D227" s="237" t="s">
        <v>21</v>
      </c>
      <c r="E227" s="237" t="s">
        <v>21</v>
      </c>
      <c r="F227" s="237" t="s">
        <v>21</v>
      </c>
      <c r="G227" s="237" t="s">
        <v>21</v>
      </c>
      <c r="H227" s="237" t="s">
        <v>4966</v>
      </c>
      <c r="I227" s="237" t="s">
        <v>21</v>
      </c>
      <c r="J227" s="237" t="s">
        <v>4967</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4968</v>
      </c>
      <c r="B228" s="237" t="s">
        <v>4969</v>
      </c>
      <c r="C228" s="237" t="s">
        <v>4970</v>
      </c>
      <c r="D228" s="237" t="s">
        <v>21</v>
      </c>
      <c r="E228" s="237" t="s">
        <v>21</v>
      </c>
      <c r="F228" s="237" t="s">
        <v>21</v>
      </c>
      <c r="G228" s="237" t="s">
        <v>21</v>
      </c>
      <c r="H228" s="237" t="s">
        <v>4971</v>
      </c>
      <c r="I228" s="237" t="s">
        <v>21</v>
      </c>
      <c r="J228" s="237" t="s">
        <v>4972</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4973</v>
      </c>
      <c r="B229" s="237" t="s">
        <v>4974</v>
      </c>
      <c r="C229" s="237" t="s">
        <v>4975</v>
      </c>
      <c r="D229" s="237" t="s">
        <v>21</v>
      </c>
      <c r="E229" s="237" t="s">
        <v>21</v>
      </c>
      <c r="F229" s="237" t="s">
        <v>21</v>
      </c>
      <c r="G229" s="237" t="s">
        <v>21</v>
      </c>
      <c r="H229" s="237" t="s">
        <v>4976</v>
      </c>
      <c r="I229" s="237" t="s">
        <v>21</v>
      </c>
      <c r="J229" s="237" t="s">
        <v>4977</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1376</v>
      </c>
      <c r="B230" s="236" t="s">
        <v>4978</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4979</v>
      </c>
      <c r="B231" s="237" t="s">
        <v>4980</v>
      </c>
      <c r="C231" s="237" t="s">
        <v>4981</v>
      </c>
      <c r="D231" s="237" t="s">
        <v>4982</v>
      </c>
      <c r="E231" s="237" t="s">
        <v>21</v>
      </c>
      <c r="F231" s="237" t="s">
        <v>21</v>
      </c>
      <c r="G231" s="237" t="s">
        <v>21</v>
      </c>
      <c r="H231" s="237" t="s">
        <v>4983</v>
      </c>
      <c r="I231" s="237" t="s">
        <v>21</v>
      </c>
      <c r="J231" s="237" t="s">
        <v>4984</v>
      </c>
      <c r="K231" s="240">
        <f>IF(COUNTIF(L231:AY231,"&lt;&gt;")=0,"",SUMPRODUCT(((Recommendations[ImplStatus]="Implemented")+(Recommendations[ImplStatus]="Compensated"))*ISNUMBER(MATCH(Recommendations[Id],L231:AY231,0)))/COUNTIF(L231:AY231,"&lt;&gt;"))</f>
        <v>0</v>
      </c>
      <c r="L231" s="243" t="s">
        <v>34</v>
      </c>
      <c r="M231" s="243" t="s">
        <v>39</v>
      </c>
      <c r="N231" s="243" t="s">
        <v>457</v>
      </c>
      <c r="O231" s="243" t="s">
        <v>462</v>
      </c>
      <c r="P231" s="243" t="s">
        <v>465</v>
      </c>
      <c r="Q231" s="243" t="s">
        <v>467</v>
      </c>
      <c r="R231" s="243" t="s">
        <v>471</v>
      </c>
      <c r="S231" s="243" t="s">
        <v>475</v>
      </c>
      <c r="T231" s="243" t="s">
        <v>477</v>
      </c>
      <c r="U231" s="243" t="s">
        <v>482</v>
      </c>
      <c r="V231" s="243" t="s">
        <v>679</v>
      </c>
      <c r="W231" s="243" t="s">
        <v>699</v>
      </c>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4985</v>
      </c>
      <c r="B232" s="237" t="s">
        <v>4986</v>
      </c>
      <c r="C232" s="237" t="s">
        <v>4987</v>
      </c>
      <c r="D232" s="237" t="s">
        <v>4988</v>
      </c>
      <c r="E232" s="237" t="s">
        <v>21</v>
      </c>
      <c r="F232" s="237" t="s">
        <v>21</v>
      </c>
      <c r="G232" s="237" t="s">
        <v>21</v>
      </c>
      <c r="H232" s="237" t="s">
        <v>4989</v>
      </c>
      <c r="I232" s="237" t="s">
        <v>21</v>
      </c>
      <c r="J232" s="237" t="s">
        <v>4990</v>
      </c>
      <c r="K232" s="240">
        <f>IF(COUNTIF(L232:AY232,"&lt;&gt;")=0,"",SUMPRODUCT(((Recommendations[ImplStatus]="Implemented")+(Recommendations[ImplStatus]="Compensated"))*ISNUMBER(MATCH(Recommendations[Id],L232:AY232,0)))/COUNTIF(L232:AY232,"&lt;&gt;"))</f>
        <v>0</v>
      </c>
      <c r="L232" s="243" t="s">
        <v>689</v>
      </c>
      <c r="M232" s="243" t="s">
        <v>709</v>
      </c>
      <c r="N232" s="243" t="s">
        <v>728</v>
      </c>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4991</v>
      </c>
      <c r="B233" s="237" t="s">
        <v>4992</v>
      </c>
      <c r="C233" s="237" t="s">
        <v>4993</v>
      </c>
      <c r="D233" s="237" t="s">
        <v>4994</v>
      </c>
      <c r="E233" s="237" t="s">
        <v>21</v>
      </c>
      <c r="F233" s="237" t="s">
        <v>21</v>
      </c>
      <c r="G233" s="237" t="s">
        <v>21</v>
      </c>
      <c r="H233" s="237" t="s">
        <v>4995</v>
      </c>
      <c r="I233" s="237" t="s">
        <v>21</v>
      </c>
      <c r="J233" s="237" t="s">
        <v>4996</v>
      </c>
      <c r="K233" s="240">
        <f>IF(COUNTIF(L233:AY233,"&lt;&gt;")=0,"",SUMPRODUCT(((Recommendations[ImplStatus]="Implemented")+(Recommendations[ImplStatus]="Compensated"))*ISNUMBER(MATCH(Recommendations[Id],L233:AY233,0)))/COUNTIF(L233:AY233,"&lt;&gt;"))</f>
        <v>0</v>
      </c>
      <c r="L233" s="243" t="s">
        <v>689</v>
      </c>
      <c r="M233" s="243" t="s">
        <v>709</v>
      </c>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4997</v>
      </c>
      <c r="B234" s="237" t="s">
        <v>4998</v>
      </c>
      <c r="C234" s="237" t="s">
        <v>4999</v>
      </c>
      <c r="D234" s="237" t="s">
        <v>5000</v>
      </c>
      <c r="E234" s="237" t="s">
        <v>21</v>
      </c>
      <c r="F234" s="237" t="s">
        <v>21</v>
      </c>
      <c r="G234" s="237" t="s">
        <v>21</v>
      </c>
      <c r="H234" s="237" t="s">
        <v>5001</v>
      </c>
      <c r="I234" s="237" t="s">
        <v>21</v>
      </c>
      <c r="J234" s="237" t="s">
        <v>5002</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1380</v>
      </c>
      <c r="B235" s="236" t="s">
        <v>5003</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5004</v>
      </c>
      <c r="B236" s="237" t="s">
        <v>5005</v>
      </c>
      <c r="C236" s="237" t="s">
        <v>5006</v>
      </c>
      <c r="D236" s="237" t="s">
        <v>5007</v>
      </c>
      <c r="E236" s="237" t="s">
        <v>21</v>
      </c>
      <c r="F236" s="237" t="s">
        <v>21</v>
      </c>
      <c r="G236" s="237" t="s">
        <v>21</v>
      </c>
      <c r="H236" s="237" t="s">
        <v>5008</v>
      </c>
      <c r="I236" s="237" t="s">
        <v>21</v>
      </c>
      <c r="J236" s="237" t="s">
        <v>5009</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5010</v>
      </c>
      <c r="B237" s="237" t="s">
        <v>5011</v>
      </c>
      <c r="C237" s="237" t="s">
        <v>5012</v>
      </c>
      <c r="D237" s="237" t="s">
        <v>5013</v>
      </c>
      <c r="E237" s="237" t="s">
        <v>21</v>
      </c>
      <c r="F237" s="237" t="s">
        <v>21</v>
      </c>
      <c r="G237" s="237" t="s">
        <v>5014</v>
      </c>
      <c r="H237" s="237" t="s">
        <v>5015</v>
      </c>
      <c r="I237" s="237" t="s">
        <v>4245</v>
      </c>
      <c r="J237" s="237" t="s">
        <v>5016</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5017</v>
      </c>
      <c r="B238" s="237" t="s">
        <v>5018</v>
      </c>
      <c r="C238" s="237" t="s">
        <v>5019</v>
      </c>
      <c r="D238" s="237" t="s">
        <v>21</v>
      </c>
      <c r="E238" s="237" t="s">
        <v>21</v>
      </c>
      <c r="F238" s="237" t="s">
        <v>21</v>
      </c>
      <c r="G238" s="237" t="s">
        <v>21</v>
      </c>
      <c r="H238" s="237" t="s">
        <v>5020</v>
      </c>
      <c r="I238" s="237" t="s">
        <v>5021</v>
      </c>
      <c r="J238" s="237" t="s">
        <v>5022</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5023</v>
      </c>
      <c r="B239" s="237" t="s">
        <v>5024</v>
      </c>
      <c r="C239" s="237" t="s">
        <v>5025</v>
      </c>
      <c r="D239" s="237" t="s">
        <v>21</v>
      </c>
      <c r="E239" s="237" t="s">
        <v>21</v>
      </c>
      <c r="F239" s="237" t="s">
        <v>21</v>
      </c>
      <c r="G239" s="237" t="s">
        <v>21</v>
      </c>
      <c r="H239" s="237" t="s">
        <v>5026</v>
      </c>
      <c r="I239" s="237" t="s">
        <v>4245</v>
      </c>
      <c r="J239" s="237" t="s">
        <v>5027</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5028</v>
      </c>
      <c r="B240" s="237" t="s">
        <v>5029</v>
      </c>
      <c r="C240" s="237" t="s">
        <v>5030</v>
      </c>
      <c r="D240" s="237" t="s">
        <v>5031</v>
      </c>
      <c r="E240" s="237" t="s">
        <v>21</v>
      </c>
      <c r="F240" s="237" t="s">
        <v>21</v>
      </c>
      <c r="G240" s="237" t="s">
        <v>21</v>
      </c>
      <c r="H240" s="237" t="s">
        <v>5032</v>
      </c>
      <c r="I240" s="237" t="s">
        <v>21</v>
      </c>
      <c r="J240" s="237" t="s">
        <v>5033</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1384</v>
      </c>
      <c r="B241" s="236" t="s">
        <v>5034</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5035</v>
      </c>
      <c r="B242" s="237" t="s">
        <v>5036</v>
      </c>
      <c r="C242" s="237" t="s">
        <v>5037</v>
      </c>
      <c r="D242" s="237" t="s">
        <v>21</v>
      </c>
      <c r="E242" s="237" t="s">
        <v>21</v>
      </c>
      <c r="F242" s="237" t="s">
        <v>5038</v>
      </c>
      <c r="G242" s="237" t="s">
        <v>21</v>
      </c>
      <c r="H242" s="237" t="s">
        <v>5039</v>
      </c>
      <c r="I242" s="237" t="s">
        <v>21</v>
      </c>
      <c r="J242" s="237" t="s">
        <v>5040</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1388</v>
      </c>
      <c r="B243" s="236" t="s">
        <v>5041</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5042</v>
      </c>
      <c r="B244" s="237" t="s">
        <v>5043</v>
      </c>
      <c r="C244" s="237" t="s">
        <v>5044</v>
      </c>
      <c r="D244" s="237" t="s">
        <v>21</v>
      </c>
      <c r="E244" s="237" t="s">
        <v>21</v>
      </c>
      <c r="F244" s="237" t="s">
        <v>5045</v>
      </c>
      <c r="G244" s="237" t="s">
        <v>21</v>
      </c>
      <c r="H244" s="237" t="s">
        <v>5046</v>
      </c>
      <c r="I244" s="237" t="s">
        <v>5047</v>
      </c>
      <c r="J244" s="237" t="s">
        <v>5048</v>
      </c>
      <c r="K244" s="240">
        <f>IF(COUNTIF(L244:AY244,"&lt;&gt;")=0,"",SUMPRODUCT(((Recommendations[ImplStatus]="Implemented")+(Recommendations[ImplStatus]="Compensated"))*ISNUMBER(MATCH(Recommendations[Id],L244:AY244,0)))/COUNTIF(L244:AY244,"&lt;&gt;"))</f>
        <v>0</v>
      </c>
      <c r="L244" s="243" t="s">
        <v>492</v>
      </c>
      <c r="M244" s="243" t="s">
        <v>512</v>
      </c>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5049</v>
      </c>
      <c r="B245" s="237" t="s">
        <v>5050</v>
      </c>
      <c r="C245" s="237" t="s">
        <v>5051</v>
      </c>
      <c r="D245" s="237" t="s">
        <v>5052</v>
      </c>
      <c r="E245" s="237" t="s">
        <v>21</v>
      </c>
      <c r="F245" s="237" t="s">
        <v>21</v>
      </c>
      <c r="G245" s="237" t="s">
        <v>21</v>
      </c>
      <c r="H245" s="237" t="s">
        <v>5053</v>
      </c>
      <c r="I245" s="237" t="s">
        <v>21</v>
      </c>
      <c r="J245" s="237" t="s">
        <v>5054</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5055</v>
      </c>
      <c r="B246" s="237" t="s">
        <v>5056</v>
      </c>
      <c r="C246" s="237" t="s">
        <v>5057</v>
      </c>
      <c r="D246" s="237" t="s">
        <v>21</v>
      </c>
      <c r="E246" s="237" t="s">
        <v>21</v>
      </c>
      <c r="F246" s="237" t="s">
        <v>21</v>
      </c>
      <c r="G246" s="237" t="s">
        <v>21</v>
      </c>
      <c r="H246" s="237" t="s">
        <v>5058</v>
      </c>
      <c r="I246" s="237" t="s">
        <v>21</v>
      </c>
      <c r="J246" s="237" t="s">
        <v>5059</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1392</v>
      </c>
      <c r="B247" s="236" t="s">
        <v>5060</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5061</v>
      </c>
      <c r="B248" s="237" t="s">
        <v>5062</v>
      </c>
      <c r="C248" s="237" t="s">
        <v>5063</v>
      </c>
      <c r="D248" s="237" t="s">
        <v>5064</v>
      </c>
      <c r="E248" s="237" t="s">
        <v>21</v>
      </c>
      <c r="F248" s="237" t="s">
        <v>21</v>
      </c>
      <c r="G248" s="237" t="s">
        <v>21</v>
      </c>
      <c r="H248" s="237" t="s">
        <v>5065</v>
      </c>
      <c r="I248" s="237" t="s">
        <v>5066</v>
      </c>
      <c r="J248" s="237" t="s">
        <v>5067</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5068</v>
      </c>
      <c r="B249" s="237" t="s">
        <v>5069</v>
      </c>
      <c r="C249" s="237" t="s">
        <v>5063</v>
      </c>
      <c r="D249" s="237" t="s">
        <v>5070</v>
      </c>
      <c r="E249" s="237" t="s">
        <v>21</v>
      </c>
      <c r="F249" s="237" t="s">
        <v>21</v>
      </c>
      <c r="G249" s="237" t="s">
        <v>21</v>
      </c>
      <c r="H249" s="237" t="s">
        <v>5065</v>
      </c>
      <c r="I249" s="237" t="s">
        <v>5071</v>
      </c>
      <c r="J249" s="237" t="s">
        <v>5072</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5073</v>
      </c>
      <c r="B250" s="237" t="s">
        <v>5074</v>
      </c>
      <c r="C250" s="237" t="s">
        <v>5075</v>
      </c>
      <c r="D250" s="237" t="s">
        <v>5076</v>
      </c>
      <c r="E250" s="237" t="s">
        <v>21</v>
      </c>
      <c r="F250" s="237" t="s">
        <v>21</v>
      </c>
      <c r="G250" s="237" t="s">
        <v>21</v>
      </c>
      <c r="H250" s="237" t="s">
        <v>5077</v>
      </c>
      <c r="I250" s="237" t="s">
        <v>21</v>
      </c>
      <c r="J250" s="237" t="s">
        <v>5078</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5079</v>
      </c>
      <c r="B251" s="235" t="s">
        <v>5080</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1398</v>
      </c>
      <c r="B252" s="236" t="s">
        <v>5081</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5082</v>
      </c>
      <c r="B253" s="237" t="s">
        <v>5083</v>
      </c>
      <c r="C253" s="237" t="s">
        <v>5084</v>
      </c>
      <c r="D253" s="237" t="s">
        <v>4017</v>
      </c>
      <c r="E253" s="237" t="s">
        <v>3803</v>
      </c>
      <c r="F253" s="237" t="s">
        <v>21</v>
      </c>
      <c r="G253" s="237" t="s">
        <v>21</v>
      </c>
      <c r="H253" s="237" t="s">
        <v>5085</v>
      </c>
      <c r="I253" s="237" t="s">
        <v>21</v>
      </c>
      <c r="J253" s="237" t="s">
        <v>5086</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5087</v>
      </c>
      <c r="B254" s="237" t="s">
        <v>5088</v>
      </c>
      <c r="C254" s="237" t="s">
        <v>3808</v>
      </c>
      <c r="D254" s="237" t="s">
        <v>3809</v>
      </c>
      <c r="E254" s="237" t="s">
        <v>21</v>
      </c>
      <c r="F254" s="237" t="s">
        <v>3811</v>
      </c>
      <c r="G254" s="237" t="s">
        <v>21</v>
      </c>
      <c r="H254" s="237" t="s">
        <v>5089</v>
      </c>
      <c r="I254" s="237" t="s">
        <v>21</v>
      </c>
      <c r="J254" s="237" t="s">
        <v>5090</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1402</v>
      </c>
      <c r="B255" s="236" t="s">
        <v>5091</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5092</v>
      </c>
      <c r="B256" s="237" t="s">
        <v>5093</v>
      </c>
      <c r="C256" s="237" t="s">
        <v>5094</v>
      </c>
      <c r="D256" s="237" t="s">
        <v>5095</v>
      </c>
      <c r="E256" s="237" t="s">
        <v>5096</v>
      </c>
      <c r="F256" s="237" t="s">
        <v>5097</v>
      </c>
      <c r="G256" s="237" t="s">
        <v>21</v>
      </c>
      <c r="H256" s="237" t="s">
        <v>5098</v>
      </c>
      <c r="I256" s="237" t="s">
        <v>21</v>
      </c>
      <c r="J256" s="237" t="s">
        <v>5099</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5100</v>
      </c>
      <c r="B257" s="237" t="s">
        <v>5101</v>
      </c>
      <c r="C257" s="237" t="s">
        <v>5102</v>
      </c>
      <c r="D257" s="237" t="s">
        <v>5103</v>
      </c>
      <c r="E257" s="237" t="s">
        <v>21</v>
      </c>
      <c r="F257" s="237" t="s">
        <v>21</v>
      </c>
      <c r="G257" s="237" t="s">
        <v>21</v>
      </c>
      <c r="H257" s="237" t="s">
        <v>5104</v>
      </c>
      <c r="I257" s="237" t="s">
        <v>21</v>
      </c>
      <c r="J257" s="237" t="s">
        <v>5105</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1407</v>
      </c>
      <c r="B258" s="236" t="s">
        <v>5106</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5107</v>
      </c>
      <c r="B259" s="237" t="s">
        <v>5108</v>
      </c>
      <c r="C259" s="237" t="s">
        <v>5109</v>
      </c>
      <c r="D259" s="237" t="s">
        <v>5110</v>
      </c>
      <c r="E259" s="237" t="s">
        <v>5111</v>
      </c>
      <c r="F259" s="237" t="s">
        <v>21</v>
      </c>
      <c r="G259" s="237" t="s">
        <v>21</v>
      </c>
      <c r="H259" s="237" t="s">
        <v>5112</v>
      </c>
      <c r="I259" s="237" t="s">
        <v>21</v>
      </c>
      <c r="J259" s="237" t="s">
        <v>5113</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5114</v>
      </c>
      <c r="B260" s="237" t="s">
        <v>5115</v>
      </c>
      <c r="C260" s="237" t="s">
        <v>5116</v>
      </c>
      <c r="D260" s="237" t="s">
        <v>21</v>
      </c>
      <c r="E260" s="237" t="s">
        <v>21</v>
      </c>
      <c r="F260" s="237" t="s">
        <v>21</v>
      </c>
      <c r="G260" s="237" t="s">
        <v>21</v>
      </c>
      <c r="H260" s="237" t="s">
        <v>5117</v>
      </c>
      <c r="I260" s="237" t="s">
        <v>5118</v>
      </c>
      <c r="J260" s="237" t="s">
        <v>5119</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5120</v>
      </c>
      <c r="B261" s="237" t="s">
        <v>5121</v>
      </c>
      <c r="C261" s="237" t="s">
        <v>5122</v>
      </c>
      <c r="D261" s="237" t="s">
        <v>5123</v>
      </c>
      <c r="E261" s="237" t="s">
        <v>21</v>
      </c>
      <c r="F261" s="237" t="s">
        <v>21</v>
      </c>
      <c r="G261" s="237" t="s">
        <v>21</v>
      </c>
      <c r="H261" s="237" t="s">
        <v>5124</v>
      </c>
      <c r="I261" s="237" t="s">
        <v>5125</v>
      </c>
      <c r="J261" s="237" t="s">
        <v>5126</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5127</v>
      </c>
      <c r="B262" s="237" t="s">
        <v>5128</v>
      </c>
      <c r="C262" s="237" t="s">
        <v>5129</v>
      </c>
      <c r="D262" s="237" t="s">
        <v>5130</v>
      </c>
      <c r="E262" s="237" t="s">
        <v>21</v>
      </c>
      <c r="F262" s="237" t="s">
        <v>21</v>
      </c>
      <c r="G262" s="237" t="s">
        <v>21</v>
      </c>
      <c r="H262" s="237" t="s">
        <v>5131</v>
      </c>
      <c r="I262" s="237" t="s">
        <v>5132</v>
      </c>
      <c r="J262" s="237" t="s">
        <v>5133</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5134</v>
      </c>
      <c r="B263" s="237" t="s">
        <v>5135</v>
      </c>
      <c r="C263" s="237" t="s">
        <v>5136</v>
      </c>
      <c r="D263" s="237" t="s">
        <v>5137</v>
      </c>
      <c r="E263" s="237" t="s">
        <v>21</v>
      </c>
      <c r="F263" s="237" t="s">
        <v>21</v>
      </c>
      <c r="G263" s="237" t="s">
        <v>5138</v>
      </c>
      <c r="H263" s="237" t="s">
        <v>4041</v>
      </c>
      <c r="I263" s="237" t="s">
        <v>5139</v>
      </c>
      <c r="J263" s="237" t="s">
        <v>5140</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5141</v>
      </c>
      <c r="B264" s="237" t="s">
        <v>5142</v>
      </c>
      <c r="C264" s="237" t="s">
        <v>5129</v>
      </c>
      <c r="D264" s="237" t="s">
        <v>5143</v>
      </c>
      <c r="E264" s="237" t="s">
        <v>21</v>
      </c>
      <c r="F264" s="237" t="s">
        <v>21</v>
      </c>
      <c r="G264" s="237" t="s">
        <v>21</v>
      </c>
      <c r="H264" s="237" t="s">
        <v>5144</v>
      </c>
      <c r="I264" s="237" t="s">
        <v>21</v>
      </c>
      <c r="J264" s="237" t="s">
        <v>5145</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1411</v>
      </c>
      <c r="B265" s="236" t="s">
        <v>5146</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5147</v>
      </c>
      <c r="B266" s="237" t="s">
        <v>5148</v>
      </c>
      <c r="C266" s="237" t="s">
        <v>5149</v>
      </c>
      <c r="D266" s="237" t="s">
        <v>5150</v>
      </c>
      <c r="E266" s="237" t="s">
        <v>5151</v>
      </c>
      <c r="F266" s="237" t="s">
        <v>21</v>
      </c>
      <c r="G266" s="237" t="s">
        <v>5152</v>
      </c>
      <c r="H266" s="237" t="s">
        <v>5153</v>
      </c>
      <c r="I266" s="237" t="s">
        <v>5154</v>
      </c>
      <c r="J266" s="237" t="s">
        <v>5155</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5156</v>
      </c>
      <c r="B267" s="237" t="s">
        <v>5157</v>
      </c>
      <c r="C267" s="237" t="s">
        <v>5158</v>
      </c>
      <c r="D267" s="237" t="s">
        <v>5159</v>
      </c>
      <c r="E267" s="237" t="s">
        <v>21</v>
      </c>
      <c r="F267" s="237" t="s">
        <v>21</v>
      </c>
      <c r="G267" s="237" t="s">
        <v>21</v>
      </c>
      <c r="H267" s="237" t="s">
        <v>5160</v>
      </c>
      <c r="I267" s="237" t="s">
        <v>21</v>
      </c>
      <c r="J267" s="237" t="s">
        <v>5161</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5162</v>
      </c>
      <c r="B268" s="237" t="s">
        <v>5163</v>
      </c>
      <c r="C268" s="237" t="s">
        <v>5164</v>
      </c>
      <c r="D268" s="237" t="s">
        <v>5159</v>
      </c>
      <c r="E268" s="237" t="s">
        <v>21</v>
      </c>
      <c r="F268" s="237" t="s">
        <v>21</v>
      </c>
      <c r="G268" s="237" t="s">
        <v>5165</v>
      </c>
      <c r="H268" s="237" t="s">
        <v>5166</v>
      </c>
      <c r="I268" s="237" t="s">
        <v>21</v>
      </c>
      <c r="J268" s="237" t="s">
        <v>5167</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5168</v>
      </c>
      <c r="B269" s="237" t="s">
        <v>5169</v>
      </c>
      <c r="C269" s="237" t="s">
        <v>5164</v>
      </c>
      <c r="D269" s="237" t="s">
        <v>5170</v>
      </c>
      <c r="E269" s="237" t="s">
        <v>21</v>
      </c>
      <c r="F269" s="237" t="s">
        <v>21</v>
      </c>
      <c r="G269" s="237" t="s">
        <v>21</v>
      </c>
      <c r="H269" s="237" t="s">
        <v>5171</v>
      </c>
      <c r="I269" s="237" t="s">
        <v>21</v>
      </c>
      <c r="J269" s="237" t="s">
        <v>5172</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5173</v>
      </c>
      <c r="B270" s="237" t="s">
        <v>5174</v>
      </c>
      <c r="C270" s="237" t="s">
        <v>5175</v>
      </c>
      <c r="D270" s="237" t="s">
        <v>5176</v>
      </c>
      <c r="E270" s="237" t="s">
        <v>21</v>
      </c>
      <c r="F270" s="237" t="s">
        <v>21</v>
      </c>
      <c r="G270" s="237" t="s">
        <v>21</v>
      </c>
      <c r="H270" s="237" t="s">
        <v>5177</v>
      </c>
      <c r="I270" s="237" t="s">
        <v>21</v>
      </c>
      <c r="J270" s="237" t="s">
        <v>5178</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5179</v>
      </c>
      <c r="B271" s="237" t="s">
        <v>5180</v>
      </c>
      <c r="C271" s="237" t="s">
        <v>5181</v>
      </c>
      <c r="D271" s="237" t="s">
        <v>5182</v>
      </c>
      <c r="E271" s="237" t="s">
        <v>21</v>
      </c>
      <c r="F271" s="237" t="s">
        <v>21</v>
      </c>
      <c r="G271" s="237" t="s">
        <v>21</v>
      </c>
      <c r="H271" s="237" t="s">
        <v>5183</v>
      </c>
      <c r="I271" s="237" t="s">
        <v>5184</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5185</v>
      </c>
      <c r="B272" s="237" t="s">
        <v>5186</v>
      </c>
      <c r="C272" s="237" t="s">
        <v>5187</v>
      </c>
      <c r="D272" s="237" t="s">
        <v>5188</v>
      </c>
      <c r="E272" s="237" t="s">
        <v>21</v>
      </c>
      <c r="F272" s="237" t="s">
        <v>21</v>
      </c>
      <c r="G272" s="237" t="s">
        <v>21</v>
      </c>
      <c r="H272" s="237" t="s">
        <v>5189</v>
      </c>
      <c r="I272" s="237" t="s">
        <v>5190</v>
      </c>
      <c r="J272" s="237" t="s">
        <v>5191</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1415</v>
      </c>
      <c r="B273" s="236" t="s">
        <v>5192</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5193</v>
      </c>
      <c r="B274" s="237" t="s">
        <v>5194</v>
      </c>
      <c r="C274" s="237" t="s">
        <v>5195</v>
      </c>
      <c r="D274" s="237" t="s">
        <v>5188</v>
      </c>
      <c r="E274" s="237" t="s">
        <v>5196</v>
      </c>
      <c r="F274" s="237" t="s">
        <v>21</v>
      </c>
      <c r="G274" s="237" t="s">
        <v>21</v>
      </c>
      <c r="H274" s="237" t="s">
        <v>5197</v>
      </c>
      <c r="I274" s="237" t="s">
        <v>21</v>
      </c>
      <c r="J274" s="237" t="s">
        <v>5198</v>
      </c>
      <c r="K274" s="240">
        <f>IF(COUNTIF(L274:AY274,"&lt;&gt;")=0,"",SUMPRODUCT(((Recommendations[ImplStatus]="Implemented")+(Recommendations[ImplStatus]="Compensated"))*ISNUMBER(MATCH(Recommendations[Id],L274:AY274,0)))/COUNTIF(L274:AY274,"&lt;&gt;"))</f>
        <v>0</v>
      </c>
      <c r="L274" s="243" t="s">
        <v>72</v>
      </c>
      <c r="M274" s="243" t="s">
        <v>78</v>
      </c>
      <c r="N274" s="243" t="s">
        <v>83</v>
      </c>
      <c r="O274" s="243" t="s">
        <v>87</v>
      </c>
      <c r="P274" s="243" t="s">
        <v>112</v>
      </c>
      <c r="Q274" s="243" t="s">
        <v>117</v>
      </c>
      <c r="R274" s="243" t="s">
        <v>143</v>
      </c>
      <c r="S274" s="243" t="s">
        <v>148</v>
      </c>
      <c r="T274" s="243" t="s">
        <v>158</v>
      </c>
      <c r="U274" s="243" t="s">
        <v>163</v>
      </c>
      <c r="V274" s="243" t="s">
        <v>168</v>
      </c>
      <c r="W274" s="243" t="s">
        <v>173</v>
      </c>
      <c r="X274" s="243" t="s">
        <v>178</v>
      </c>
      <c r="Y274" s="243" t="s">
        <v>183</v>
      </c>
      <c r="Z274" s="243" t="s">
        <v>188</v>
      </c>
      <c r="AA274" s="243" t="s">
        <v>193</v>
      </c>
      <c r="AB274" s="243" t="s">
        <v>197</v>
      </c>
      <c r="AC274" s="243" t="s">
        <v>202</v>
      </c>
      <c r="AD274" s="243" t="s">
        <v>207</v>
      </c>
      <c r="AE274" s="243" t="s">
        <v>212</v>
      </c>
      <c r="AF274" s="243" t="s">
        <v>217</v>
      </c>
      <c r="AG274" s="243" t="s">
        <v>222</v>
      </c>
      <c r="AH274" s="243" t="s">
        <v>226</v>
      </c>
      <c r="AI274" s="243" t="s">
        <v>245</v>
      </c>
      <c r="AJ274" s="243" t="s">
        <v>250</v>
      </c>
      <c r="AK274" s="243" t="s">
        <v>255</v>
      </c>
      <c r="AL274" s="243" t="s">
        <v>265</v>
      </c>
      <c r="AM274" s="243" t="s">
        <v>270</v>
      </c>
      <c r="AN274" s="243" t="s">
        <v>291</v>
      </c>
      <c r="AO274" s="243" t="s">
        <v>326</v>
      </c>
      <c r="AP274" s="243" t="s">
        <v>635</v>
      </c>
      <c r="AQ274" s="243"/>
      <c r="AR274" s="243"/>
      <c r="AS274" s="243"/>
      <c r="AT274" s="243"/>
      <c r="AU274" s="243"/>
      <c r="AV274" s="243"/>
      <c r="AW274" s="243"/>
      <c r="AX274" s="243"/>
      <c r="AY274" s="253"/>
    </row>
    <row r="275" spans="1:51" ht="60" customHeight="1" x14ac:dyDescent="0.35">
      <c r="A275" s="249" t="s">
        <v>5199</v>
      </c>
      <c r="B275" s="237" t="s">
        <v>5200</v>
      </c>
      <c r="C275" s="237" t="s">
        <v>5201</v>
      </c>
      <c r="D275" s="237" t="s">
        <v>5202</v>
      </c>
      <c r="E275" s="237" t="s">
        <v>21</v>
      </c>
      <c r="F275" s="237" t="s">
        <v>21</v>
      </c>
      <c r="G275" s="237" t="s">
        <v>21</v>
      </c>
      <c r="H275" s="237" t="s">
        <v>5203</v>
      </c>
      <c r="I275" s="237" t="s">
        <v>21</v>
      </c>
      <c r="J275" s="237" t="s">
        <v>5204</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5205</v>
      </c>
      <c r="B276" s="237" t="s">
        <v>5206</v>
      </c>
      <c r="C276" s="237" t="s">
        <v>5207</v>
      </c>
      <c r="D276" s="237" t="s">
        <v>5208</v>
      </c>
      <c r="E276" s="237" t="s">
        <v>21</v>
      </c>
      <c r="F276" s="237" t="s">
        <v>5209</v>
      </c>
      <c r="G276" s="237" t="s">
        <v>21</v>
      </c>
      <c r="H276" s="237" t="s">
        <v>5210</v>
      </c>
      <c r="I276" s="237" t="s">
        <v>5211</v>
      </c>
      <c r="J276" s="237" t="s">
        <v>5212</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5213</v>
      </c>
      <c r="B277" s="236" t="s">
        <v>5214</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5215</v>
      </c>
      <c r="B278" s="237" t="s">
        <v>5216</v>
      </c>
      <c r="C278" s="237" t="s">
        <v>5217</v>
      </c>
      <c r="D278" s="237" t="s">
        <v>5218</v>
      </c>
      <c r="E278" s="237" t="s">
        <v>21</v>
      </c>
      <c r="F278" s="237" t="s">
        <v>5219</v>
      </c>
      <c r="G278" s="237" t="s">
        <v>21</v>
      </c>
      <c r="H278" s="237" t="s">
        <v>5220</v>
      </c>
      <c r="I278" s="237" t="s">
        <v>21</v>
      </c>
      <c r="J278" s="237" t="s">
        <v>5221</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5222</v>
      </c>
      <c r="B279" s="235" t="s">
        <v>5223</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1421</v>
      </c>
      <c r="B280" s="236" t="s">
        <v>5224</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5225</v>
      </c>
      <c r="B281" s="237" t="s">
        <v>5226</v>
      </c>
      <c r="C281" s="237" t="s">
        <v>5227</v>
      </c>
      <c r="D281" s="237" t="s">
        <v>5228</v>
      </c>
      <c r="E281" s="237" t="s">
        <v>5229</v>
      </c>
      <c r="F281" s="237" t="s">
        <v>21</v>
      </c>
      <c r="G281" s="237" t="s">
        <v>21</v>
      </c>
      <c r="H281" s="237" t="s">
        <v>5230</v>
      </c>
      <c r="I281" s="237" t="s">
        <v>21</v>
      </c>
      <c r="J281" s="237" t="s">
        <v>5231</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5232</v>
      </c>
      <c r="B282" s="237" t="s">
        <v>5233</v>
      </c>
      <c r="C282" s="237" t="s">
        <v>5234</v>
      </c>
      <c r="D282" s="237" t="s">
        <v>21</v>
      </c>
      <c r="E282" s="237" t="s">
        <v>21</v>
      </c>
      <c r="F282" s="237" t="s">
        <v>21</v>
      </c>
      <c r="G282" s="237" t="s">
        <v>21</v>
      </c>
      <c r="H282" s="237" t="s">
        <v>5235</v>
      </c>
      <c r="I282" s="237" t="s">
        <v>21</v>
      </c>
      <c r="J282" s="237" t="s">
        <v>5236</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5237</v>
      </c>
      <c r="B283" s="237" t="s">
        <v>5238</v>
      </c>
      <c r="C283" s="237" t="s">
        <v>5239</v>
      </c>
      <c r="D283" s="237" t="s">
        <v>21</v>
      </c>
      <c r="E283" s="237" t="s">
        <v>21</v>
      </c>
      <c r="F283" s="237" t="s">
        <v>21</v>
      </c>
      <c r="G283" s="237" t="s">
        <v>21</v>
      </c>
      <c r="H283" s="237" t="s">
        <v>5240</v>
      </c>
      <c r="I283" s="237" t="s">
        <v>21</v>
      </c>
      <c r="J283" s="237" t="s">
        <v>5241</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5242</v>
      </c>
      <c r="B284" s="237" t="s">
        <v>5243</v>
      </c>
      <c r="C284" s="237" t="s">
        <v>5244</v>
      </c>
      <c r="D284" s="237" t="s">
        <v>5245</v>
      </c>
      <c r="E284" s="237" t="s">
        <v>21</v>
      </c>
      <c r="F284" s="237" t="s">
        <v>21</v>
      </c>
      <c r="G284" s="237" t="s">
        <v>21</v>
      </c>
      <c r="H284" s="237" t="s">
        <v>5246</v>
      </c>
      <c r="I284" s="237" t="s">
        <v>21</v>
      </c>
      <c r="J284" s="237" t="s">
        <v>5247</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1425</v>
      </c>
      <c r="B285" s="236" t="s">
        <v>5248</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5249</v>
      </c>
      <c r="B286" s="237" t="s">
        <v>5250</v>
      </c>
      <c r="C286" s="237" t="s">
        <v>5251</v>
      </c>
      <c r="D286" s="237" t="s">
        <v>5252</v>
      </c>
      <c r="E286" s="237" t="s">
        <v>21</v>
      </c>
      <c r="F286" s="237" t="s">
        <v>21</v>
      </c>
      <c r="G286" s="237" t="s">
        <v>21</v>
      </c>
      <c r="H286" s="237" t="s">
        <v>5253</v>
      </c>
      <c r="I286" s="237" t="s">
        <v>5254</v>
      </c>
      <c r="J286" s="237" t="s">
        <v>5255</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1429</v>
      </c>
      <c r="B287" s="236" t="s">
        <v>5256</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5257</v>
      </c>
      <c r="B288" s="237" t="s">
        <v>5258</v>
      </c>
      <c r="C288" s="237" t="s">
        <v>5259</v>
      </c>
      <c r="D288" s="237" t="s">
        <v>5260</v>
      </c>
      <c r="E288" s="237" t="s">
        <v>5261</v>
      </c>
      <c r="F288" s="237" t="s">
        <v>5262</v>
      </c>
      <c r="G288" s="237" t="s">
        <v>5263</v>
      </c>
      <c r="H288" s="237" t="s">
        <v>5264</v>
      </c>
      <c r="I288" s="237" t="s">
        <v>4245</v>
      </c>
      <c r="J288" s="237" t="s">
        <v>5265</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5266</v>
      </c>
      <c r="B289" s="237" t="s">
        <v>5267</v>
      </c>
      <c r="C289" s="237" t="s">
        <v>5268</v>
      </c>
      <c r="D289" s="237" t="s">
        <v>21</v>
      </c>
      <c r="E289" s="237" t="s">
        <v>5261</v>
      </c>
      <c r="F289" s="237" t="s">
        <v>21</v>
      </c>
      <c r="G289" s="237" t="s">
        <v>5269</v>
      </c>
      <c r="H289" s="237" t="s">
        <v>5270</v>
      </c>
      <c r="I289" s="237" t="s">
        <v>5271</v>
      </c>
      <c r="J289" s="237" t="s">
        <v>5272</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5273</v>
      </c>
      <c r="B290" s="237" t="s">
        <v>5274</v>
      </c>
      <c r="C290" s="237" t="s">
        <v>5275</v>
      </c>
      <c r="D290" s="237" t="s">
        <v>21</v>
      </c>
      <c r="E290" s="237" t="s">
        <v>5276</v>
      </c>
      <c r="F290" s="237" t="s">
        <v>21</v>
      </c>
      <c r="G290" s="237" t="s">
        <v>5277</v>
      </c>
      <c r="H290" s="237" t="s">
        <v>5278</v>
      </c>
      <c r="I290" s="237" t="s">
        <v>5279</v>
      </c>
      <c r="J290" s="237" t="s">
        <v>5280</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5281</v>
      </c>
      <c r="B291" s="237" t="s">
        <v>5282</v>
      </c>
      <c r="C291" s="237" t="s">
        <v>5283</v>
      </c>
      <c r="D291" s="237" t="s">
        <v>21</v>
      </c>
      <c r="E291" s="237" t="s">
        <v>21</v>
      </c>
      <c r="F291" s="237" t="s">
        <v>21</v>
      </c>
      <c r="G291" s="237" t="s">
        <v>21</v>
      </c>
      <c r="H291" s="237" t="s">
        <v>5284</v>
      </c>
      <c r="I291" s="237" t="s">
        <v>4245</v>
      </c>
      <c r="J291" s="237" t="s">
        <v>5285</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1433</v>
      </c>
      <c r="B292" s="236" t="s">
        <v>5286</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5287</v>
      </c>
      <c r="B293" s="237" t="s">
        <v>5288</v>
      </c>
      <c r="C293" s="237" t="s">
        <v>5289</v>
      </c>
      <c r="D293" s="237" t="s">
        <v>5290</v>
      </c>
      <c r="E293" s="237" t="s">
        <v>21</v>
      </c>
      <c r="F293" s="237" t="s">
        <v>21</v>
      </c>
      <c r="G293" s="237" t="s">
        <v>21</v>
      </c>
      <c r="H293" s="237" t="s">
        <v>5291</v>
      </c>
      <c r="I293" s="237" t="s">
        <v>5292</v>
      </c>
      <c r="J293" s="237" t="s">
        <v>5293</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5294</v>
      </c>
      <c r="B294" s="237" t="s">
        <v>5295</v>
      </c>
      <c r="C294" s="237" t="s">
        <v>5296</v>
      </c>
      <c r="D294" s="237" t="s">
        <v>5290</v>
      </c>
      <c r="E294" s="237" t="s">
        <v>21</v>
      </c>
      <c r="F294" s="237" t="s">
        <v>5297</v>
      </c>
      <c r="G294" s="237" t="s">
        <v>21</v>
      </c>
      <c r="H294" s="237" t="s">
        <v>5298</v>
      </c>
      <c r="I294" s="237" t="s">
        <v>4215</v>
      </c>
      <c r="J294" s="237" t="s">
        <v>5299</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5300</v>
      </c>
      <c r="B295" s="237" t="s">
        <v>5301</v>
      </c>
      <c r="C295" s="237" t="s">
        <v>5302</v>
      </c>
      <c r="D295" s="237" t="s">
        <v>5303</v>
      </c>
      <c r="E295" s="237" t="s">
        <v>21</v>
      </c>
      <c r="F295" s="237" t="s">
        <v>21</v>
      </c>
      <c r="G295" s="237" t="s">
        <v>21</v>
      </c>
      <c r="H295" s="237" t="s">
        <v>5304</v>
      </c>
      <c r="I295" s="237" t="s">
        <v>4215</v>
      </c>
      <c r="J295" s="237" t="s">
        <v>5305</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1437</v>
      </c>
      <c r="B296" s="236" t="s">
        <v>5306</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5307</v>
      </c>
      <c r="B297" s="237" t="s">
        <v>5308</v>
      </c>
      <c r="C297" s="237" t="s">
        <v>5309</v>
      </c>
      <c r="D297" s="237" t="s">
        <v>5303</v>
      </c>
      <c r="E297" s="237" t="s">
        <v>21</v>
      </c>
      <c r="F297" s="237" t="s">
        <v>5310</v>
      </c>
      <c r="G297" s="237" t="s">
        <v>21</v>
      </c>
      <c r="H297" s="237" t="s">
        <v>5311</v>
      </c>
      <c r="I297" s="237" t="s">
        <v>21</v>
      </c>
      <c r="J297" s="237" t="s">
        <v>5312</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5313</v>
      </c>
      <c r="B298" s="237" t="s">
        <v>5314</v>
      </c>
      <c r="C298" s="237" t="s">
        <v>5315</v>
      </c>
      <c r="D298" s="237" t="s">
        <v>5316</v>
      </c>
      <c r="E298" s="237" t="s">
        <v>21</v>
      </c>
      <c r="F298" s="237" t="s">
        <v>21</v>
      </c>
      <c r="G298" s="237" t="s">
        <v>5317</v>
      </c>
      <c r="H298" s="237" t="s">
        <v>5318</v>
      </c>
      <c r="I298" s="237" t="s">
        <v>5318</v>
      </c>
      <c r="J298" s="237" t="s">
        <v>5319</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5320</v>
      </c>
      <c r="B299" s="237" t="s">
        <v>5321</v>
      </c>
      <c r="C299" s="237" t="s">
        <v>5322</v>
      </c>
      <c r="D299" s="237" t="s">
        <v>21</v>
      </c>
      <c r="E299" s="237" t="s">
        <v>21</v>
      </c>
      <c r="F299" s="237" t="s">
        <v>21</v>
      </c>
      <c r="G299" s="237" t="s">
        <v>21</v>
      </c>
      <c r="H299" s="237" t="s">
        <v>5323</v>
      </c>
      <c r="I299" s="237" t="s">
        <v>5324</v>
      </c>
      <c r="J299" s="237" t="s">
        <v>5325</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5326</v>
      </c>
      <c r="B300" s="237" t="s">
        <v>5327</v>
      </c>
      <c r="C300" s="237" t="s">
        <v>5328</v>
      </c>
      <c r="D300" s="237" t="s">
        <v>21</v>
      </c>
      <c r="E300" s="237" t="s">
        <v>21</v>
      </c>
      <c r="F300" s="237" t="s">
        <v>5329</v>
      </c>
      <c r="G300" s="237" t="s">
        <v>21</v>
      </c>
      <c r="H300" s="237" t="s">
        <v>5330</v>
      </c>
      <c r="I300" s="237" t="s">
        <v>5324</v>
      </c>
      <c r="J300" s="237" t="s">
        <v>5331</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1441</v>
      </c>
      <c r="B301" s="236" t="s">
        <v>5332</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5333</v>
      </c>
      <c r="B302" s="237" t="s">
        <v>5334</v>
      </c>
      <c r="C302" s="237" t="s">
        <v>5335</v>
      </c>
      <c r="D302" s="237" t="s">
        <v>21</v>
      </c>
      <c r="E302" s="237" t="s">
        <v>21</v>
      </c>
      <c r="F302" s="237" t="s">
        <v>21</v>
      </c>
      <c r="G302" s="237" t="s">
        <v>21</v>
      </c>
      <c r="H302" s="237" t="s">
        <v>5336</v>
      </c>
      <c r="I302" s="237" t="s">
        <v>21</v>
      </c>
      <c r="J302" s="237" t="s">
        <v>5337</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5338</v>
      </c>
      <c r="B303" s="237" t="s">
        <v>5339</v>
      </c>
      <c r="C303" s="237" t="s">
        <v>5340</v>
      </c>
      <c r="D303" s="237" t="s">
        <v>5341</v>
      </c>
      <c r="E303" s="237" t="s">
        <v>21</v>
      </c>
      <c r="F303" s="237" t="s">
        <v>21</v>
      </c>
      <c r="G303" s="237" t="s">
        <v>21</v>
      </c>
      <c r="H303" s="237" t="s">
        <v>5342</v>
      </c>
      <c r="I303" s="237" t="s">
        <v>4245</v>
      </c>
      <c r="J303" s="237" t="s">
        <v>5343</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5344</v>
      </c>
      <c r="B304" s="237" t="s">
        <v>5345</v>
      </c>
      <c r="C304" s="237" t="s">
        <v>5346</v>
      </c>
      <c r="D304" s="237" t="s">
        <v>5341</v>
      </c>
      <c r="E304" s="237" t="s">
        <v>21</v>
      </c>
      <c r="F304" s="237" t="s">
        <v>5347</v>
      </c>
      <c r="G304" s="237" t="s">
        <v>21</v>
      </c>
      <c r="H304" s="237" t="s">
        <v>5348</v>
      </c>
      <c r="I304" s="237" t="s">
        <v>21</v>
      </c>
      <c r="J304" s="237" t="s">
        <v>5349</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5350</v>
      </c>
      <c r="B305" s="237" t="s">
        <v>5351</v>
      </c>
      <c r="C305" s="237" t="s">
        <v>5352</v>
      </c>
      <c r="D305" s="237" t="s">
        <v>5353</v>
      </c>
      <c r="E305" s="237" t="s">
        <v>21</v>
      </c>
      <c r="F305" s="237" t="s">
        <v>21</v>
      </c>
      <c r="G305" s="237" t="s">
        <v>21</v>
      </c>
      <c r="H305" s="237" t="s">
        <v>5354</v>
      </c>
      <c r="I305" s="237" t="s">
        <v>5355</v>
      </c>
      <c r="J305" s="237" t="s">
        <v>5356</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5357</v>
      </c>
      <c r="B306" s="237" t="s">
        <v>5358</v>
      </c>
      <c r="C306" s="237" t="s">
        <v>5359</v>
      </c>
      <c r="D306" s="237" t="s">
        <v>5360</v>
      </c>
      <c r="E306" s="237" t="s">
        <v>21</v>
      </c>
      <c r="F306" s="237" t="s">
        <v>21</v>
      </c>
      <c r="G306" s="237" t="s">
        <v>21</v>
      </c>
      <c r="H306" s="237" t="s">
        <v>5361</v>
      </c>
      <c r="I306" s="237" t="s">
        <v>4245</v>
      </c>
      <c r="J306" s="237" t="s">
        <v>5362</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1445</v>
      </c>
      <c r="B307" s="236" t="s">
        <v>5363</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5364</v>
      </c>
      <c r="B308" s="237" t="s">
        <v>5365</v>
      </c>
      <c r="C308" s="237" t="s">
        <v>5366</v>
      </c>
      <c r="D308" s="237" t="s">
        <v>5360</v>
      </c>
      <c r="E308" s="237" t="s">
        <v>21</v>
      </c>
      <c r="F308" s="237" t="s">
        <v>5367</v>
      </c>
      <c r="G308" s="237" t="s">
        <v>21</v>
      </c>
      <c r="H308" s="237" t="s">
        <v>5368</v>
      </c>
      <c r="I308" s="237" t="s">
        <v>5369</v>
      </c>
      <c r="J308" s="237" t="s">
        <v>5370</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1449</v>
      </c>
      <c r="B309" s="236" t="s">
        <v>5371</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5372</v>
      </c>
      <c r="B310" s="237" t="s">
        <v>5373</v>
      </c>
      <c r="C310" s="237" t="s">
        <v>5374</v>
      </c>
      <c r="D310" s="237" t="s">
        <v>21</v>
      </c>
      <c r="E310" s="237" t="s">
        <v>21</v>
      </c>
      <c r="F310" s="237" t="s">
        <v>5375</v>
      </c>
      <c r="G310" s="237" t="s">
        <v>21</v>
      </c>
      <c r="H310" s="237" t="s">
        <v>5376</v>
      </c>
      <c r="I310" s="237" t="s">
        <v>5377</v>
      </c>
      <c r="J310" s="237" t="s">
        <v>5378</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5379</v>
      </c>
      <c r="B311" s="237" t="s">
        <v>5380</v>
      </c>
      <c r="C311" s="237" t="s">
        <v>5381</v>
      </c>
      <c r="D311" s="237" t="s">
        <v>5382</v>
      </c>
      <c r="E311" s="237" t="s">
        <v>21</v>
      </c>
      <c r="F311" s="237" t="s">
        <v>21</v>
      </c>
      <c r="G311" s="237" t="s">
        <v>5383</v>
      </c>
      <c r="H311" s="237" t="s">
        <v>5384</v>
      </c>
      <c r="I311" s="237" t="s">
        <v>21</v>
      </c>
      <c r="J311" s="237" t="s">
        <v>5385</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5386</v>
      </c>
      <c r="B312" s="237" t="s">
        <v>5387</v>
      </c>
      <c r="C312" s="237" t="s">
        <v>5388</v>
      </c>
      <c r="D312" s="237" t="s">
        <v>5389</v>
      </c>
      <c r="E312" s="237" t="s">
        <v>21</v>
      </c>
      <c r="F312" s="237" t="s">
        <v>21</v>
      </c>
      <c r="G312" s="237" t="s">
        <v>21</v>
      </c>
      <c r="H312" s="237" t="s">
        <v>5390</v>
      </c>
      <c r="I312" s="237" t="s">
        <v>21</v>
      </c>
      <c r="J312" s="237" t="s">
        <v>5391</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5392</v>
      </c>
      <c r="B313" s="237" t="s">
        <v>5393</v>
      </c>
      <c r="C313" s="237" t="s">
        <v>5394</v>
      </c>
      <c r="D313" s="237" t="s">
        <v>5395</v>
      </c>
      <c r="E313" s="237" t="s">
        <v>21</v>
      </c>
      <c r="F313" s="237" t="s">
        <v>21</v>
      </c>
      <c r="G313" s="237" t="s">
        <v>5396</v>
      </c>
      <c r="H313" s="237" t="s">
        <v>5397</v>
      </c>
      <c r="I313" s="237" t="s">
        <v>5398</v>
      </c>
      <c r="J313" s="237" t="s">
        <v>5399</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5400</v>
      </c>
      <c r="B314" s="237" t="s">
        <v>5401</v>
      </c>
      <c r="C314" s="237" t="s">
        <v>5402</v>
      </c>
      <c r="D314" s="237" t="s">
        <v>5403</v>
      </c>
      <c r="E314" s="237" t="s">
        <v>21</v>
      </c>
      <c r="F314" s="237" t="s">
        <v>21</v>
      </c>
      <c r="G314" s="237" t="s">
        <v>5404</v>
      </c>
      <c r="H314" s="237" t="s">
        <v>5405</v>
      </c>
      <c r="I314" s="237" t="s">
        <v>5406</v>
      </c>
      <c r="J314" s="237" t="s">
        <v>5407</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5408</v>
      </c>
      <c r="B315" s="236" t="s">
        <v>5409</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5410</v>
      </c>
      <c r="B316" s="237" t="s">
        <v>5411</v>
      </c>
      <c r="C316" s="237" t="s">
        <v>5412</v>
      </c>
      <c r="D316" s="237" t="s">
        <v>21</v>
      </c>
      <c r="E316" s="237" t="s">
        <v>21</v>
      </c>
      <c r="F316" s="237" t="s">
        <v>21</v>
      </c>
      <c r="G316" s="237" t="s">
        <v>21</v>
      </c>
      <c r="H316" s="237" t="s">
        <v>5413</v>
      </c>
      <c r="I316" s="237" t="s">
        <v>5414</v>
      </c>
      <c r="J316" s="237" t="s">
        <v>5415</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5416</v>
      </c>
      <c r="B317" s="237" t="s">
        <v>5417</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5418</v>
      </c>
      <c r="B318" s="236" t="s">
        <v>5419</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5420</v>
      </c>
      <c r="B319" s="237" t="s">
        <v>5421</v>
      </c>
      <c r="C319" s="237" t="s">
        <v>5422</v>
      </c>
      <c r="D319" s="237" t="s">
        <v>5423</v>
      </c>
      <c r="E319" s="237" t="s">
        <v>21</v>
      </c>
      <c r="F319" s="237" t="s">
        <v>5424</v>
      </c>
      <c r="G319" s="237" t="s">
        <v>5425</v>
      </c>
      <c r="H319" s="237" t="s">
        <v>5426</v>
      </c>
      <c r="I319" s="237" t="s">
        <v>21</v>
      </c>
      <c r="J319" s="237" t="s">
        <v>5427</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5428</v>
      </c>
      <c r="B320" s="237" t="s">
        <v>5429</v>
      </c>
      <c r="C320" s="237" t="s">
        <v>5430</v>
      </c>
      <c r="D320" s="237" t="s">
        <v>5431</v>
      </c>
      <c r="E320" s="237" t="s">
        <v>21</v>
      </c>
      <c r="F320" s="237" t="s">
        <v>21</v>
      </c>
      <c r="G320" s="237" t="s">
        <v>21</v>
      </c>
      <c r="H320" s="237" t="s">
        <v>5432</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5433</v>
      </c>
      <c r="B321" s="237" t="s">
        <v>5434</v>
      </c>
      <c r="C321" s="237" t="s">
        <v>5435</v>
      </c>
      <c r="D321" s="237" t="s">
        <v>5436</v>
      </c>
      <c r="E321" s="237" t="s">
        <v>21</v>
      </c>
      <c r="F321" s="237" t="s">
        <v>21</v>
      </c>
      <c r="G321" s="237" t="s">
        <v>21</v>
      </c>
      <c r="H321" s="237" t="s">
        <v>5437</v>
      </c>
      <c r="I321" s="237" t="s">
        <v>21</v>
      </c>
      <c r="J321" s="237" t="s">
        <v>5438</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5439</v>
      </c>
      <c r="B322" s="237" t="s">
        <v>5440</v>
      </c>
      <c r="C322" s="237" t="s">
        <v>5441</v>
      </c>
      <c r="D322" s="237" t="s">
        <v>5442</v>
      </c>
      <c r="E322" s="237" t="s">
        <v>21</v>
      </c>
      <c r="F322" s="237" t="s">
        <v>21</v>
      </c>
      <c r="G322" s="237" t="s">
        <v>21</v>
      </c>
      <c r="H322" s="237" t="s">
        <v>5443</v>
      </c>
      <c r="I322" s="237" t="s">
        <v>21</v>
      </c>
      <c r="J322" s="237" t="s">
        <v>5444</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5445</v>
      </c>
      <c r="B323" s="237" t="s">
        <v>5446</v>
      </c>
      <c r="C323" s="237" t="s">
        <v>5447</v>
      </c>
      <c r="D323" s="237" t="s">
        <v>21</v>
      </c>
      <c r="E323" s="237" t="s">
        <v>21</v>
      </c>
      <c r="F323" s="237" t="s">
        <v>21</v>
      </c>
      <c r="G323" s="237" t="s">
        <v>21</v>
      </c>
      <c r="H323" s="237" t="s">
        <v>5448</v>
      </c>
      <c r="I323" s="237" t="s">
        <v>4245</v>
      </c>
      <c r="J323" s="237" t="s">
        <v>5449</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5450</v>
      </c>
      <c r="B324" s="237" t="s">
        <v>5451</v>
      </c>
      <c r="C324" s="237" t="s">
        <v>5452</v>
      </c>
      <c r="D324" s="237" t="s">
        <v>21</v>
      </c>
      <c r="E324" s="237" t="s">
        <v>21</v>
      </c>
      <c r="F324" s="237" t="s">
        <v>21</v>
      </c>
      <c r="G324" s="237" t="s">
        <v>21</v>
      </c>
      <c r="H324" s="237" t="s">
        <v>5453</v>
      </c>
      <c r="I324" s="237" t="s">
        <v>5454</v>
      </c>
      <c r="J324" s="237" t="s">
        <v>5455</v>
      </c>
      <c r="K324" s="240">
        <f>IF(COUNTIF(L324:AY324,"&lt;&gt;")=0,"",SUMPRODUCT(((Recommendations[ImplStatus]="Implemented")+(Recommendations[ImplStatus]="Compensated"))*ISNUMBER(MATCH(Recommendations[Id],L324:AY324,0)))/COUNTIF(L324:AY324,"&lt;&gt;"))</f>
        <v>0</v>
      </c>
      <c r="L324" s="243" t="s">
        <v>122</v>
      </c>
      <c r="M324" s="243" t="s">
        <v>127</v>
      </c>
      <c r="N324" s="243" t="s">
        <v>132</v>
      </c>
      <c r="O324" s="243" t="s">
        <v>231</v>
      </c>
      <c r="P324" s="243" t="s">
        <v>236</v>
      </c>
      <c r="Q324" s="243" t="s">
        <v>241</v>
      </c>
      <c r="R324" s="243" t="s">
        <v>260</v>
      </c>
      <c r="S324" s="243" t="s">
        <v>487</v>
      </c>
      <c r="T324" s="243" t="s">
        <v>665</v>
      </c>
      <c r="U324" s="243" t="s">
        <v>670</v>
      </c>
      <c r="V324" s="243" t="s">
        <v>674</v>
      </c>
      <c r="W324" s="243" t="s">
        <v>684</v>
      </c>
      <c r="X324" s="243" t="s">
        <v>719</v>
      </c>
      <c r="Y324" s="243" t="s">
        <v>724</v>
      </c>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5456</v>
      </c>
      <c r="B325" s="237" t="s">
        <v>5457</v>
      </c>
      <c r="C325" s="237" t="s">
        <v>5458</v>
      </c>
      <c r="D325" s="237" t="s">
        <v>5459</v>
      </c>
      <c r="E325" s="237" t="s">
        <v>21</v>
      </c>
      <c r="F325" s="237" t="s">
        <v>21</v>
      </c>
      <c r="G325" s="237" t="s">
        <v>21</v>
      </c>
      <c r="H325" s="237" t="s">
        <v>5460</v>
      </c>
      <c r="I325" s="237" t="s">
        <v>21</v>
      </c>
      <c r="J325" s="237" t="s">
        <v>5461</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5462</v>
      </c>
      <c r="B326" s="244" t="s">
        <v>5463</v>
      </c>
      <c r="C326" s="244" t="s">
        <v>5464</v>
      </c>
      <c r="D326" s="244" t="s">
        <v>5465</v>
      </c>
      <c r="E326" s="244" t="s">
        <v>21</v>
      </c>
      <c r="F326" s="244" t="s">
        <v>21</v>
      </c>
      <c r="G326" s="244" t="s">
        <v>21</v>
      </c>
      <c r="H326" s="244" t="s">
        <v>5466</v>
      </c>
      <c r="I326" s="244" t="s">
        <v>4245</v>
      </c>
      <c r="J326" s="244" t="s">
        <v>5467</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733</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IFERROR(INDEX('Recommendations'!$H$2:$H$149, MATCH(L2,'Recommendations'!$A$2:$A$149,0))="Implemented", FALSE))</xm:f>
            <x14:dxf>
              <font>
                <color rgb="FF000000"/>
              </font>
              <fill>
                <patternFill>
                  <bgColor rgb="FF3C7D22"/>
                </patternFill>
              </fill>
            </x14:dxf>
          </x14:cfRule>
          <x14:cfRule type="expression" priority="2" id="{00000000-000E-0000-0A00-000002000000}">
            <xm:f>AND(L2&lt;&gt;"", IFERROR(INDEX('Recommendations'!$H$2:$H$149, MATCH(L2,'Recommendations'!$A$2:$A$149,0))="Compensated", FALSE))</xm:f>
            <x14:dxf>
              <font>
                <color rgb="FF000000"/>
              </font>
              <fill>
                <patternFill>
                  <bgColor rgb="FFC6E0B4"/>
                </patternFill>
              </fill>
            </x14:dxf>
          </x14:cfRule>
          <x14:cfRule type="expression" priority="3" id="{00000000-000E-0000-0A00-000003000000}">
            <xm:f>AND(L2&lt;&gt;"", IFERROR(INDEX('Recommendations'!$H$2:$H$149, MATCH(L2,'Recommendations'!$A$2:$A$149,0))="Testing", FALSE))</xm:f>
            <x14:dxf>
              <font>
                <color rgb="FF000000"/>
              </font>
              <fill>
                <patternFill>
                  <bgColor rgb="FFFFC000"/>
                </patternFill>
              </fill>
            </x14:dxf>
          </x14:cfRule>
          <x14:cfRule type="expression" priority="4" id="{00000000-000E-0000-0A00-000004000000}">
            <xm:f>AND(L2&lt;&gt;"", IFERROR(INDEX('Recommendations'!$H$2:$H$149, MATCH(L2,'Recommendations'!$A$2:$A$149,0))="Failed", FALSE))</xm:f>
            <x14:dxf>
              <font>
                <color rgb="FF000000"/>
              </font>
              <fill>
                <patternFill>
                  <bgColor rgb="FFD82891"/>
                </patternFill>
              </fill>
            </x14:dxf>
          </x14:cfRule>
          <x14:cfRule type="expression" priority="5" id="{00000000-000E-0000-0A00-000005000000}">
            <xm:f>AND(L2&lt;&gt;"", IFERROR(INDEX('Recommendations'!$H$2:$H$149, MATCH(L2,'Recommendations'!$A$2:$A$149,0))="Risk Accepted", FALSE))</xm:f>
            <x14:dxf>
              <font>
                <color rgb="FF000000"/>
              </font>
              <fill>
                <patternFill>
                  <bgColor rgb="FFD9D9D9"/>
                </patternFill>
              </fill>
            </x14:dxf>
          </x14:cfRule>
          <x14:cfRule type="expression" priority="6" id="{00000000-000E-0000-0A00-000006000000}">
            <xm:f>AND(L2&lt;&gt;"", IFERROR(INDEX('Recommendations'!$H$2:$H$149, MATCH(L2,'Recommendations'!$A$2:$A$149,0))="N/A",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2616</v>
      </c>
      <c r="B1" s="289" t="s">
        <v>3501</v>
      </c>
      <c r="C1" s="289" t="s">
        <v>0</v>
      </c>
      <c r="D1" s="289" t="s">
        <v>979</v>
      </c>
      <c r="E1" s="289" t="s">
        <v>5468</v>
      </c>
      <c r="F1" s="289" t="s">
        <v>5469</v>
      </c>
      <c r="G1" s="289" t="s">
        <v>984</v>
      </c>
      <c r="H1" s="289" t="s">
        <v>985</v>
      </c>
      <c r="I1" s="289" t="s">
        <v>986</v>
      </c>
      <c r="J1" s="289" t="s">
        <v>987</v>
      </c>
      <c r="K1" s="289" t="s">
        <v>988</v>
      </c>
      <c r="L1" s="289" t="s">
        <v>989</v>
      </c>
      <c r="M1" s="289" t="s">
        <v>990</v>
      </c>
      <c r="N1" s="289" t="s">
        <v>991</v>
      </c>
      <c r="O1" s="289" t="s">
        <v>992</v>
      </c>
      <c r="P1" s="289" t="s">
        <v>993</v>
      </c>
      <c r="Q1" s="289" t="s">
        <v>994</v>
      </c>
      <c r="R1" s="289" t="s">
        <v>995</v>
      </c>
      <c r="S1" s="289" t="s">
        <v>996</v>
      </c>
      <c r="T1" s="289" t="s">
        <v>997</v>
      </c>
      <c r="U1" s="289" t="s">
        <v>998</v>
      </c>
      <c r="V1" s="289" t="s">
        <v>999</v>
      </c>
      <c r="W1" s="289" t="s">
        <v>1000</v>
      </c>
      <c r="X1" s="289" t="s">
        <v>1001</v>
      </c>
      <c r="Y1" s="289" t="s">
        <v>1002</v>
      </c>
      <c r="Z1" s="289" t="s">
        <v>1003</v>
      </c>
      <c r="AA1" s="289" t="s">
        <v>1004</v>
      </c>
      <c r="AB1" s="289" t="s">
        <v>1005</v>
      </c>
      <c r="AC1" s="289" t="s">
        <v>1006</v>
      </c>
      <c r="AD1" s="289" t="s">
        <v>1007</v>
      </c>
      <c r="AE1" s="289" t="s">
        <v>1008</v>
      </c>
      <c r="AF1" s="289" t="s">
        <v>1009</v>
      </c>
      <c r="AG1" s="289" t="s">
        <v>1010</v>
      </c>
      <c r="AH1" s="289" t="s">
        <v>1011</v>
      </c>
      <c r="AI1" s="289" t="s">
        <v>1012</v>
      </c>
      <c r="AJ1" s="289" t="s">
        <v>1013</v>
      </c>
      <c r="AK1" s="289" t="s">
        <v>1014</v>
      </c>
      <c r="AL1" s="289" t="s">
        <v>1015</v>
      </c>
      <c r="AM1" s="289" t="s">
        <v>1016</v>
      </c>
      <c r="AN1" s="289" t="s">
        <v>1017</v>
      </c>
      <c r="AO1" s="289" t="s">
        <v>1018</v>
      </c>
      <c r="AP1" s="289" t="s">
        <v>1019</v>
      </c>
      <c r="AQ1" s="289" t="s">
        <v>1020</v>
      </c>
      <c r="AR1" s="289" t="s">
        <v>1021</v>
      </c>
      <c r="AS1" s="289" t="s">
        <v>1022</v>
      </c>
      <c r="AT1" s="289" t="s">
        <v>1023</v>
      </c>
      <c r="AU1" s="290" t="s">
        <v>1024</v>
      </c>
    </row>
    <row r="2" spans="1:47" ht="60" customHeight="1" outlineLevel="1" x14ac:dyDescent="0.35">
      <c r="A2" s="280" t="s">
        <v>5470</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5470</v>
      </c>
      <c r="B3" s="259" t="s">
        <v>5471</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5470</v>
      </c>
      <c r="B4" s="260" t="s">
        <v>5471</v>
      </c>
      <c r="C4" s="261" t="s">
        <v>5472</v>
      </c>
      <c r="D4" s="264" t="s">
        <v>5473</v>
      </c>
      <c r="E4" s="265" t="s">
        <v>5474</v>
      </c>
      <c r="F4" s="268" t="s">
        <v>5475</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5470</v>
      </c>
      <c r="B5" s="260" t="s">
        <v>5471</v>
      </c>
      <c r="C5" s="261" t="s">
        <v>5476</v>
      </c>
      <c r="D5" s="264" t="s">
        <v>5477</v>
      </c>
      <c r="E5" s="265" t="s">
        <v>5474</v>
      </c>
      <c r="F5" s="268" t="s">
        <v>5475</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5470</v>
      </c>
      <c r="B6" s="260" t="s">
        <v>5471</v>
      </c>
      <c r="C6" s="261" t="s">
        <v>5478</v>
      </c>
      <c r="D6" s="264" t="s">
        <v>5479</v>
      </c>
      <c r="E6" s="265" t="s">
        <v>5474</v>
      </c>
      <c r="F6" s="268" t="s">
        <v>5475</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5470</v>
      </c>
      <c r="B7" s="260" t="s">
        <v>5471</v>
      </c>
      <c r="C7" s="261" t="s">
        <v>5480</v>
      </c>
      <c r="D7" s="264" t="s">
        <v>5481</v>
      </c>
      <c r="E7" s="265" t="s">
        <v>5474</v>
      </c>
      <c r="F7" s="268" t="s">
        <v>5475</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5470</v>
      </c>
      <c r="B8" s="260" t="s">
        <v>5471</v>
      </c>
      <c r="C8" s="261" t="s">
        <v>5482</v>
      </c>
      <c r="D8" s="264" t="s">
        <v>5483</v>
      </c>
      <c r="E8" s="265" t="s">
        <v>5474</v>
      </c>
      <c r="F8" s="268" t="s">
        <v>5475</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5470</v>
      </c>
      <c r="B9" s="260" t="s">
        <v>5471</v>
      </c>
      <c r="C9" s="261" t="s">
        <v>5484</v>
      </c>
      <c r="D9" s="264" t="s">
        <v>5485</v>
      </c>
      <c r="E9" s="265" t="s">
        <v>5474</v>
      </c>
      <c r="F9" s="268" t="s">
        <v>5475</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5470</v>
      </c>
      <c r="B10" s="260" t="s">
        <v>5471</v>
      </c>
      <c r="C10" s="261" t="s">
        <v>5486</v>
      </c>
      <c r="D10" s="264" t="s">
        <v>5487</v>
      </c>
      <c r="E10" s="265" t="s">
        <v>5474</v>
      </c>
      <c r="F10" s="268" t="s">
        <v>5475</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5470</v>
      </c>
      <c r="B11" s="260" t="s">
        <v>5471</v>
      </c>
      <c r="C11" s="261" t="s">
        <v>5488</v>
      </c>
      <c r="D11" s="264" t="s">
        <v>5489</v>
      </c>
      <c r="E11" s="265" t="s">
        <v>5474</v>
      </c>
      <c r="F11" s="268" t="s">
        <v>5475</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5470</v>
      </c>
      <c r="B12" s="260" t="s">
        <v>5471</v>
      </c>
      <c r="C12" s="261" t="s">
        <v>5490</v>
      </c>
      <c r="D12" s="264" t="s">
        <v>5491</v>
      </c>
      <c r="E12" s="265" t="s">
        <v>5474</v>
      </c>
      <c r="F12" s="268" t="s">
        <v>5475</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5470</v>
      </c>
      <c r="B13" s="260" t="s">
        <v>5471</v>
      </c>
      <c r="C13" s="261" t="s">
        <v>5492</v>
      </c>
      <c r="D13" s="264" t="s">
        <v>5493</v>
      </c>
      <c r="E13" s="265" t="s">
        <v>5474</v>
      </c>
      <c r="F13" s="268" t="s">
        <v>5475</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5470</v>
      </c>
      <c r="B14" s="260" t="s">
        <v>5471</v>
      </c>
      <c r="C14" s="261" t="s">
        <v>5494</v>
      </c>
      <c r="D14" s="264" t="s">
        <v>5495</v>
      </c>
      <c r="E14" s="265" t="s">
        <v>5474</v>
      </c>
      <c r="F14" s="268" t="s">
        <v>5475</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5470</v>
      </c>
      <c r="B15" s="260" t="s">
        <v>5471</v>
      </c>
      <c r="C15" s="261" t="s">
        <v>5496</v>
      </c>
      <c r="D15" s="264" t="s">
        <v>5497</v>
      </c>
      <c r="E15" s="265" t="s">
        <v>5474</v>
      </c>
      <c r="F15" s="268" t="s">
        <v>5475</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5470</v>
      </c>
      <c r="B16" s="260" t="s">
        <v>5471</v>
      </c>
      <c r="C16" s="261" t="s">
        <v>5498</v>
      </c>
      <c r="D16" s="264" t="s">
        <v>5499</v>
      </c>
      <c r="E16" s="265" t="s">
        <v>5474</v>
      </c>
      <c r="F16" s="268" t="s">
        <v>5475</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5470</v>
      </c>
      <c r="B17" s="259" t="s">
        <v>5500</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5470</v>
      </c>
      <c r="B18" s="260" t="s">
        <v>5500</v>
      </c>
      <c r="C18" s="261" t="s">
        <v>5501</v>
      </c>
      <c r="D18" s="264" t="s">
        <v>5502</v>
      </c>
      <c r="E18" s="265" t="s">
        <v>5503</v>
      </c>
      <c r="F18" s="268" t="s">
        <v>5504</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5470</v>
      </c>
      <c r="B19" s="260" t="s">
        <v>5500</v>
      </c>
      <c r="C19" s="261" t="s">
        <v>5505</v>
      </c>
      <c r="D19" s="264" t="s">
        <v>5506</v>
      </c>
      <c r="E19" s="265" t="s">
        <v>5503</v>
      </c>
      <c r="F19" s="268" t="s">
        <v>5504</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5470</v>
      </c>
      <c r="B20" s="260" t="s">
        <v>5500</v>
      </c>
      <c r="C20" s="261" t="s">
        <v>5507</v>
      </c>
      <c r="D20" s="264" t="s">
        <v>5508</v>
      </c>
      <c r="E20" s="265" t="s">
        <v>5503</v>
      </c>
      <c r="F20" s="268" t="s">
        <v>5504</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5470</v>
      </c>
      <c r="B21" s="260" t="s">
        <v>5500</v>
      </c>
      <c r="C21" s="261" t="s">
        <v>5509</v>
      </c>
      <c r="D21" s="264" t="s">
        <v>5510</v>
      </c>
      <c r="E21" s="265" t="s">
        <v>5503</v>
      </c>
      <c r="F21" s="268" t="s">
        <v>5504</v>
      </c>
      <c r="G21" s="271">
        <f>IF(COUNTIF(H21:AU21,"&lt;&gt;")=0,"",SUMPRODUCT(((Recommendations[ImplStatus]="Implemented")+(Recommendations[ImplStatus]="Compensated"))*ISNUMBER(MATCH(Recommendations[Id],H21:AU21,0)))/COUNTIF(H21:AU21,"&lt;&gt;"))</f>
        <v>0</v>
      </c>
      <c r="H21" s="272" t="s">
        <v>97</v>
      </c>
      <c r="I21" s="272" t="s">
        <v>645</v>
      </c>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5470</v>
      </c>
      <c r="B22" s="260" t="s">
        <v>5500</v>
      </c>
      <c r="C22" s="261" t="s">
        <v>5511</v>
      </c>
      <c r="D22" s="264" t="s">
        <v>5512</v>
      </c>
      <c r="E22" s="265" t="s">
        <v>5503</v>
      </c>
      <c r="F22" s="268" t="s">
        <v>5504</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5470</v>
      </c>
      <c r="B23" s="260" t="s">
        <v>5500</v>
      </c>
      <c r="C23" s="261" t="s">
        <v>5513</v>
      </c>
      <c r="D23" s="264" t="s">
        <v>5514</v>
      </c>
      <c r="E23" s="265" t="s">
        <v>5474</v>
      </c>
      <c r="F23" s="268" t="s">
        <v>5475</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5470</v>
      </c>
      <c r="B24" s="260" t="s">
        <v>5500</v>
      </c>
      <c r="C24" s="261" t="s">
        <v>5515</v>
      </c>
      <c r="D24" s="264" t="s">
        <v>5516</v>
      </c>
      <c r="E24" s="265" t="s">
        <v>5474</v>
      </c>
      <c r="F24" s="268" t="s">
        <v>5475</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5470</v>
      </c>
      <c r="B25" s="260" t="s">
        <v>5500</v>
      </c>
      <c r="C25" s="261" t="s">
        <v>5517</v>
      </c>
      <c r="D25" s="264" t="s">
        <v>5518</v>
      </c>
      <c r="E25" s="265" t="s">
        <v>5474</v>
      </c>
      <c r="F25" s="268" t="s">
        <v>5519</v>
      </c>
      <c r="G25" s="271">
        <f>IF(COUNTIF(H25:AU25,"&lt;&gt;")=0,"",SUMPRODUCT(((Recommendations[ImplStatus]="Implemented")+(Recommendations[ImplStatus]="Compensated"))*ISNUMBER(MATCH(Recommendations[Id],H25:AU25,0)))/COUNTIF(H25:AU25,"&lt;&gt;"))</f>
        <v>0</v>
      </c>
      <c r="H25" s="272" t="s">
        <v>507</v>
      </c>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5470</v>
      </c>
      <c r="B26" s="260" t="s">
        <v>5500</v>
      </c>
      <c r="C26" s="261" t="s">
        <v>5520</v>
      </c>
      <c r="D26" s="264" t="s">
        <v>5521</v>
      </c>
      <c r="E26" s="265" t="s">
        <v>5474</v>
      </c>
      <c r="F26" s="268" t="s">
        <v>5519</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5470</v>
      </c>
      <c r="B27" s="260" t="s">
        <v>5500</v>
      </c>
      <c r="C27" s="261" t="s">
        <v>5522</v>
      </c>
      <c r="D27" s="264" t="s">
        <v>5523</v>
      </c>
      <c r="E27" s="265" t="s">
        <v>5474</v>
      </c>
      <c r="F27" s="268" t="s">
        <v>5519</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5470</v>
      </c>
      <c r="B28" s="260" t="s">
        <v>5500</v>
      </c>
      <c r="C28" s="261" t="s">
        <v>5524</v>
      </c>
      <c r="D28" s="264" t="s">
        <v>5525</v>
      </c>
      <c r="E28" s="265" t="s">
        <v>5474</v>
      </c>
      <c r="F28" s="268" t="s">
        <v>5519</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5470</v>
      </c>
      <c r="B29" s="260" t="s">
        <v>5500</v>
      </c>
      <c r="C29" s="261" t="s">
        <v>5526</v>
      </c>
      <c r="D29" s="264" t="s">
        <v>5527</v>
      </c>
      <c r="E29" s="265" t="s">
        <v>5474</v>
      </c>
      <c r="F29" s="268" t="s">
        <v>5519</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5470</v>
      </c>
      <c r="B30" s="260" t="s">
        <v>5500</v>
      </c>
      <c r="C30" s="261" t="s">
        <v>5528</v>
      </c>
      <c r="D30" s="264" t="s">
        <v>5529</v>
      </c>
      <c r="E30" s="265" t="s">
        <v>5474</v>
      </c>
      <c r="F30" s="268" t="s">
        <v>5519</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5470</v>
      </c>
      <c r="B31" s="260" t="s">
        <v>5500</v>
      </c>
      <c r="C31" s="261" t="s">
        <v>5530</v>
      </c>
      <c r="D31" s="264" t="s">
        <v>5531</v>
      </c>
      <c r="E31" s="265" t="s">
        <v>5474</v>
      </c>
      <c r="F31" s="268" t="s">
        <v>5519</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5470</v>
      </c>
      <c r="B32" s="260" t="s">
        <v>5500</v>
      </c>
      <c r="C32" s="261" t="s">
        <v>5532</v>
      </c>
      <c r="D32" s="264" t="s">
        <v>5533</v>
      </c>
      <c r="E32" s="265" t="s">
        <v>5474</v>
      </c>
      <c r="F32" s="268" t="s">
        <v>5519</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5470</v>
      </c>
      <c r="B33" s="260" t="s">
        <v>5500</v>
      </c>
      <c r="C33" s="261" t="s">
        <v>5534</v>
      </c>
      <c r="D33" s="264" t="s">
        <v>5535</v>
      </c>
      <c r="E33" s="265" t="s">
        <v>5503</v>
      </c>
      <c r="F33" s="268" t="s">
        <v>5504</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5470</v>
      </c>
      <c r="B34" s="260" t="s">
        <v>5500</v>
      </c>
      <c r="C34" s="261" t="s">
        <v>5536</v>
      </c>
      <c r="D34" s="264" t="s">
        <v>5537</v>
      </c>
      <c r="E34" s="265" t="s">
        <v>5474</v>
      </c>
      <c r="F34" s="268" t="s">
        <v>5519</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5470</v>
      </c>
      <c r="B35" s="259" t="s">
        <v>5538</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5470</v>
      </c>
      <c r="B36" s="260" t="s">
        <v>5538</v>
      </c>
      <c r="C36" s="261" t="s">
        <v>5539</v>
      </c>
      <c r="D36" s="264" t="s">
        <v>5540</v>
      </c>
      <c r="E36" s="265" t="s">
        <v>5474</v>
      </c>
      <c r="F36" s="268" t="s">
        <v>5519</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5470</v>
      </c>
      <c r="B37" s="260" t="s">
        <v>5538</v>
      </c>
      <c r="C37" s="261" t="s">
        <v>5541</v>
      </c>
      <c r="D37" s="264" t="s">
        <v>5542</v>
      </c>
      <c r="E37" s="265" t="s">
        <v>5474</v>
      </c>
      <c r="F37" s="268" t="s">
        <v>5543</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5470</v>
      </c>
      <c r="B38" s="260" t="s">
        <v>5538</v>
      </c>
      <c r="C38" s="261" t="s">
        <v>5544</v>
      </c>
      <c r="D38" s="264" t="s">
        <v>5545</v>
      </c>
      <c r="E38" s="265" t="s">
        <v>5474</v>
      </c>
      <c r="F38" s="268" t="s">
        <v>5543</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5470</v>
      </c>
      <c r="B39" s="260" t="s">
        <v>5538</v>
      </c>
      <c r="C39" s="261" t="s">
        <v>5546</v>
      </c>
      <c r="D39" s="264" t="s">
        <v>5547</v>
      </c>
      <c r="E39" s="265" t="s">
        <v>5474</v>
      </c>
      <c r="F39" s="268" t="s">
        <v>5543</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5470</v>
      </c>
      <c r="B40" s="260" t="s">
        <v>5538</v>
      </c>
      <c r="C40" s="261" t="s">
        <v>5548</v>
      </c>
      <c r="D40" s="264" t="s">
        <v>5549</v>
      </c>
      <c r="E40" s="265" t="s">
        <v>5474</v>
      </c>
      <c r="F40" s="268" t="s">
        <v>5543</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5470</v>
      </c>
      <c r="B41" s="260" t="s">
        <v>5538</v>
      </c>
      <c r="C41" s="261" t="s">
        <v>5550</v>
      </c>
      <c r="D41" s="264" t="s">
        <v>5551</v>
      </c>
      <c r="E41" s="265" t="s">
        <v>5474</v>
      </c>
      <c r="F41" s="268" t="s">
        <v>5543</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5470</v>
      </c>
      <c r="B42" s="260" t="s">
        <v>5538</v>
      </c>
      <c r="C42" s="261" t="s">
        <v>5552</v>
      </c>
      <c r="D42" s="264" t="s">
        <v>5553</v>
      </c>
      <c r="E42" s="265" t="s">
        <v>5474</v>
      </c>
      <c r="F42" s="268" t="s">
        <v>5543</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5470</v>
      </c>
      <c r="B43" s="260" t="s">
        <v>5538</v>
      </c>
      <c r="C43" s="261" t="s">
        <v>5554</v>
      </c>
      <c r="D43" s="264" t="s">
        <v>5555</v>
      </c>
      <c r="E43" s="265" t="s">
        <v>5474</v>
      </c>
      <c r="F43" s="268" t="s">
        <v>5543</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5470</v>
      </c>
      <c r="B44" s="260" t="s">
        <v>5538</v>
      </c>
      <c r="C44" s="261" t="s">
        <v>5556</v>
      </c>
      <c r="D44" s="264" t="s">
        <v>5557</v>
      </c>
      <c r="E44" s="265" t="s">
        <v>5474</v>
      </c>
      <c r="F44" s="268" t="s">
        <v>5543</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5470</v>
      </c>
      <c r="B45" s="260" t="s">
        <v>5538</v>
      </c>
      <c r="C45" s="261" t="s">
        <v>5558</v>
      </c>
      <c r="D45" s="264" t="s">
        <v>5559</v>
      </c>
      <c r="E45" s="265" t="s">
        <v>5474</v>
      </c>
      <c r="F45" s="268" t="s">
        <v>5543</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5470</v>
      </c>
      <c r="B46" s="260" t="s">
        <v>5538</v>
      </c>
      <c r="C46" s="261" t="s">
        <v>5560</v>
      </c>
      <c r="D46" s="264" t="s">
        <v>5561</v>
      </c>
      <c r="E46" s="265" t="s">
        <v>5474</v>
      </c>
      <c r="F46" s="268" t="s">
        <v>5543</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5470</v>
      </c>
      <c r="B47" s="260" t="s">
        <v>5538</v>
      </c>
      <c r="C47" s="261" t="s">
        <v>5562</v>
      </c>
      <c r="D47" s="264" t="s">
        <v>5563</v>
      </c>
      <c r="E47" s="265" t="s">
        <v>5474</v>
      </c>
      <c r="F47" s="268" t="s">
        <v>5543</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5470</v>
      </c>
      <c r="B48" s="260" t="s">
        <v>5538</v>
      </c>
      <c r="C48" s="261" t="s">
        <v>5564</v>
      </c>
      <c r="D48" s="264" t="s">
        <v>5565</v>
      </c>
      <c r="E48" s="265" t="s">
        <v>5474</v>
      </c>
      <c r="F48" s="268" t="s">
        <v>5543</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5470</v>
      </c>
      <c r="B49" s="260" t="s">
        <v>5538</v>
      </c>
      <c r="C49" s="261" t="s">
        <v>5566</v>
      </c>
      <c r="D49" s="264" t="s">
        <v>5567</v>
      </c>
      <c r="E49" s="265" t="s">
        <v>5474</v>
      </c>
      <c r="F49" s="268" t="s">
        <v>5543</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5470</v>
      </c>
      <c r="B50" s="259" t="s">
        <v>2740</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5470</v>
      </c>
      <c r="B51" s="260" t="s">
        <v>2740</v>
      </c>
      <c r="C51" s="261" t="s">
        <v>5568</v>
      </c>
      <c r="D51" s="264" t="s">
        <v>5569</v>
      </c>
      <c r="E51" s="265" t="s">
        <v>5570</v>
      </c>
      <c r="F51" s="268" t="s">
        <v>5571</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5470</v>
      </c>
      <c r="B52" s="260" t="s">
        <v>2740</v>
      </c>
      <c r="C52" s="261" t="s">
        <v>5572</v>
      </c>
      <c r="D52" s="264" t="s">
        <v>5573</v>
      </c>
      <c r="E52" s="265" t="s">
        <v>5570</v>
      </c>
      <c r="F52" s="268" t="s">
        <v>5571</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5470</v>
      </c>
      <c r="B53" s="260" t="s">
        <v>2740</v>
      </c>
      <c r="C53" s="261" t="s">
        <v>5574</v>
      </c>
      <c r="D53" s="264" t="s">
        <v>5575</v>
      </c>
      <c r="E53" s="265" t="s">
        <v>5570</v>
      </c>
      <c r="F53" s="268" t="s">
        <v>5571</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5470</v>
      </c>
      <c r="B54" s="260" t="s">
        <v>2740</v>
      </c>
      <c r="C54" s="261" t="s">
        <v>5576</v>
      </c>
      <c r="D54" s="264" t="s">
        <v>5577</v>
      </c>
      <c r="E54" s="265" t="s">
        <v>5570</v>
      </c>
      <c r="F54" s="268" t="s">
        <v>5571</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5470</v>
      </c>
      <c r="B55" s="260" t="s">
        <v>2740</v>
      </c>
      <c r="C55" s="261" t="s">
        <v>5578</v>
      </c>
      <c r="D55" s="264" t="s">
        <v>5579</v>
      </c>
      <c r="E55" s="265" t="s">
        <v>5570</v>
      </c>
      <c r="F55" s="268" t="s">
        <v>5571</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5470</v>
      </c>
      <c r="B56" s="260" t="s">
        <v>2740</v>
      </c>
      <c r="C56" s="261" t="s">
        <v>5580</v>
      </c>
      <c r="D56" s="264" t="s">
        <v>5581</v>
      </c>
      <c r="E56" s="265" t="s">
        <v>5570</v>
      </c>
      <c r="F56" s="268" t="s">
        <v>5571</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5470</v>
      </c>
      <c r="B57" s="260" t="s">
        <v>2740</v>
      </c>
      <c r="C57" s="261" t="s">
        <v>5582</v>
      </c>
      <c r="D57" s="264" t="s">
        <v>5583</v>
      </c>
      <c r="E57" s="265" t="s">
        <v>5570</v>
      </c>
      <c r="F57" s="268" t="s">
        <v>5571</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5470</v>
      </c>
      <c r="B58" s="260" t="s">
        <v>2740</v>
      </c>
      <c r="C58" s="261" t="s">
        <v>5584</v>
      </c>
      <c r="D58" s="264" t="s">
        <v>5585</v>
      </c>
      <c r="E58" s="265" t="s">
        <v>5474</v>
      </c>
      <c r="F58" s="268" t="s">
        <v>5571</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5470</v>
      </c>
      <c r="B59" s="260" t="s">
        <v>2740</v>
      </c>
      <c r="C59" s="261" t="s">
        <v>5586</v>
      </c>
      <c r="D59" s="264" t="s">
        <v>5587</v>
      </c>
      <c r="E59" s="265" t="s">
        <v>5474</v>
      </c>
      <c r="F59" s="268" t="s">
        <v>5571</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5470</v>
      </c>
      <c r="B60" s="259" t="s">
        <v>5588</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5470</v>
      </c>
      <c r="B61" s="260" t="s">
        <v>5588</v>
      </c>
      <c r="C61" s="261" t="s">
        <v>5589</v>
      </c>
      <c r="D61" s="264" t="s">
        <v>5590</v>
      </c>
      <c r="E61" s="265" t="s">
        <v>5474</v>
      </c>
      <c r="F61" s="268" t="s">
        <v>5591</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5470</v>
      </c>
      <c r="B62" s="260" t="s">
        <v>5588</v>
      </c>
      <c r="C62" s="261" t="s">
        <v>5592</v>
      </c>
      <c r="D62" s="264" t="s">
        <v>5593</v>
      </c>
      <c r="E62" s="265" t="s">
        <v>5474</v>
      </c>
      <c r="F62" s="268" t="s">
        <v>5591</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5470</v>
      </c>
      <c r="B63" s="260" t="s">
        <v>5588</v>
      </c>
      <c r="C63" s="261" t="s">
        <v>5594</v>
      </c>
      <c r="D63" s="264" t="s">
        <v>5595</v>
      </c>
      <c r="E63" s="265" t="s">
        <v>5474</v>
      </c>
      <c r="F63" s="268" t="s">
        <v>5591</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5470</v>
      </c>
      <c r="B64" s="260" t="s">
        <v>5588</v>
      </c>
      <c r="C64" s="261" t="s">
        <v>5596</v>
      </c>
      <c r="D64" s="264" t="s">
        <v>5597</v>
      </c>
      <c r="E64" s="265" t="s">
        <v>5474</v>
      </c>
      <c r="F64" s="268" t="s">
        <v>5591</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5470</v>
      </c>
      <c r="B65" s="260" t="s">
        <v>5588</v>
      </c>
      <c r="C65" s="261" t="s">
        <v>5598</v>
      </c>
      <c r="D65" s="264" t="s">
        <v>5599</v>
      </c>
      <c r="E65" s="265" t="s">
        <v>5474</v>
      </c>
      <c r="F65" s="268" t="s">
        <v>5591</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5470</v>
      </c>
      <c r="B66" s="260" t="s">
        <v>5588</v>
      </c>
      <c r="C66" s="261" t="s">
        <v>5600</v>
      </c>
      <c r="D66" s="264" t="s">
        <v>5601</v>
      </c>
      <c r="E66" s="265" t="s">
        <v>5474</v>
      </c>
      <c r="F66" s="268" t="s">
        <v>5591</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5470</v>
      </c>
      <c r="B67" s="260" t="s">
        <v>5588</v>
      </c>
      <c r="C67" s="261" t="s">
        <v>5602</v>
      </c>
      <c r="D67" s="264" t="s">
        <v>5603</v>
      </c>
      <c r="E67" s="265" t="s">
        <v>5474</v>
      </c>
      <c r="F67" s="268" t="s">
        <v>5591</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5470</v>
      </c>
      <c r="B68" s="260" t="s">
        <v>5588</v>
      </c>
      <c r="C68" s="261" t="s">
        <v>5604</v>
      </c>
      <c r="D68" s="264" t="s">
        <v>5605</v>
      </c>
      <c r="E68" s="265" t="s">
        <v>5474</v>
      </c>
      <c r="F68" s="268" t="s">
        <v>5606</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5470</v>
      </c>
      <c r="B69" s="260" t="s">
        <v>5588</v>
      </c>
      <c r="C69" s="261" t="s">
        <v>5607</v>
      </c>
      <c r="D69" s="264" t="s">
        <v>5608</v>
      </c>
      <c r="E69" s="265" t="s">
        <v>5474</v>
      </c>
      <c r="F69" s="268" t="s">
        <v>5606</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5470</v>
      </c>
      <c r="B70" s="260" t="s">
        <v>5588</v>
      </c>
      <c r="C70" s="261" t="s">
        <v>5609</v>
      </c>
      <c r="D70" s="264" t="s">
        <v>5610</v>
      </c>
      <c r="E70" s="265" t="s">
        <v>5474</v>
      </c>
      <c r="F70" s="268" t="s">
        <v>5606</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5470</v>
      </c>
      <c r="B71" s="260" t="s">
        <v>5588</v>
      </c>
      <c r="C71" s="261" t="s">
        <v>5611</v>
      </c>
      <c r="D71" s="264" t="s">
        <v>5612</v>
      </c>
      <c r="E71" s="265" t="s">
        <v>5474</v>
      </c>
      <c r="F71" s="268" t="s">
        <v>5613</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5470</v>
      </c>
      <c r="B72" s="260" t="s">
        <v>5588</v>
      </c>
      <c r="C72" s="261" t="s">
        <v>5614</v>
      </c>
      <c r="D72" s="264" t="s">
        <v>5615</v>
      </c>
      <c r="E72" s="265" t="s">
        <v>5474</v>
      </c>
      <c r="F72" s="268" t="s">
        <v>5591</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5470</v>
      </c>
      <c r="B73" s="260" t="s">
        <v>5588</v>
      </c>
      <c r="C73" s="261" t="s">
        <v>5616</v>
      </c>
      <c r="D73" s="264" t="s">
        <v>5617</v>
      </c>
      <c r="E73" s="265" t="s">
        <v>5618</v>
      </c>
      <c r="F73" s="268" t="s">
        <v>5591</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5470</v>
      </c>
      <c r="B74" s="259" t="s">
        <v>5619</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5470</v>
      </c>
      <c r="B75" s="260" t="s">
        <v>5619</v>
      </c>
      <c r="C75" s="261" t="s">
        <v>5620</v>
      </c>
      <c r="D75" s="264" t="s">
        <v>5621</v>
      </c>
      <c r="E75" s="265" t="s">
        <v>5618</v>
      </c>
      <c r="F75" s="268" t="s">
        <v>5622</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5470</v>
      </c>
      <c r="B76" s="260" t="s">
        <v>5619</v>
      </c>
      <c r="C76" s="261" t="s">
        <v>5623</v>
      </c>
      <c r="D76" s="264" t="s">
        <v>5624</v>
      </c>
      <c r="E76" s="265" t="s">
        <v>5618</v>
      </c>
      <c r="F76" s="268" t="s">
        <v>5622</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5470</v>
      </c>
      <c r="B77" s="260" t="s">
        <v>5619</v>
      </c>
      <c r="C77" s="261" t="s">
        <v>5625</v>
      </c>
      <c r="D77" s="264" t="s">
        <v>5626</v>
      </c>
      <c r="E77" s="265" t="s">
        <v>5618</v>
      </c>
      <c r="F77" s="268" t="s">
        <v>5622</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5470</v>
      </c>
      <c r="B78" s="260" t="s">
        <v>5619</v>
      </c>
      <c r="C78" s="261" t="s">
        <v>5627</v>
      </c>
      <c r="D78" s="264" t="s">
        <v>5628</v>
      </c>
      <c r="E78" s="265" t="s">
        <v>5618</v>
      </c>
      <c r="F78" s="268" t="s">
        <v>5622</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5470</v>
      </c>
      <c r="B79" s="260" t="s">
        <v>5619</v>
      </c>
      <c r="C79" s="261" t="s">
        <v>5629</v>
      </c>
      <c r="D79" s="264" t="s">
        <v>5630</v>
      </c>
      <c r="E79" s="265" t="s">
        <v>5618</v>
      </c>
      <c r="F79" s="268" t="s">
        <v>5622</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5470</v>
      </c>
      <c r="B80" s="260" t="s">
        <v>5619</v>
      </c>
      <c r="C80" s="261" t="s">
        <v>5631</v>
      </c>
      <c r="D80" s="264" t="s">
        <v>5632</v>
      </c>
      <c r="E80" s="265" t="s">
        <v>5618</v>
      </c>
      <c r="F80" s="268" t="s">
        <v>5622</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5470</v>
      </c>
      <c r="B81" s="260" t="s">
        <v>5619</v>
      </c>
      <c r="C81" s="261" t="s">
        <v>5633</v>
      </c>
      <c r="D81" s="264" t="s">
        <v>5634</v>
      </c>
      <c r="E81" s="265" t="s">
        <v>5618</v>
      </c>
      <c r="F81" s="268" t="s">
        <v>5622</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5470</v>
      </c>
      <c r="B82" s="260" t="s">
        <v>5619</v>
      </c>
      <c r="C82" s="261" t="s">
        <v>5635</v>
      </c>
      <c r="D82" s="264" t="s">
        <v>5636</v>
      </c>
      <c r="E82" s="265" t="s">
        <v>5618</v>
      </c>
      <c r="F82" s="268" t="s">
        <v>5622</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5470</v>
      </c>
      <c r="B83" s="260" t="s">
        <v>5619</v>
      </c>
      <c r="C83" s="261" t="s">
        <v>5637</v>
      </c>
      <c r="D83" s="264" t="s">
        <v>5638</v>
      </c>
      <c r="E83" s="265" t="s">
        <v>5618</v>
      </c>
      <c r="F83" s="268" t="s">
        <v>5622</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5470</v>
      </c>
      <c r="B84" s="260" t="s">
        <v>5619</v>
      </c>
      <c r="C84" s="261" t="s">
        <v>5639</v>
      </c>
      <c r="D84" s="264" t="s">
        <v>5640</v>
      </c>
      <c r="E84" s="265" t="s">
        <v>5618</v>
      </c>
      <c r="F84" s="268" t="s">
        <v>5622</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5470</v>
      </c>
      <c r="B85" s="260" t="s">
        <v>5619</v>
      </c>
      <c r="C85" s="261" t="s">
        <v>5641</v>
      </c>
      <c r="D85" s="264" t="s">
        <v>5642</v>
      </c>
      <c r="E85" s="265" t="s">
        <v>5618</v>
      </c>
      <c r="F85" s="268" t="s">
        <v>5622</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5470</v>
      </c>
      <c r="B86" s="260" t="s">
        <v>5619</v>
      </c>
      <c r="C86" s="261" t="s">
        <v>5643</v>
      </c>
      <c r="D86" s="264" t="s">
        <v>5644</v>
      </c>
      <c r="E86" s="265" t="s">
        <v>5618</v>
      </c>
      <c r="F86" s="268" t="s">
        <v>5622</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5470</v>
      </c>
      <c r="B87" s="260" t="s">
        <v>5619</v>
      </c>
      <c r="C87" s="261" t="s">
        <v>5645</v>
      </c>
      <c r="D87" s="264" t="s">
        <v>5646</v>
      </c>
      <c r="E87" s="265" t="s">
        <v>5618</v>
      </c>
      <c r="F87" s="268" t="s">
        <v>5622</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5470</v>
      </c>
      <c r="B88" s="260" t="s">
        <v>5619</v>
      </c>
      <c r="C88" s="261" t="s">
        <v>5647</v>
      </c>
      <c r="D88" s="264" t="s">
        <v>5648</v>
      </c>
      <c r="E88" s="265" t="s">
        <v>5618</v>
      </c>
      <c r="F88" s="268" t="s">
        <v>5606</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5470</v>
      </c>
      <c r="B89" s="260" t="s">
        <v>5619</v>
      </c>
      <c r="C89" s="261" t="s">
        <v>5649</v>
      </c>
      <c r="D89" s="264" t="s">
        <v>5650</v>
      </c>
      <c r="E89" s="265" t="s">
        <v>5618</v>
      </c>
      <c r="F89" s="268" t="s">
        <v>5606</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5470</v>
      </c>
      <c r="B90" s="260" t="s">
        <v>5619</v>
      </c>
      <c r="C90" s="261" t="s">
        <v>5651</v>
      </c>
      <c r="D90" s="264" t="s">
        <v>5652</v>
      </c>
      <c r="E90" s="265" t="s">
        <v>5618</v>
      </c>
      <c r="F90" s="268" t="s">
        <v>5606</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5470</v>
      </c>
      <c r="B91" s="259" t="s">
        <v>5653</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5470</v>
      </c>
      <c r="B92" s="260" t="s">
        <v>5653</v>
      </c>
      <c r="C92" s="261" t="s">
        <v>5654</v>
      </c>
      <c r="D92" s="264" t="s">
        <v>5655</v>
      </c>
      <c r="E92" s="265" t="s">
        <v>5474</v>
      </c>
      <c r="F92" s="268" t="s">
        <v>5606</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5470</v>
      </c>
      <c r="B93" s="260" t="s">
        <v>5653</v>
      </c>
      <c r="C93" s="261" t="s">
        <v>5656</v>
      </c>
      <c r="D93" s="264" t="s">
        <v>5657</v>
      </c>
      <c r="E93" s="265" t="s">
        <v>5474</v>
      </c>
      <c r="F93" s="268" t="s">
        <v>5606</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5470</v>
      </c>
      <c r="B94" s="260" t="s">
        <v>5653</v>
      </c>
      <c r="C94" s="261" t="s">
        <v>5658</v>
      </c>
      <c r="D94" s="264" t="s">
        <v>5659</v>
      </c>
      <c r="E94" s="265" t="s">
        <v>5474</v>
      </c>
      <c r="F94" s="268" t="s">
        <v>5606</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5470</v>
      </c>
      <c r="B95" s="260" t="s">
        <v>5653</v>
      </c>
      <c r="C95" s="261" t="s">
        <v>5660</v>
      </c>
      <c r="D95" s="264" t="s">
        <v>5661</v>
      </c>
      <c r="E95" s="265" t="s">
        <v>5474</v>
      </c>
      <c r="F95" s="268" t="s">
        <v>5606</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5470</v>
      </c>
      <c r="B96" s="260" t="s">
        <v>5653</v>
      </c>
      <c r="C96" s="261" t="s">
        <v>5662</v>
      </c>
      <c r="D96" s="264" t="s">
        <v>5663</v>
      </c>
      <c r="E96" s="265" t="s">
        <v>5474</v>
      </c>
      <c r="F96" s="268" t="s">
        <v>5606</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5470</v>
      </c>
      <c r="B97" s="260" t="s">
        <v>5653</v>
      </c>
      <c r="C97" s="261" t="s">
        <v>5664</v>
      </c>
      <c r="D97" s="264" t="s">
        <v>5665</v>
      </c>
      <c r="E97" s="265" t="s">
        <v>5474</v>
      </c>
      <c r="F97" s="268" t="s">
        <v>5666</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5470</v>
      </c>
      <c r="B98" s="260" t="s">
        <v>5653</v>
      </c>
      <c r="C98" s="261" t="s">
        <v>5667</v>
      </c>
      <c r="D98" s="264" t="s">
        <v>5668</v>
      </c>
      <c r="E98" s="265" t="s">
        <v>5474</v>
      </c>
      <c r="F98" s="268" t="s">
        <v>5666</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5470</v>
      </c>
      <c r="B99" s="260" t="s">
        <v>5653</v>
      </c>
      <c r="C99" s="261" t="s">
        <v>5669</v>
      </c>
      <c r="D99" s="264" t="s">
        <v>5670</v>
      </c>
      <c r="E99" s="265" t="s">
        <v>5474</v>
      </c>
      <c r="F99" s="268" t="s">
        <v>5666</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5470</v>
      </c>
      <c r="B100" s="260" t="s">
        <v>5653</v>
      </c>
      <c r="C100" s="261" t="s">
        <v>5671</v>
      </c>
      <c r="D100" s="264" t="s">
        <v>5672</v>
      </c>
      <c r="E100" s="265" t="s">
        <v>5474</v>
      </c>
      <c r="F100" s="268" t="s">
        <v>5666</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5470</v>
      </c>
      <c r="B101" s="260" t="s">
        <v>5653</v>
      </c>
      <c r="C101" s="261" t="s">
        <v>5673</v>
      </c>
      <c r="D101" s="264" t="s">
        <v>5674</v>
      </c>
      <c r="E101" s="265" t="s">
        <v>5474</v>
      </c>
      <c r="F101" s="268" t="s">
        <v>5606</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5470</v>
      </c>
      <c r="B102" s="260" t="s">
        <v>5653</v>
      </c>
      <c r="C102" s="261" t="s">
        <v>5675</v>
      </c>
      <c r="D102" s="264" t="s">
        <v>5676</v>
      </c>
      <c r="E102" s="265" t="s">
        <v>5618</v>
      </c>
      <c r="F102" s="268" t="s">
        <v>5606</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5470</v>
      </c>
      <c r="B103" s="260" t="s">
        <v>5653</v>
      </c>
      <c r="C103" s="261" t="s">
        <v>5677</v>
      </c>
      <c r="D103" s="264" t="s">
        <v>5678</v>
      </c>
      <c r="E103" s="265" t="s">
        <v>5618</v>
      </c>
      <c r="F103" s="268" t="s">
        <v>5606</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5470</v>
      </c>
      <c r="B104" s="260" t="s">
        <v>5653</v>
      </c>
      <c r="C104" s="261" t="s">
        <v>5679</v>
      </c>
      <c r="D104" s="264" t="s">
        <v>5680</v>
      </c>
      <c r="E104" s="265" t="s">
        <v>5618</v>
      </c>
      <c r="F104" s="268" t="s">
        <v>5606</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5470</v>
      </c>
      <c r="B105" s="260" t="s">
        <v>5653</v>
      </c>
      <c r="C105" s="261" t="s">
        <v>5681</v>
      </c>
      <c r="D105" s="264" t="s">
        <v>5682</v>
      </c>
      <c r="E105" s="265" t="s">
        <v>5503</v>
      </c>
      <c r="F105" s="268" t="s">
        <v>5606</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5470</v>
      </c>
      <c r="B106" s="259" t="s">
        <v>5683</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5470</v>
      </c>
      <c r="B107" s="260" t="s">
        <v>5683</v>
      </c>
      <c r="C107" s="261" t="s">
        <v>5684</v>
      </c>
      <c r="D107" s="264" t="s">
        <v>5685</v>
      </c>
      <c r="E107" s="265" t="s">
        <v>5618</v>
      </c>
      <c r="F107" s="268" t="s">
        <v>5606</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5470</v>
      </c>
      <c r="B108" s="260" t="s">
        <v>5683</v>
      </c>
      <c r="C108" s="261" t="s">
        <v>5686</v>
      </c>
      <c r="D108" s="264" t="s">
        <v>5687</v>
      </c>
      <c r="E108" s="265" t="s">
        <v>5618</v>
      </c>
      <c r="F108" s="268" t="s">
        <v>5606</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5470</v>
      </c>
      <c r="B109" s="260" t="s">
        <v>5683</v>
      </c>
      <c r="C109" s="261" t="s">
        <v>5688</v>
      </c>
      <c r="D109" s="264" t="s">
        <v>5689</v>
      </c>
      <c r="E109" s="265" t="s">
        <v>5618</v>
      </c>
      <c r="F109" s="268" t="s">
        <v>5606</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5470</v>
      </c>
      <c r="B110" s="260" t="s">
        <v>5683</v>
      </c>
      <c r="C110" s="261" t="s">
        <v>5690</v>
      </c>
      <c r="D110" s="264" t="s">
        <v>5691</v>
      </c>
      <c r="E110" s="265" t="s">
        <v>5618</v>
      </c>
      <c r="F110" s="268" t="s">
        <v>5606</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5470</v>
      </c>
      <c r="B111" s="260" t="s">
        <v>5683</v>
      </c>
      <c r="C111" s="261" t="s">
        <v>5692</v>
      </c>
      <c r="D111" s="264" t="s">
        <v>5693</v>
      </c>
      <c r="E111" s="265" t="s">
        <v>5618</v>
      </c>
      <c r="F111" s="268" t="s">
        <v>5606</v>
      </c>
      <c r="G111" s="271">
        <f>IF(COUNTIF(H111:AU111,"&lt;&gt;")=0,"",SUMPRODUCT(((Recommendations[ImplStatus]="Implemented")+(Recommendations[ImplStatus]="Compensated"))*ISNUMBER(MATCH(Recommendations[Id],H111:AU111,0)))/COUNTIF(H111:AU111,"&lt;&gt;"))</f>
        <v>0</v>
      </c>
      <c r="H111" s="272" t="s">
        <v>381</v>
      </c>
      <c r="I111" s="272" t="s">
        <v>537</v>
      </c>
      <c r="J111" s="272" t="s">
        <v>600</v>
      </c>
      <c r="K111" s="272" t="s">
        <v>605</v>
      </c>
      <c r="L111" s="272" t="s">
        <v>610</v>
      </c>
      <c r="M111" s="272" t="s">
        <v>615</v>
      </c>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5470</v>
      </c>
      <c r="B112" s="260" t="s">
        <v>5683</v>
      </c>
      <c r="C112" s="261" t="s">
        <v>5694</v>
      </c>
      <c r="D112" s="264" t="s">
        <v>5695</v>
      </c>
      <c r="E112" s="265" t="s">
        <v>5618</v>
      </c>
      <c r="F112" s="268" t="s">
        <v>5606</v>
      </c>
      <c r="G112" s="271">
        <f>IF(COUNTIF(H112:AU112,"&lt;&gt;")=0,"",SUMPRODUCT(((Recommendations[ImplStatus]="Implemented")+(Recommendations[ImplStatus]="Compensated"))*ISNUMBER(MATCH(Recommendations[Id],H112:AU112,0)))/COUNTIF(H112:AU112,"&lt;&gt;"))</f>
        <v>0</v>
      </c>
      <c r="H112" s="272" t="s">
        <v>381</v>
      </c>
      <c r="I112" s="272" t="s">
        <v>605</v>
      </c>
      <c r="J112" s="272" t="s">
        <v>615</v>
      </c>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5470</v>
      </c>
      <c r="B113" s="260" t="s">
        <v>5683</v>
      </c>
      <c r="C113" s="261" t="s">
        <v>5696</v>
      </c>
      <c r="D113" s="264" t="s">
        <v>5697</v>
      </c>
      <c r="E113" s="265" t="s">
        <v>5618</v>
      </c>
      <c r="F113" s="268" t="s">
        <v>5606</v>
      </c>
      <c r="G113" s="271">
        <f>IF(COUNTIF(H113:AU113,"&lt;&gt;")=0,"",SUMPRODUCT(((Recommendations[ImplStatus]="Implemented")+(Recommendations[ImplStatus]="Compensated"))*ISNUMBER(MATCH(Recommendations[Id],H113:AU113,0)))/COUNTIF(H113:AU113,"&lt;&gt;"))</f>
        <v>0</v>
      </c>
      <c r="H113" s="272" t="s">
        <v>281</v>
      </c>
      <c r="I113" s="272" t="s">
        <v>286</v>
      </c>
      <c r="J113" s="272" t="s">
        <v>296</v>
      </c>
      <c r="K113" s="272" t="s">
        <v>301</v>
      </c>
      <c r="L113" s="272" t="s">
        <v>306</v>
      </c>
      <c r="M113" s="272" t="s">
        <v>311</v>
      </c>
      <c r="N113" s="272" t="s">
        <v>321</v>
      </c>
      <c r="O113" s="272" t="s">
        <v>330</v>
      </c>
      <c r="P113" s="272" t="s">
        <v>335</v>
      </c>
      <c r="Q113" s="272" t="s">
        <v>340</v>
      </c>
      <c r="R113" s="272" t="s">
        <v>348</v>
      </c>
      <c r="S113" s="272" t="s">
        <v>361</v>
      </c>
      <c r="T113" s="272" t="s">
        <v>376</v>
      </c>
      <c r="U113" s="272" t="s">
        <v>386</v>
      </c>
      <c r="V113" s="272" t="s">
        <v>391</v>
      </c>
      <c r="W113" s="272" t="s">
        <v>406</v>
      </c>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5470</v>
      </c>
      <c r="B114" s="260" t="s">
        <v>5683</v>
      </c>
      <c r="C114" s="261" t="s">
        <v>5698</v>
      </c>
      <c r="D114" s="264" t="s">
        <v>5699</v>
      </c>
      <c r="E114" s="265" t="s">
        <v>5618</v>
      </c>
      <c r="F114" s="268" t="s">
        <v>5606</v>
      </c>
      <c r="G114" s="271">
        <f>IF(COUNTIF(H114:AU114,"&lt;&gt;")=0,"",SUMPRODUCT(((Recommendations[ImplStatus]="Implemented")+(Recommendations[ImplStatus]="Compensated"))*ISNUMBER(MATCH(Recommendations[Id],H114:AU114,0)))/COUNTIF(H114:AU114,"&lt;&gt;"))</f>
        <v>0</v>
      </c>
      <c r="H114" s="272" t="s">
        <v>281</v>
      </c>
      <c r="I114" s="272" t="s">
        <v>286</v>
      </c>
      <c r="J114" s="272" t="s">
        <v>296</v>
      </c>
      <c r="K114" s="272" t="s">
        <v>301</v>
      </c>
      <c r="L114" s="272" t="s">
        <v>306</v>
      </c>
      <c r="M114" s="272" t="s">
        <v>311</v>
      </c>
      <c r="N114" s="272" t="s">
        <v>321</v>
      </c>
      <c r="O114" s="272" t="s">
        <v>335</v>
      </c>
      <c r="P114" s="272" t="s">
        <v>340</v>
      </c>
      <c r="Q114" s="272" t="s">
        <v>348</v>
      </c>
      <c r="R114" s="272" t="s">
        <v>376</v>
      </c>
      <c r="S114" s="272" t="s">
        <v>386</v>
      </c>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5470</v>
      </c>
      <c r="B115" s="260" t="s">
        <v>5683</v>
      </c>
      <c r="C115" s="261" t="s">
        <v>5700</v>
      </c>
      <c r="D115" s="264" t="s">
        <v>5701</v>
      </c>
      <c r="E115" s="265" t="s">
        <v>5618</v>
      </c>
      <c r="F115" s="268" t="s">
        <v>5606</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5470</v>
      </c>
      <c r="B116" s="260" t="s">
        <v>5683</v>
      </c>
      <c r="C116" s="261" t="s">
        <v>5702</v>
      </c>
      <c r="D116" s="264" t="s">
        <v>5703</v>
      </c>
      <c r="E116" s="265" t="s">
        <v>5618</v>
      </c>
      <c r="F116" s="268" t="s">
        <v>5606</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5470</v>
      </c>
      <c r="B117" s="260" t="s">
        <v>5683</v>
      </c>
      <c r="C117" s="261" t="s">
        <v>5704</v>
      </c>
      <c r="D117" s="264" t="s">
        <v>5705</v>
      </c>
      <c r="E117" s="265" t="s">
        <v>5618</v>
      </c>
      <c r="F117" s="268" t="s">
        <v>5606</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5706</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5706</v>
      </c>
      <c r="B119" s="259" t="s">
        <v>5707</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5706</v>
      </c>
      <c r="B120" s="260" t="s">
        <v>5707</v>
      </c>
      <c r="C120" s="261" t="s">
        <v>5708</v>
      </c>
      <c r="D120" s="264" t="s">
        <v>5709</v>
      </c>
      <c r="E120" s="265" t="s">
        <v>5474</v>
      </c>
      <c r="F120" s="268" t="s">
        <v>5710</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5706</v>
      </c>
      <c r="B121" s="260" t="s">
        <v>5707</v>
      </c>
      <c r="C121" s="261" t="s">
        <v>5711</v>
      </c>
      <c r="D121" s="264" t="s">
        <v>5712</v>
      </c>
      <c r="E121" s="265" t="s">
        <v>5474</v>
      </c>
      <c r="F121" s="268" t="s">
        <v>5710</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5706</v>
      </c>
      <c r="B122" s="260" t="s">
        <v>5707</v>
      </c>
      <c r="C122" s="261" t="s">
        <v>5713</v>
      </c>
      <c r="D122" s="264" t="s">
        <v>5714</v>
      </c>
      <c r="E122" s="265" t="s">
        <v>5474</v>
      </c>
      <c r="F122" s="268" t="s">
        <v>5710</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5706</v>
      </c>
      <c r="B123" s="260" t="s">
        <v>5707</v>
      </c>
      <c r="C123" s="261" t="s">
        <v>5715</v>
      </c>
      <c r="D123" s="264" t="s">
        <v>5716</v>
      </c>
      <c r="E123" s="265" t="s">
        <v>5474</v>
      </c>
      <c r="F123" s="268" t="s">
        <v>5710</v>
      </c>
      <c r="G123" s="271">
        <f>IF(COUNTIF(H123:AU123,"&lt;&gt;")=0,"",SUMPRODUCT(((Recommendations[ImplStatus]="Implemented")+(Recommendations[ImplStatus]="Compensated"))*ISNUMBER(MATCH(Recommendations[Id],H123:AU123,0)))/COUNTIF(H123:AU123,"&lt;&gt;"))</f>
        <v>0</v>
      </c>
      <c r="H123" s="272" t="s">
        <v>122</v>
      </c>
      <c r="I123" s="272" t="s">
        <v>127</v>
      </c>
      <c r="J123" s="272" t="s">
        <v>132</v>
      </c>
      <c r="K123" s="272" t="s">
        <v>231</v>
      </c>
      <c r="L123" s="272" t="s">
        <v>236</v>
      </c>
      <c r="M123" s="272" t="s">
        <v>241</v>
      </c>
      <c r="N123" s="272" t="s">
        <v>260</v>
      </c>
      <c r="O123" s="272" t="s">
        <v>487</v>
      </c>
      <c r="P123" s="272" t="s">
        <v>665</v>
      </c>
      <c r="Q123" s="272" t="s">
        <v>670</v>
      </c>
      <c r="R123" s="272" t="s">
        <v>674</v>
      </c>
      <c r="S123" s="272" t="s">
        <v>684</v>
      </c>
      <c r="T123" s="272" t="s">
        <v>719</v>
      </c>
      <c r="U123" s="272" t="s">
        <v>724</v>
      </c>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5706</v>
      </c>
      <c r="B124" s="260" t="s">
        <v>5707</v>
      </c>
      <c r="C124" s="261" t="s">
        <v>5717</v>
      </c>
      <c r="D124" s="264" t="s">
        <v>5718</v>
      </c>
      <c r="E124" s="265" t="s">
        <v>5474</v>
      </c>
      <c r="F124" s="268" t="s">
        <v>5710</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5706</v>
      </c>
      <c r="B125" s="260" t="s">
        <v>5707</v>
      </c>
      <c r="C125" s="261" t="s">
        <v>5719</v>
      </c>
      <c r="D125" s="264" t="s">
        <v>5720</v>
      </c>
      <c r="E125" s="265" t="s">
        <v>5474</v>
      </c>
      <c r="F125" s="268" t="s">
        <v>5710</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5706</v>
      </c>
      <c r="B126" s="260" t="s">
        <v>5707</v>
      </c>
      <c r="C126" s="261" t="s">
        <v>5721</v>
      </c>
      <c r="D126" s="264" t="s">
        <v>5722</v>
      </c>
      <c r="E126" s="265" t="s">
        <v>5474</v>
      </c>
      <c r="F126" s="268" t="s">
        <v>5710</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5706</v>
      </c>
      <c r="B127" s="260" t="s">
        <v>5707</v>
      </c>
      <c r="C127" s="261" t="s">
        <v>5723</v>
      </c>
      <c r="D127" s="264" t="s">
        <v>5724</v>
      </c>
      <c r="E127" s="265" t="s">
        <v>5474</v>
      </c>
      <c r="F127" s="268" t="s">
        <v>5710</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5706</v>
      </c>
      <c r="B128" s="260" t="s">
        <v>5707</v>
      </c>
      <c r="C128" s="261" t="s">
        <v>5725</v>
      </c>
      <c r="D128" s="264" t="s">
        <v>5726</v>
      </c>
      <c r="E128" s="265" t="s">
        <v>5474</v>
      </c>
      <c r="F128" s="268" t="s">
        <v>5710</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5706</v>
      </c>
      <c r="B129" s="260" t="s">
        <v>5707</v>
      </c>
      <c r="C129" s="261" t="s">
        <v>5727</v>
      </c>
      <c r="D129" s="264" t="s">
        <v>5728</v>
      </c>
      <c r="E129" s="265" t="s">
        <v>5474</v>
      </c>
      <c r="F129" s="268" t="s">
        <v>5710</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5706</v>
      </c>
      <c r="B130" s="260" t="s">
        <v>5707</v>
      </c>
      <c r="C130" s="261" t="s">
        <v>5729</v>
      </c>
      <c r="D130" s="264" t="s">
        <v>5730</v>
      </c>
      <c r="E130" s="265" t="s">
        <v>5474</v>
      </c>
      <c r="F130" s="268" t="s">
        <v>5710</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5706</v>
      </c>
      <c r="B131" s="260" t="s">
        <v>5707</v>
      </c>
      <c r="C131" s="261" t="s">
        <v>5731</v>
      </c>
      <c r="D131" s="264" t="s">
        <v>5732</v>
      </c>
      <c r="E131" s="265" t="s">
        <v>5474</v>
      </c>
      <c r="F131" s="268" t="s">
        <v>5710</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5706</v>
      </c>
      <c r="B132" s="260" t="s">
        <v>5707</v>
      </c>
      <c r="C132" s="261" t="s">
        <v>5733</v>
      </c>
      <c r="D132" s="264" t="s">
        <v>5734</v>
      </c>
      <c r="E132" s="265" t="s">
        <v>5474</v>
      </c>
      <c r="F132" s="268" t="s">
        <v>5710</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5706</v>
      </c>
      <c r="B133" s="260" t="s">
        <v>5707</v>
      </c>
      <c r="C133" s="261" t="s">
        <v>5735</v>
      </c>
      <c r="D133" s="264" t="s">
        <v>5736</v>
      </c>
      <c r="E133" s="265" t="s">
        <v>5503</v>
      </c>
      <c r="F133" s="268" t="s">
        <v>5710</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5706</v>
      </c>
      <c r="B134" s="260" t="s">
        <v>5707</v>
      </c>
      <c r="C134" s="261" t="s">
        <v>5737</v>
      </c>
      <c r="D134" s="264" t="s">
        <v>5738</v>
      </c>
      <c r="E134" s="265" t="s">
        <v>5503</v>
      </c>
      <c r="F134" s="268" t="s">
        <v>5710</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5706</v>
      </c>
      <c r="B135" s="260" t="s">
        <v>5707</v>
      </c>
      <c r="C135" s="261" t="s">
        <v>5739</v>
      </c>
      <c r="D135" s="264" t="s">
        <v>5740</v>
      </c>
      <c r="E135" s="265" t="s">
        <v>5618</v>
      </c>
      <c r="F135" s="268" t="s">
        <v>5710</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5706</v>
      </c>
      <c r="B136" s="260" t="s">
        <v>5707</v>
      </c>
      <c r="C136" s="261" t="s">
        <v>5741</v>
      </c>
      <c r="D136" s="264" t="s">
        <v>5742</v>
      </c>
      <c r="E136" s="265" t="s">
        <v>5503</v>
      </c>
      <c r="F136" s="268" t="s">
        <v>5710</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5706</v>
      </c>
      <c r="B137" s="260" t="s">
        <v>5707</v>
      </c>
      <c r="C137" s="261" t="s">
        <v>5743</v>
      </c>
      <c r="D137" s="264" t="s">
        <v>5744</v>
      </c>
      <c r="E137" s="265" t="s">
        <v>5503</v>
      </c>
      <c r="F137" s="268" t="s">
        <v>5710</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5706</v>
      </c>
      <c r="B138" s="260" t="s">
        <v>5707</v>
      </c>
      <c r="C138" s="261" t="s">
        <v>5745</v>
      </c>
      <c r="D138" s="264" t="s">
        <v>5746</v>
      </c>
      <c r="E138" s="265" t="s">
        <v>5618</v>
      </c>
      <c r="F138" s="268" t="s">
        <v>5710</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5706</v>
      </c>
      <c r="B139" s="260" t="s">
        <v>5707</v>
      </c>
      <c r="C139" s="261" t="s">
        <v>5747</v>
      </c>
      <c r="D139" s="264" t="s">
        <v>5748</v>
      </c>
      <c r="E139" s="265" t="s">
        <v>5618</v>
      </c>
      <c r="F139" s="268" t="s">
        <v>5710</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5706</v>
      </c>
      <c r="B140" s="260" t="s">
        <v>5707</v>
      </c>
      <c r="C140" s="261" t="s">
        <v>5749</v>
      </c>
      <c r="D140" s="264" t="s">
        <v>5750</v>
      </c>
      <c r="E140" s="265" t="s">
        <v>5474</v>
      </c>
      <c r="F140" s="268" t="s">
        <v>5710</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5706</v>
      </c>
      <c r="B141" s="260" t="s">
        <v>5707</v>
      </c>
      <c r="C141" s="261" t="s">
        <v>5751</v>
      </c>
      <c r="D141" s="264" t="s">
        <v>5752</v>
      </c>
      <c r="E141" s="265" t="s">
        <v>5753</v>
      </c>
      <c r="F141" s="268" t="s">
        <v>5754</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5706</v>
      </c>
      <c r="B142" s="260" t="s">
        <v>5707</v>
      </c>
      <c r="C142" s="261" t="s">
        <v>5755</v>
      </c>
      <c r="D142" s="264" t="s">
        <v>5756</v>
      </c>
      <c r="E142" s="265" t="s">
        <v>5753</v>
      </c>
      <c r="F142" s="268" t="s">
        <v>5754</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5706</v>
      </c>
      <c r="B143" s="260" t="s">
        <v>5707</v>
      </c>
      <c r="C143" s="261" t="s">
        <v>5757</v>
      </c>
      <c r="D143" s="264" t="s">
        <v>5758</v>
      </c>
      <c r="E143" s="265" t="s">
        <v>5753</v>
      </c>
      <c r="F143" s="268" t="s">
        <v>5754</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5706</v>
      </c>
      <c r="B144" s="260" t="s">
        <v>5707</v>
      </c>
      <c r="C144" s="261" t="s">
        <v>5759</v>
      </c>
      <c r="D144" s="264" t="s">
        <v>5760</v>
      </c>
      <c r="E144" s="265" t="s">
        <v>5570</v>
      </c>
      <c r="F144" s="268" t="s">
        <v>5754</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5706</v>
      </c>
      <c r="B145" s="260" t="s">
        <v>5707</v>
      </c>
      <c r="C145" s="261" t="s">
        <v>5761</v>
      </c>
      <c r="D145" s="264" t="s">
        <v>5762</v>
      </c>
      <c r="E145" s="265" t="s">
        <v>5570</v>
      </c>
      <c r="F145" s="268" t="s">
        <v>5754</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5706</v>
      </c>
      <c r="B146" s="260" t="s">
        <v>5707</v>
      </c>
      <c r="C146" s="261" t="s">
        <v>5763</v>
      </c>
      <c r="D146" s="264" t="s">
        <v>5764</v>
      </c>
      <c r="E146" s="265" t="s">
        <v>5570</v>
      </c>
      <c r="F146" s="268" t="s">
        <v>5754</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5706</v>
      </c>
      <c r="B147" s="259" t="s">
        <v>5765</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5706</v>
      </c>
      <c r="B148" s="260" t="s">
        <v>5765</v>
      </c>
      <c r="C148" s="261" t="s">
        <v>5766</v>
      </c>
      <c r="D148" s="264" t="s">
        <v>5767</v>
      </c>
      <c r="E148" s="265" t="s">
        <v>5503</v>
      </c>
      <c r="F148" s="268" t="s">
        <v>5768</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5706</v>
      </c>
      <c r="B149" s="260" t="s">
        <v>5765</v>
      </c>
      <c r="C149" s="261" t="s">
        <v>5769</v>
      </c>
      <c r="D149" s="264" t="s">
        <v>5770</v>
      </c>
      <c r="E149" s="265" t="s">
        <v>5503</v>
      </c>
      <c r="F149" s="268" t="s">
        <v>5768</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5706</v>
      </c>
      <c r="B150" s="260" t="s">
        <v>5765</v>
      </c>
      <c r="C150" s="261" t="s">
        <v>5771</v>
      </c>
      <c r="D150" s="264" t="s">
        <v>5772</v>
      </c>
      <c r="E150" s="265" t="s">
        <v>5503</v>
      </c>
      <c r="F150" s="268" t="s">
        <v>5768</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5706</v>
      </c>
      <c r="B151" s="260" t="s">
        <v>5765</v>
      </c>
      <c r="C151" s="261" t="s">
        <v>5773</v>
      </c>
      <c r="D151" s="264" t="s">
        <v>5774</v>
      </c>
      <c r="E151" s="265" t="s">
        <v>5503</v>
      </c>
      <c r="F151" s="268" t="s">
        <v>5768</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5706</v>
      </c>
      <c r="B152" s="260" t="s">
        <v>5765</v>
      </c>
      <c r="C152" s="261" t="s">
        <v>5775</v>
      </c>
      <c r="D152" s="264" t="s">
        <v>5776</v>
      </c>
      <c r="E152" s="265" t="s">
        <v>5503</v>
      </c>
      <c r="F152" s="268" t="s">
        <v>5768</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5706</v>
      </c>
      <c r="B153" s="260" t="s">
        <v>5765</v>
      </c>
      <c r="C153" s="261" t="s">
        <v>5777</v>
      </c>
      <c r="D153" s="264" t="s">
        <v>5778</v>
      </c>
      <c r="E153" s="265" t="s">
        <v>5503</v>
      </c>
      <c r="F153" s="268" t="s">
        <v>5768</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5706</v>
      </c>
      <c r="B154" s="260" t="s">
        <v>5765</v>
      </c>
      <c r="C154" s="261" t="s">
        <v>5779</v>
      </c>
      <c r="D154" s="264" t="s">
        <v>5780</v>
      </c>
      <c r="E154" s="265" t="s">
        <v>5503</v>
      </c>
      <c r="F154" s="268" t="s">
        <v>5768</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5706</v>
      </c>
      <c r="B155" s="260" t="s">
        <v>5765</v>
      </c>
      <c r="C155" s="261" t="s">
        <v>5781</v>
      </c>
      <c r="D155" s="264" t="s">
        <v>5782</v>
      </c>
      <c r="E155" s="265" t="s">
        <v>5503</v>
      </c>
      <c r="F155" s="268" t="s">
        <v>5768</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5706</v>
      </c>
      <c r="B156" s="260" t="s">
        <v>5765</v>
      </c>
      <c r="C156" s="261" t="s">
        <v>5783</v>
      </c>
      <c r="D156" s="264" t="s">
        <v>5784</v>
      </c>
      <c r="E156" s="265" t="s">
        <v>5503</v>
      </c>
      <c r="F156" s="268" t="s">
        <v>5768</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5706</v>
      </c>
      <c r="B157" s="260" t="s">
        <v>5765</v>
      </c>
      <c r="C157" s="261" t="s">
        <v>5785</v>
      </c>
      <c r="D157" s="264" t="s">
        <v>5786</v>
      </c>
      <c r="E157" s="265" t="s">
        <v>5503</v>
      </c>
      <c r="F157" s="268" t="s">
        <v>5768</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5706</v>
      </c>
      <c r="B158" s="260" t="s">
        <v>5765</v>
      </c>
      <c r="C158" s="261" t="s">
        <v>5787</v>
      </c>
      <c r="D158" s="264" t="s">
        <v>5788</v>
      </c>
      <c r="E158" s="265" t="s">
        <v>5503</v>
      </c>
      <c r="F158" s="268" t="s">
        <v>5768</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5706</v>
      </c>
      <c r="B159" s="260" t="s">
        <v>5765</v>
      </c>
      <c r="C159" s="261" t="s">
        <v>5789</v>
      </c>
      <c r="D159" s="264" t="s">
        <v>5790</v>
      </c>
      <c r="E159" s="265" t="s">
        <v>5503</v>
      </c>
      <c r="F159" s="268" t="s">
        <v>5768</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5706</v>
      </c>
      <c r="B160" s="260" t="s">
        <v>5765</v>
      </c>
      <c r="C160" s="261" t="s">
        <v>5791</v>
      </c>
      <c r="D160" s="264" t="s">
        <v>5792</v>
      </c>
      <c r="E160" s="265" t="s">
        <v>5503</v>
      </c>
      <c r="F160" s="268" t="s">
        <v>5793</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5706</v>
      </c>
      <c r="B161" s="260" t="s">
        <v>5765</v>
      </c>
      <c r="C161" s="261" t="s">
        <v>5794</v>
      </c>
      <c r="D161" s="264" t="s">
        <v>5795</v>
      </c>
      <c r="E161" s="265" t="s">
        <v>5503</v>
      </c>
      <c r="F161" s="268" t="s">
        <v>5793</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5706</v>
      </c>
      <c r="B162" s="260" t="s">
        <v>5765</v>
      </c>
      <c r="C162" s="261" t="s">
        <v>5796</v>
      </c>
      <c r="D162" s="264" t="s">
        <v>5797</v>
      </c>
      <c r="E162" s="265" t="s">
        <v>5503</v>
      </c>
      <c r="F162" s="268" t="s">
        <v>5793</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5706</v>
      </c>
      <c r="B163" s="260" t="s">
        <v>5765</v>
      </c>
      <c r="C163" s="261" t="s">
        <v>5798</v>
      </c>
      <c r="D163" s="264" t="s">
        <v>5799</v>
      </c>
      <c r="E163" s="265" t="s">
        <v>5503</v>
      </c>
      <c r="F163" s="268" t="s">
        <v>5793</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5706</v>
      </c>
      <c r="B164" s="260" t="s">
        <v>5765</v>
      </c>
      <c r="C164" s="261" t="s">
        <v>5800</v>
      </c>
      <c r="D164" s="264" t="s">
        <v>5801</v>
      </c>
      <c r="E164" s="265" t="s">
        <v>5503</v>
      </c>
      <c r="F164" s="268" t="s">
        <v>5793</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5706</v>
      </c>
      <c r="B165" s="259" t="s">
        <v>5802</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5706</v>
      </c>
      <c r="B166" s="260" t="s">
        <v>5802</v>
      </c>
      <c r="C166" s="261" t="s">
        <v>5803</v>
      </c>
      <c r="D166" s="264" t="s">
        <v>5804</v>
      </c>
      <c r="E166" s="265" t="s">
        <v>5474</v>
      </c>
      <c r="F166" s="268" t="s">
        <v>5805</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5706</v>
      </c>
      <c r="B167" s="260" t="s">
        <v>5802</v>
      </c>
      <c r="C167" s="261" t="s">
        <v>5806</v>
      </c>
      <c r="D167" s="264" t="s">
        <v>5807</v>
      </c>
      <c r="E167" s="265" t="s">
        <v>5618</v>
      </c>
      <c r="F167" s="268" t="s">
        <v>5805</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5706</v>
      </c>
      <c r="B168" s="260" t="s">
        <v>5802</v>
      </c>
      <c r="C168" s="261" t="s">
        <v>5808</v>
      </c>
      <c r="D168" s="264" t="s">
        <v>5809</v>
      </c>
      <c r="E168" s="265" t="s">
        <v>5570</v>
      </c>
      <c r="F168" s="268" t="s">
        <v>5805</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5706</v>
      </c>
      <c r="B169" s="260" t="s">
        <v>5802</v>
      </c>
      <c r="C169" s="261" t="s">
        <v>5810</v>
      </c>
      <c r="D169" s="264" t="s">
        <v>5811</v>
      </c>
      <c r="E169" s="265" t="s">
        <v>5570</v>
      </c>
      <c r="F169" s="268" t="s">
        <v>5805</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5706</v>
      </c>
      <c r="B170" s="260" t="s">
        <v>5802</v>
      </c>
      <c r="C170" s="261" t="s">
        <v>5812</v>
      </c>
      <c r="D170" s="264" t="s">
        <v>5813</v>
      </c>
      <c r="E170" s="265" t="s">
        <v>5618</v>
      </c>
      <c r="F170" s="268" t="s">
        <v>5805</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5706</v>
      </c>
      <c r="B171" s="260" t="s">
        <v>5802</v>
      </c>
      <c r="C171" s="261" t="s">
        <v>5814</v>
      </c>
      <c r="D171" s="264" t="s">
        <v>5815</v>
      </c>
      <c r="E171" s="265" t="s">
        <v>5503</v>
      </c>
      <c r="F171" s="268" t="s">
        <v>5805</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5706</v>
      </c>
      <c r="B172" s="260" t="s">
        <v>5802</v>
      </c>
      <c r="C172" s="261" t="s">
        <v>5816</v>
      </c>
      <c r="D172" s="264" t="s">
        <v>5817</v>
      </c>
      <c r="E172" s="265" t="s">
        <v>5570</v>
      </c>
      <c r="F172" s="268" t="s">
        <v>5805</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5706</v>
      </c>
      <c r="B173" s="260" t="s">
        <v>5802</v>
      </c>
      <c r="C173" s="261" t="s">
        <v>5818</v>
      </c>
      <c r="D173" s="264" t="s">
        <v>5819</v>
      </c>
      <c r="E173" s="265" t="s">
        <v>5503</v>
      </c>
      <c r="F173" s="268" t="s">
        <v>5805</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5706</v>
      </c>
      <c r="B174" s="260" t="s">
        <v>5802</v>
      </c>
      <c r="C174" s="261" t="s">
        <v>5820</v>
      </c>
      <c r="D174" s="264" t="s">
        <v>5821</v>
      </c>
      <c r="E174" s="265" t="s">
        <v>5570</v>
      </c>
      <c r="F174" s="268" t="s">
        <v>5805</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5706</v>
      </c>
      <c r="B175" s="260" t="s">
        <v>5802</v>
      </c>
      <c r="C175" s="261" t="s">
        <v>5822</v>
      </c>
      <c r="D175" s="264" t="s">
        <v>5823</v>
      </c>
      <c r="E175" s="265" t="s">
        <v>5503</v>
      </c>
      <c r="F175" s="268" t="s">
        <v>5805</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5706</v>
      </c>
      <c r="B176" s="260" t="s">
        <v>5802</v>
      </c>
      <c r="C176" s="261" t="s">
        <v>5824</v>
      </c>
      <c r="D176" s="264" t="s">
        <v>5825</v>
      </c>
      <c r="E176" s="265" t="s">
        <v>5474</v>
      </c>
      <c r="F176" s="268" t="s">
        <v>5805</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5706</v>
      </c>
      <c r="B177" s="260" t="s">
        <v>5802</v>
      </c>
      <c r="C177" s="261" t="s">
        <v>5826</v>
      </c>
      <c r="D177" s="264" t="s">
        <v>5827</v>
      </c>
      <c r="E177" s="265" t="s">
        <v>5474</v>
      </c>
      <c r="F177" s="268" t="s">
        <v>5805</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5706</v>
      </c>
      <c r="B178" s="260" t="s">
        <v>5802</v>
      </c>
      <c r="C178" s="261" t="s">
        <v>5828</v>
      </c>
      <c r="D178" s="264" t="s">
        <v>5829</v>
      </c>
      <c r="E178" s="265" t="s">
        <v>5503</v>
      </c>
      <c r="F178" s="268" t="s">
        <v>5805</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5706</v>
      </c>
      <c r="B179" s="260" t="s">
        <v>5802</v>
      </c>
      <c r="C179" s="261" t="s">
        <v>5830</v>
      </c>
      <c r="D179" s="264" t="s">
        <v>5831</v>
      </c>
      <c r="E179" s="265" t="s">
        <v>5618</v>
      </c>
      <c r="F179" s="268" t="s">
        <v>5805</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5706</v>
      </c>
      <c r="B180" s="260" t="s">
        <v>5802</v>
      </c>
      <c r="C180" s="261" t="s">
        <v>5832</v>
      </c>
      <c r="D180" s="264" t="s">
        <v>5833</v>
      </c>
      <c r="E180" s="265" t="s">
        <v>5618</v>
      </c>
      <c r="F180" s="268" t="s">
        <v>5805</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5706</v>
      </c>
      <c r="B181" s="259" t="s">
        <v>5834</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5706</v>
      </c>
      <c r="B182" s="260" t="s">
        <v>5834</v>
      </c>
      <c r="C182" s="261" t="s">
        <v>5835</v>
      </c>
      <c r="D182" s="264" t="s">
        <v>5836</v>
      </c>
      <c r="E182" s="265" t="s">
        <v>5474</v>
      </c>
      <c r="F182" s="268" t="s">
        <v>5837</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5706</v>
      </c>
      <c r="B183" s="260" t="s">
        <v>5834</v>
      </c>
      <c r="C183" s="261" t="s">
        <v>5838</v>
      </c>
      <c r="D183" s="264" t="s">
        <v>5839</v>
      </c>
      <c r="E183" s="265" t="s">
        <v>5474</v>
      </c>
      <c r="F183" s="268" t="s">
        <v>5837</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5706</v>
      </c>
      <c r="B184" s="260" t="s">
        <v>5834</v>
      </c>
      <c r="C184" s="261" t="s">
        <v>5840</v>
      </c>
      <c r="D184" s="264" t="s">
        <v>5841</v>
      </c>
      <c r="E184" s="265" t="s">
        <v>5474</v>
      </c>
      <c r="F184" s="268" t="s">
        <v>5837</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5706</v>
      </c>
      <c r="B185" s="260" t="s">
        <v>5834</v>
      </c>
      <c r="C185" s="261" t="s">
        <v>5842</v>
      </c>
      <c r="D185" s="264" t="s">
        <v>5843</v>
      </c>
      <c r="E185" s="265" t="s">
        <v>5474</v>
      </c>
      <c r="F185" s="268" t="s">
        <v>5837</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5706</v>
      </c>
      <c r="B186" s="260" t="s">
        <v>5834</v>
      </c>
      <c r="C186" s="261" t="s">
        <v>5844</v>
      </c>
      <c r="D186" s="264" t="s">
        <v>5845</v>
      </c>
      <c r="E186" s="265" t="s">
        <v>5474</v>
      </c>
      <c r="F186" s="268" t="s">
        <v>5837</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5706</v>
      </c>
      <c r="B187" s="260" t="s">
        <v>5834</v>
      </c>
      <c r="C187" s="261" t="s">
        <v>5846</v>
      </c>
      <c r="D187" s="264" t="s">
        <v>5847</v>
      </c>
      <c r="E187" s="265" t="s">
        <v>5503</v>
      </c>
      <c r="F187" s="268" t="s">
        <v>5837</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5706</v>
      </c>
      <c r="B188" s="260" t="s">
        <v>5834</v>
      </c>
      <c r="C188" s="261" t="s">
        <v>5848</v>
      </c>
      <c r="D188" s="264" t="s">
        <v>5849</v>
      </c>
      <c r="E188" s="265" t="s">
        <v>5503</v>
      </c>
      <c r="F188" s="268" t="s">
        <v>5837</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5706</v>
      </c>
      <c r="B189" s="260" t="s">
        <v>5834</v>
      </c>
      <c r="C189" s="261" t="s">
        <v>5850</v>
      </c>
      <c r="D189" s="264" t="s">
        <v>5851</v>
      </c>
      <c r="E189" s="265" t="s">
        <v>5503</v>
      </c>
      <c r="F189" s="268" t="s">
        <v>5837</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5706</v>
      </c>
      <c r="B190" s="260" t="s">
        <v>5834</v>
      </c>
      <c r="C190" s="261" t="s">
        <v>5852</v>
      </c>
      <c r="D190" s="264" t="s">
        <v>5853</v>
      </c>
      <c r="E190" s="265" t="s">
        <v>5503</v>
      </c>
      <c r="F190" s="268" t="s">
        <v>5837</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5706</v>
      </c>
      <c r="B191" s="260" t="s">
        <v>5834</v>
      </c>
      <c r="C191" s="261" t="s">
        <v>5854</v>
      </c>
      <c r="D191" s="264" t="s">
        <v>5855</v>
      </c>
      <c r="E191" s="265" t="s">
        <v>5474</v>
      </c>
      <c r="F191" s="268" t="s">
        <v>5837</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5706</v>
      </c>
      <c r="B192" s="260" t="s">
        <v>5834</v>
      </c>
      <c r="C192" s="261" t="s">
        <v>5856</v>
      </c>
      <c r="D192" s="264" t="s">
        <v>5857</v>
      </c>
      <c r="E192" s="265" t="s">
        <v>5474</v>
      </c>
      <c r="F192" s="268" t="s">
        <v>5837</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5706</v>
      </c>
      <c r="B193" s="260" t="s">
        <v>5834</v>
      </c>
      <c r="C193" s="261" t="s">
        <v>5858</v>
      </c>
      <c r="D193" s="264" t="s">
        <v>5859</v>
      </c>
      <c r="E193" s="265" t="s">
        <v>5474</v>
      </c>
      <c r="F193" s="268" t="s">
        <v>5837</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5706</v>
      </c>
      <c r="B194" s="260" t="s">
        <v>5834</v>
      </c>
      <c r="C194" s="261" t="s">
        <v>5860</v>
      </c>
      <c r="D194" s="264" t="s">
        <v>5861</v>
      </c>
      <c r="E194" s="265" t="s">
        <v>5474</v>
      </c>
      <c r="F194" s="268" t="s">
        <v>5837</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5706</v>
      </c>
      <c r="B195" s="260" t="s">
        <v>5834</v>
      </c>
      <c r="C195" s="261" t="s">
        <v>5862</v>
      </c>
      <c r="D195" s="264" t="s">
        <v>5863</v>
      </c>
      <c r="E195" s="265" t="s">
        <v>5474</v>
      </c>
      <c r="F195" s="268" t="s">
        <v>5837</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5706</v>
      </c>
      <c r="B196" s="260" t="s">
        <v>5834</v>
      </c>
      <c r="C196" s="261" t="s">
        <v>5864</v>
      </c>
      <c r="D196" s="264" t="s">
        <v>5865</v>
      </c>
      <c r="E196" s="265" t="s">
        <v>5474</v>
      </c>
      <c r="F196" s="268" t="s">
        <v>5866</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5706</v>
      </c>
      <c r="B197" s="260" t="s">
        <v>5834</v>
      </c>
      <c r="C197" s="261" t="s">
        <v>5867</v>
      </c>
      <c r="D197" s="264" t="s">
        <v>5868</v>
      </c>
      <c r="E197" s="265" t="s">
        <v>5474</v>
      </c>
      <c r="F197" s="268" t="s">
        <v>5866</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5706</v>
      </c>
      <c r="B198" s="260" t="s">
        <v>5834</v>
      </c>
      <c r="C198" s="261" t="s">
        <v>5869</v>
      </c>
      <c r="D198" s="264" t="s">
        <v>5870</v>
      </c>
      <c r="E198" s="265" t="s">
        <v>5474</v>
      </c>
      <c r="F198" s="268" t="s">
        <v>5866</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5706</v>
      </c>
      <c r="B199" s="260" t="s">
        <v>5834</v>
      </c>
      <c r="C199" s="261" t="s">
        <v>5871</v>
      </c>
      <c r="D199" s="264" t="s">
        <v>5872</v>
      </c>
      <c r="E199" s="265" t="s">
        <v>5474</v>
      </c>
      <c r="F199" s="268" t="s">
        <v>5866</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5873</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5873</v>
      </c>
      <c r="B201" s="259" t="s">
        <v>5874</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5873</v>
      </c>
      <c r="B202" s="260" t="s">
        <v>5874</v>
      </c>
      <c r="C202" s="261" t="s">
        <v>5875</v>
      </c>
      <c r="D202" s="264" t="s">
        <v>5876</v>
      </c>
      <c r="E202" s="265" t="s">
        <v>5753</v>
      </c>
      <c r="F202" s="268" t="s">
        <v>5877</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5873</v>
      </c>
      <c r="B203" s="260" t="s">
        <v>5874</v>
      </c>
      <c r="C203" s="261" t="s">
        <v>5878</v>
      </c>
      <c r="D203" s="264" t="s">
        <v>5879</v>
      </c>
      <c r="E203" s="265" t="s">
        <v>5753</v>
      </c>
      <c r="F203" s="268" t="s">
        <v>5877</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5873</v>
      </c>
      <c r="B204" s="260" t="s">
        <v>5874</v>
      </c>
      <c r="C204" s="261" t="s">
        <v>5880</v>
      </c>
      <c r="D204" s="264" t="s">
        <v>5881</v>
      </c>
      <c r="E204" s="265" t="s">
        <v>5753</v>
      </c>
      <c r="F204" s="268" t="s">
        <v>5877</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5873</v>
      </c>
      <c r="B205" s="260" t="s">
        <v>5874</v>
      </c>
      <c r="C205" s="261" t="s">
        <v>5882</v>
      </c>
      <c r="D205" s="264" t="s">
        <v>5883</v>
      </c>
      <c r="E205" s="265" t="s">
        <v>5753</v>
      </c>
      <c r="F205" s="268" t="s">
        <v>5877</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5873</v>
      </c>
      <c r="B206" s="260" t="s">
        <v>5874</v>
      </c>
      <c r="C206" s="261" t="s">
        <v>5884</v>
      </c>
      <c r="D206" s="264" t="s">
        <v>5885</v>
      </c>
      <c r="E206" s="265" t="s">
        <v>5753</v>
      </c>
      <c r="F206" s="268" t="s">
        <v>5877</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5873</v>
      </c>
      <c r="B207" s="260" t="s">
        <v>5874</v>
      </c>
      <c r="C207" s="261" t="s">
        <v>5886</v>
      </c>
      <c r="D207" s="264" t="s">
        <v>5887</v>
      </c>
      <c r="E207" s="265" t="s">
        <v>5618</v>
      </c>
      <c r="F207" s="268" t="s">
        <v>5877</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5873</v>
      </c>
      <c r="B208" s="260" t="s">
        <v>5874</v>
      </c>
      <c r="C208" s="261" t="s">
        <v>5888</v>
      </c>
      <c r="D208" s="264" t="s">
        <v>5889</v>
      </c>
      <c r="E208" s="265" t="s">
        <v>5618</v>
      </c>
      <c r="F208" s="268" t="s">
        <v>5877</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5873</v>
      </c>
      <c r="B209" s="260" t="s">
        <v>5874</v>
      </c>
      <c r="C209" s="261" t="s">
        <v>5890</v>
      </c>
      <c r="D209" s="264" t="s">
        <v>5891</v>
      </c>
      <c r="E209" s="265" t="s">
        <v>5753</v>
      </c>
      <c r="F209" s="268" t="s">
        <v>5877</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5873</v>
      </c>
      <c r="B210" s="260" t="s">
        <v>5874</v>
      </c>
      <c r="C210" s="261" t="s">
        <v>5892</v>
      </c>
      <c r="D210" s="264" t="s">
        <v>5893</v>
      </c>
      <c r="E210" s="265" t="s">
        <v>5503</v>
      </c>
      <c r="F210" s="268" t="s">
        <v>5894</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5873</v>
      </c>
      <c r="B211" s="260" t="s">
        <v>5874</v>
      </c>
      <c r="C211" s="261" t="s">
        <v>5895</v>
      </c>
      <c r="D211" s="264" t="s">
        <v>5896</v>
      </c>
      <c r="E211" s="265" t="s">
        <v>5503</v>
      </c>
      <c r="F211" s="268" t="s">
        <v>5894</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5873</v>
      </c>
      <c r="B212" s="260" t="s">
        <v>5874</v>
      </c>
      <c r="C212" s="261" t="s">
        <v>5897</v>
      </c>
      <c r="D212" s="264" t="s">
        <v>5898</v>
      </c>
      <c r="E212" s="265" t="s">
        <v>5570</v>
      </c>
      <c r="F212" s="268" t="s">
        <v>5899</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5873</v>
      </c>
      <c r="B213" s="260" t="s">
        <v>5874</v>
      </c>
      <c r="C213" s="261" t="s">
        <v>5900</v>
      </c>
      <c r="D213" s="264" t="s">
        <v>5901</v>
      </c>
      <c r="E213" s="265" t="s">
        <v>5503</v>
      </c>
      <c r="F213" s="268" t="s">
        <v>5902</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5873</v>
      </c>
      <c r="B214" s="260" t="s">
        <v>5874</v>
      </c>
      <c r="C214" s="261" t="s">
        <v>5903</v>
      </c>
      <c r="D214" s="264" t="s">
        <v>5904</v>
      </c>
      <c r="E214" s="265" t="s">
        <v>5570</v>
      </c>
      <c r="F214" s="268" t="s">
        <v>5905</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5873</v>
      </c>
      <c r="B215" s="260" t="s">
        <v>5874</v>
      </c>
      <c r="C215" s="261" t="s">
        <v>5906</v>
      </c>
      <c r="D215" s="264" t="s">
        <v>5907</v>
      </c>
      <c r="E215" s="265" t="s">
        <v>5474</v>
      </c>
      <c r="F215" s="268" t="s">
        <v>5905</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5873</v>
      </c>
      <c r="B216" s="260" t="s">
        <v>5874</v>
      </c>
      <c r="C216" s="261" t="s">
        <v>5908</v>
      </c>
      <c r="D216" s="264" t="s">
        <v>5909</v>
      </c>
      <c r="E216" s="265" t="s">
        <v>5474</v>
      </c>
      <c r="F216" s="268" t="s">
        <v>5905</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5873</v>
      </c>
      <c r="B217" s="260" t="s">
        <v>5874</v>
      </c>
      <c r="C217" s="261" t="s">
        <v>5910</v>
      </c>
      <c r="D217" s="264" t="s">
        <v>5911</v>
      </c>
      <c r="E217" s="265" t="s">
        <v>5503</v>
      </c>
      <c r="F217" s="268" t="s">
        <v>5905</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5873</v>
      </c>
      <c r="B218" s="260" t="s">
        <v>5874</v>
      </c>
      <c r="C218" s="261" t="s">
        <v>5912</v>
      </c>
      <c r="D218" s="264" t="s">
        <v>5913</v>
      </c>
      <c r="E218" s="265" t="s">
        <v>5503</v>
      </c>
      <c r="F218" s="268" t="s">
        <v>5905</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5873</v>
      </c>
      <c r="B219" s="260" t="s">
        <v>5874</v>
      </c>
      <c r="C219" s="261" t="s">
        <v>5914</v>
      </c>
      <c r="D219" s="264" t="s">
        <v>5915</v>
      </c>
      <c r="E219" s="265" t="s">
        <v>5503</v>
      </c>
      <c r="F219" s="268" t="s">
        <v>5905</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5873</v>
      </c>
      <c r="B220" s="260" t="s">
        <v>5874</v>
      </c>
      <c r="C220" s="261" t="s">
        <v>5916</v>
      </c>
      <c r="D220" s="264" t="s">
        <v>5917</v>
      </c>
      <c r="E220" s="265" t="s">
        <v>5503</v>
      </c>
      <c r="F220" s="268" t="s">
        <v>5905</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5873</v>
      </c>
      <c r="B221" s="259" t="s">
        <v>5918</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5873</v>
      </c>
      <c r="B222" s="260" t="s">
        <v>5918</v>
      </c>
      <c r="C222" s="261" t="s">
        <v>5919</v>
      </c>
      <c r="D222" s="264" t="s">
        <v>5920</v>
      </c>
      <c r="E222" s="265" t="s">
        <v>5570</v>
      </c>
      <c r="F222" s="268" t="s">
        <v>5921</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5873</v>
      </c>
      <c r="B223" s="260" t="s">
        <v>5918</v>
      </c>
      <c r="C223" s="261" t="s">
        <v>5922</v>
      </c>
      <c r="D223" s="264" t="s">
        <v>5923</v>
      </c>
      <c r="E223" s="265" t="s">
        <v>5570</v>
      </c>
      <c r="F223" s="268" t="s">
        <v>5921</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5873</v>
      </c>
      <c r="B224" s="260" t="s">
        <v>5918</v>
      </c>
      <c r="C224" s="261" t="s">
        <v>5924</v>
      </c>
      <c r="D224" s="264" t="s">
        <v>5925</v>
      </c>
      <c r="E224" s="265" t="s">
        <v>5570</v>
      </c>
      <c r="F224" s="268" t="s">
        <v>5921</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5873</v>
      </c>
      <c r="B225" s="260" t="s">
        <v>5918</v>
      </c>
      <c r="C225" s="261" t="s">
        <v>5926</v>
      </c>
      <c r="D225" s="264" t="s">
        <v>5927</v>
      </c>
      <c r="E225" s="265" t="s">
        <v>5570</v>
      </c>
      <c r="F225" s="268" t="s">
        <v>5921</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5873</v>
      </c>
      <c r="B226" s="260" t="s">
        <v>5918</v>
      </c>
      <c r="C226" s="261" t="s">
        <v>5928</v>
      </c>
      <c r="D226" s="264" t="s">
        <v>5929</v>
      </c>
      <c r="E226" s="265" t="s">
        <v>5570</v>
      </c>
      <c r="F226" s="268" t="s">
        <v>5921</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5873</v>
      </c>
      <c r="B227" s="260" t="s">
        <v>5918</v>
      </c>
      <c r="C227" s="261" t="s">
        <v>5930</v>
      </c>
      <c r="D227" s="264" t="s">
        <v>5931</v>
      </c>
      <c r="E227" s="265" t="s">
        <v>5570</v>
      </c>
      <c r="F227" s="268" t="s">
        <v>5921</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5873</v>
      </c>
      <c r="B228" s="260" t="s">
        <v>5918</v>
      </c>
      <c r="C228" s="261" t="s">
        <v>5932</v>
      </c>
      <c r="D228" s="264" t="s">
        <v>5933</v>
      </c>
      <c r="E228" s="265" t="s">
        <v>5570</v>
      </c>
      <c r="F228" s="268" t="s">
        <v>5921</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5873</v>
      </c>
      <c r="B229" s="260" t="s">
        <v>5918</v>
      </c>
      <c r="C229" s="261" t="s">
        <v>5934</v>
      </c>
      <c r="D229" s="264" t="s">
        <v>5935</v>
      </c>
      <c r="E229" s="265" t="s">
        <v>5474</v>
      </c>
      <c r="F229" s="268" t="s">
        <v>5921</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5873</v>
      </c>
      <c r="B230" s="260" t="s">
        <v>5918</v>
      </c>
      <c r="C230" s="261" t="s">
        <v>5936</v>
      </c>
      <c r="D230" s="264" t="s">
        <v>5937</v>
      </c>
      <c r="E230" s="265" t="s">
        <v>5474</v>
      </c>
      <c r="F230" s="268" t="s">
        <v>5921</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5873</v>
      </c>
      <c r="B231" s="260" t="s">
        <v>5918</v>
      </c>
      <c r="C231" s="261" t="s">
        <v>5938</v>
      </c>
      <c r="D231" s="264" t="s">
        <v>5939</v>
      </c>
      <c r="E231" s="265" t="s">
        <v>5570</v>
      </c>
      <c r="F231" s="268" t="s">
        <v>5940</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5873</v>
      </c>
      <c r="B232" s="260" t="s">
        <v>5918</v>
      </c>
      <c r="C232" s="261" t="s">
        <v>5941</v>
      </c>
      <c r="D232" s="264" t="s">
        <v>5942</v>
      </c>
      <c r="E232" s="265" t="s">
        <v>5570</v>
      </c>
      <c r="F232" s="268" t="s">
        <v>5940</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5873</v>
      </c>
      <c r="B233" s="260" t="s">
        <v>5918</v>
      </c>
      <c r="C233" s="261" t="s">
        <v>5943</v>
      </c>
      <c r="D233" s="264" t="s">
        <v>5944</v>
      </c>
      <c r="E233" s="265" t="s">
        <v>5503</v>
      </c>
      <c r="F233" s="268" t="s">
        <v>5940</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5873</v>
      </c>
      <c r="B234" s="260" t="s">
        <v>5918</v>
      </c>
      <c r="C234" s="261" t="s">
        <v>5945</v>
      </c>
      <c r="D234" s="264" t="s">
        <v>5946</v>
      </c>
      <c r="E234" s="265" t="s">
        <v>5503</v>
      </c>
      <c r="F234" s="268" t="s">
        <v>5940</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5873</v>
      </c>
      <c r="B235" s="260" t="s">
        <v>5918</v>
      </c>
      <c r="C235" s="261" t="s">
        <v>5947</v>
      </c>
      <c r="D235" s="264" t="s">
        <v>5948</v>
      </c>
      <c r="E235" s="265" t="s">
        <v>5570</v>
      </c>
      <c r="F235" s="268" t="s">
        <v>5940</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5873</v>
      </c>
      <c r="B236" s="260" t="s">
        <v>5918</v>
      </c>
      <c r="C236" s="261" t="s">
        <v>5949</v>
      </c>
      <c r="D236" s="264" t="s">
        <v>5950</v>
      </c>
      <c r="E236" s="265" t="s">
        <v>5503</v>
      </c>
      <c r="F236" s="268" t="s">
        <v>5940</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5873</v>
      </c>
      <c r="B237" s="259" t="s">
        <v>2107</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5873</v>
      </c>
      <c r="B238" s="260" t="s">
        <v>2107</v>
      </c>
      <c r="C238" s="261" t="s">
        <v>5951</v>
      </c>
      <c r="D238" s="264" t="s">
        <v>5952</v>
      </c>
      <c r="E238" s="265" t="s">
        <v>5474</v>
      </c>
      <c r="F238" s="268" t="s">
        <v>5953</v>
      </c>
      <c r="G238" s="271">
        <f>IF(COUNTIF(H238:AU238,"&lt;&gt;")=0,"",SUMPRODUCT(((Recommendations[ImplStatus]="Implemented")+(Recommendations[ImplStatus]="Compensated"))*ISNUMBER(MATCH(Recommendations[Id],H238:AU238,0)))/COUNTIF(H238:AU238,"&lt;&gt;"))</f>
        <v>0</v>
      </c>
      <c r="H238" s="272" t="s">
        <v>650</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5873</v>
      </c>
      <c r="B239" s="260" t="s">
        <v>2107</v>
      </c>
      <c r="C239" s="261" t="s">
        <v>5954</v>
      </c>
      <c r="D239" s="264" t="s">
        <v>5955</v>
      </c>
      <c r="E239" s="265" t="s">
        <v>5474</v>
      </c>
      <c r="F239" s="268" t="s">
        <v>5953</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5873</v>
      </c>
      <c r="B240" s="260" t="s">
        <v>2107</v>
      </c>
      <c r="C240" s="261" t="s">
        <v>5956</v>
      </c>
      <c r="D240" s="264" t="s">
        <v>5957</v>
      </c>
      <c r="E240" s="265" t="s">
        <v>5474</v>
      </c>
      <c r="F240" s="268" t="s">
        <v>5953</v>
      </c>
      <c r="G240" s="271">
        <f>IF(COUNTIF(H240:AU240,"&lt;&gt;")=0,"",SUMPRODUCT(((Recommendations[ImplStatus]="Implemented")+(Recommendations[ImplStatus]="Compensated"))*ISNUMBER(MATCH(Recommendations[Id],H240:AU240,0)))/COUNTIF(H240:AU240,"&lt;&gt;"))</f>
        <v>0</v>
      </c>
      <c r="H240" s="272" t="s">
        <v>44</v>
      </c>
      <c r="I240" s="272" t="s">
        <v>49</v>
      </c>
      <c r="J240" s="272" t="s">
        <v>54</v>
      </c>
      <c r="K240" s="272" t="s">
        <v>58</v>
      </c>
      <c r="L240" s="272" t="s">
        <v>345</v>
      </c>
      <c r="M240" s="272" t="s">
        <v>527</v>
      </c>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5873</v>
      </c>
      <c r="B241" s="260" t="s">
        <v>2107</v>
      </c>
      <c r="C241" s="261" t="s">
        <v>5958</v>
      </c>
      <c r="D241" s="264" t="s">
        <v>5959</v>
      </c>
      <c r="E241" s="265" t="s">
        <v>5474</v>
      </c>
      <c r="F241" s="268" t="s">
        <v>5953</v>
      </c>
      <c r="G241" s="271">
        <f>IF(COUNTIF(H241:AU241,"&lt;&gt;")=0,"",SUMPRODUCT(((Recommendations[ImplStatus]="Implemented")+(Recommendations[ImplStatus]="Compensated"))*ISNUMBER(MATCH(Recommendations[Id],H241:AU241,0)))/COUNTIF(H241:AU241,"&lt;&gt;"))</f>
        <v>0</v>
      </c>
      <c r="H241" s="272" t="s">
        <v>44</v>
      </c>
      <c r="I241" s="272" t="s">
        <v>345</v>
      </c>
      <c r="J241" s="272" t="s">
        <v>527</v>
      </c>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5873</v>
      </c>
      <c r="B242" s="260" t="s">
        <v>2107</v>
      </c>
      <c r="C242" s="261" t="s">
        <v>5960</v>
      </c>
      <c r="D242" s="264" t="s">
        <v>5961</v>
      </c>
      <c r="E242" s="265" t="s">
        <v>5474</v>
      </c>
      <c r="F242" s="268" t="s">
        <v>5953</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5873</v>
      </c>
      <c r="B243" s="260" t="s">
        <v>2107</v>
      </c>
      <c r="C243" s="261" t="s">
        <v>5962</v>
      </c>
      <c r="D243" s="264" t="s">
        <v>5963</v>
      </c>
      <c r="E243" s="265" t="s">
        <v>5474</v>
      </c>
      <c r="F243" s="268" t="s">
        <v>5953</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5873</v>
      </c>
      <c r="B244" s="260" t="s">
        <v>2107</v>
      </c>
      <c r="C244" s="261" t="s">
        <v>5964</v>
      </c>
      <c r="D244" s="264" t="s">
        <v>5965</v>
      </c>
      <c r="E244" s="265" t="s">
        <v>5474</v>
      </c>
      <c r="F244" s="268" t="s">
        <v>5953</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5873</v>
      </c>
      <c r="B245" s="260" t="s">
        <v>2107</v>
      </c>
      <c r="C245" s="261" t="s">
        <v>5966</v>
      </c>
      <c r="D245" s="264" t="s">
        <v>5967</v>
      </c>
      <c r="E245" s="265" t="s">
        <v>5474</v>
      </c>
      <c r="F245" s="268" t="s">
        <v>5953</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5873</v>
      </c>
      <c r="B246" s="260" t="s">
        <v>2107</v>
      </c>
      <c r="C246" s="261" t="s">
        <v>5968</v>
      </c>
      <c r="D246" s="264" t="s">
        <v>5969</v>
      </c>
      <c r="E246" s="265" t="s">
        <v>5474</v>
      </c>
      <c r="F246" s="268" t="s">
        <v>5953</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5873</v>
      </c>
      <c r="B247" s="260" t="s">
        <v>2107</v>
      </c>
      <c r="C247" s="261" t="s">
        <v>5970</v>
      </c>
      <c r="D247" s="264" t="s">
        <v>5971</v>
      </c>
      <c r="E247" s="265" t="s">
        <v>5474</v>
      </c>
      <c r="F247" s="268" t="s">
        <v>5953</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5873</v>
      </c>
      <c r="B248" s="260" t="s">
        <v>2107</v>
      </c>
      <c r="C248" s="261" t="s">
        <v>5972</v>
      </c>
      <c r="D248" s="264" t="s">
        <v>5973</v>
      </c>
      <c r="E248" s="265" t="s">
        <v>5503</v>
      </c>
      <c r="F248" s="268" t="s">
        <v>5953</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5873</v>
      </c>
      <c r="B249" s="260" t="s">
        <v>2107</v>
      </c>
      <c r="C249" s="261" t="s">
        <v>5974</v>
      </c>
      <c r="D249" s="264" t="s">
        <v>5975</v>
      </c>
      <c r="E249" s="265" t="s">
        <v>5503</v>
      </c>
      <c r="F249" s="268" t="s">
        <v>5976</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5873</v>
      </c>
      <c r="B250" s="260" t="s">
        <v>2107</v>
      </c>
      <c r="C250" s="261" t="s">
        <v>5977</v>
      </c>
      <c r="D250" s="264" t="s">
        <v>5978</v>
      </c>
      <c r="E250" s="265" t="s">
        <v>5503</v>
      </c>
      <c r="F250" s="268" t="s">
        <v>5976</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5873</v>
      </c>
      <c r="B251" s="259" t="s">
        <v>5979</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5873</v>
      </c>
      <c r="B252" s="260" t="s">
        <v>5979</v>
      </c>
      <c r="C252" s="261" t="s">
        <v>5980</v>
      </c>
      <c r="D252" s="264" t="s">
        <v>5981</v>
      </c>
      <c r="E252" s="265" t="s">
        <v>5570</v>
      </c>
      <c r="F252" s="268" t="s">
        <v>5982</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5873</v>
      </c>
      <c r="B253" s="260" t="s">
        <v>5979</v>
      </c>
      <c r="C253" s="261" t="s">
        <v>5983</v>
      </c>
      <c r="D253" s="264" t="s">
        <v>5984</v>
      </c>
      <c r="E253" s="265" t="s">
        <v>5570</v>
      </c>
      <c r="F253" s="268" t="s">
        <v>5982</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5873</v>
      </c>
      <c r="B254" s="260" t="s">
        <v>5979</v>
      </c>
      <c r="C254" s="261" t="s">
        <v>5985</v>
      </c>
      <c r="D254" s="264" t="s">
        <v>5986</v>
      </c>
      <c r="E254" s="265" t="s">
        <v>5570</v>
      </c>
      <c r="F254" s="268" t="s">
        <v>5982</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5873</v>
      </c>
      <c r="B255" s="260" t="s">
        <v>5979</v>
      </c>
      <c r="C255" s="261" t="s">
        <v>5987</v>
      </c>
      <c r="D255" s="264" t="s">
        <v>5988</v>
      </c>
      <c r="E255" s="265" t="s">
        <v>5570</v>
      </c>
      <c r="F255" s="268" t="s">
        <v>5982</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5873</v>
      </c>
      <c r="B256" s="260" t="s">
        <v>5979</v>
      </c>
      <c r="C256" s="261" t="s">
        <v>5989</v>
      </c>
      <c r="D256" s="264" t="s">
        <v>5990</v>
      </c>
      <c r="E256" s="265" t="s">
        <v>5570</v>
      </c>
      <c r="F256" s="268" t="s">
        <v>5982</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5873</v>
      </c>
      <c r="B257" s="260" t="s">
        <v>5979</v>
      </c>
      <c r="C257" s="261" t="s">
        <v>5991</v>
      </c>
      <c r="D257" s="264" t="s">
        <v>5992</v>
      </c>
      <c r="E257" s="265" t="s">
        <v>5474</v>
      </c>
      <c r="F257" s="268" t="s">
        <v>5982</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5873</v>
      </c>
      <c r="B258" s="260" t="s">
        <v>5979</v>
      </c>
      <c r="C258" s="261" t="s">
        <v>5993</v>
      </c>
      <c r="D258" s="264" t="s">
        <v>5994</v>
      </c>
      <c r="E258" s="265" t="s">
        <v>5474</v>
      </c>
      <c r="F258" s="268" t="s">
        <v>5982</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5873</v>
      </c>
      <c r="B259" s="260" t="s">
        <v>5979</v>
      </c>
      <c r="C259" s="261" t="s">
        <v>5995</v>
      </c>
      <c r="D259" s="264" t="s">
        <v>5996</v>
      </c>
      <c r="E259" s="265" t="s">
        <v>5474</v>
      </c>
      <c r="F259" s="268" t="s">
        <v>5982</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5873</v>
      </c>
      <c r="B260" s="260" t="s">
        <v>5979</v>
      </c>
      <c r="C260" s="261" t="s">
        <v>5997</v>
      </c>
      <c r="D260" s="264" t="s">
        <v>5998</v>
      </c>
      <c r="E260" s="265" t="s">
        <v>5474</v>
      </c>
      <c r="F260" s="268" t="s">
        <v>5982</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5873</v>
      </c>
      <c r="B261" s="260" t="s">
        <v>5979</v>
      </c>
      <c r="C261" s="261" t="s">
        <v>5999</v>
      </c>
      <c r="D261" s="264" t="s">
        <v>6000</v>
      </c>
      <c r="E261" s="265" t="s">
        <v>5618</v>
      </c>
      <c r="F261" s="268" t="s">
        <v>5982</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5873</v>
      </c>
      <c r="B262" s="260" t="s">
        <v>5979</v>
      </c>
      <c r="C262" s="261" t="s">
        <v>6001</v>
      </c>
      <c r="D262" s="264" t="s">
        <v>6002</v>
      </c>
      <c r="E262" s="265" t="s">
        <v>5618</v>
      </c>
      <c r="F262" s="268" t="s">
        <v>5982</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5873</v>
      </c>
      <c r="B263" s="260" t="s">
        <v>5979</v>
      </c>
      <c r="C263" s="261" t="s">
        <v>6003</v>
      </c>
      <c r="D263" s="264" t="s">
        <v>6004</v>
      </c>
      <c r="E263" s="265" t="s">
        <v>5618</v>
      </c>
      <c r="F263" s="268" t="s">
        <v>5982</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5873</v>
      </c>
      <c r="B264" s="259" t="s">
        <v>6005</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5873</v>
      </c>
      <c r="B265" s="260" t="s">
        <v>6005</v>
      </c>
      <c r="C265" s="261" t="s">
        <v>6006</v>
      </c>
      <c r="D265" s="264" t="s">
        <v>6007</v>
      </c>
      <c r="E265" s="265" t="s">
        <v>5503</v>
      </c>
      <c r="F265" s="268" t="s">
        <v>6008</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5873</v>
      </c>
      <c r="B266" s="260" t="s">
        <v>6005</v>
      </c>
      <c r="C266" s="261" t="s">
        <v>6009</v>
      </c>
      <c r="D266" s="264" t="s">
        <v>6010</v>
      </c>
      <c r="E266" s="265" t="s">
        <v>5503</v>
      </c>
      <c r="F266" s="268" t="s">
        <v>6008</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5873</v>
      </c>
      <c r="B267" s="260" t="s">
        <v>6005</v>
      </c>
      <c r="C267" s="261" t="s">
        <v>6011</v>
      </c>
      <c r="D267" s="264" t="s">
        <v>6012</v>
      </c>
      <c r="E267" s="265" t="s">
        <v>5503</v>
      </c>
      <c r="F267" s="268" t="s">
        <v>6008</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5873</v>
      </c>
      <c r="B268" s="260" t="s">
        <v>6005</v>
      </c>
      <c r="C268" s="261" t="s">
        <v>6013</v>
      </c>
      <c r="D268" s="264" t="s">
        <v>6014</v>
      </c>
      <c r="E268" s="265" t="s">
        <v>5503</v>
      </c>
      <c r="F268" s="268" t="s">
        <v>6008</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5873</v>
      </c>
      <c r="B269" s="260" t="s">
        <v>6005</v>
      </c>
      <c r="C269" s="261" t="s">
        <v>6015</v>
      </c>
      <c r="D269" s="264" t="s">
        <v>6016</v>
      </c>
      <c r="E269" s="265" t="s">
        <v>5503</v>
      </c>
      <c r="F269" s="268" t="s">
        <v>6008</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5873</v>
      </c>
      <c r="B270" s="260" t="s">
        <v>6005</v>
      </c>
      <c r="C270" s="261" t="s">
        <v>6017</v>
      </c>
      <c r="D270" s="264" t="s">
        <v>6018</v>
      </c>
      <c r="E270" s="265" t="s">
        <v>5503</v>
      </c>
      <c r="F270" s="268" t="s">
        <v>6008</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5873</v>
      </c>
      <c r="B271" s="260" t="s">
        <v>6005</v>
      </c>
      <c r="C271" s="261" t="s">
        <v>6019</v>
      </c>
      <c r="D271" s="264" t="s">
        <v>6020</v>
      </c>
      <c r="E271" s="265" t="s">
        <v>5503</v>
      </c>
      <c r="F271" s="268" t="s">
        <v>6008</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5873</v>
      </c>
      <c r="B272" s="260" t="s">
        <v>6005</v>
      </c>
      <c r="C272" s="261" t="s">
        <v>6021</v>
      </c>
      <c r="D272" s="264" t="s">
        <v>6022</v>
      </c>
      <c r="E272" s="265" t="s">
        <v>5503</v>
      </c>
      <c r="F272" s="268" t="s">
        <v>6008</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5873</v>
      </c>
      <c r="B273" s="260" t="s">
        <v>6005</v>
      </c>
      <c r="C273" s="261" t="s">
        <v>6023</v>
      </c>
      <c r="D273" s="264" t="s">
        <v>6024</v>
      </c>
      <c r="E273" s="265" t="s">
        <v>5503</v>
      </c>
      <c r="F273" s="268" t="s">
        <v>6008</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6025</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6025</v>
      </c>
      <c r="B275" s="259" t="s">
        <v>6026</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6025</v>
      </c>
      <c r="B276" s="260" t="s">
        <v>6026</v>
      </c>
      <c r="C276" s="261" t="s">
        <v>6027</v>
      </c>
      <c r="D276" s="264" t="s">
        <v>6028</v>
      </c>
      <c r="E276" s="265" t="s">
        <v>5474</v>
      </c>
      <c r="F276" s="268" t="s">
        <v>6029</v>
      </c>
      <c r="G276" s="271">
        <f>IF(COUNTIF(H276:AU276,"&lt;&gt;")=0,"",SUMPRODUCT(((Recommendations[ImplStatus]="Implemented")+(Recommendations[ImplStatus]="Compensated"))*ISNUMBER(MATCH(Recommendations[Id],H276:AU276,0)))/COUNTIF(H276:AU276,"&lt;&gt;"))</f>
        <v>0</v>
      </c>
      <c r="H276" s="272" t="s">
        <v>112</v>
      </c>
      <c r="I276" s="272" t="s">
        <v>117</v>
      </c>
      <c r="J276" s="272" t="s">
        <v>132</v>
      </c>
      <c r="K276" s="272" t="s">
        <v>137</v>
      </c>
      <c r="L276" s="272" t="s">
        <v>143</v>
      </c>
      <c r="M276" s="272" t="s">
        <v>148</v>
      </c>
      <c r="N276" s="272" t="s">
        <v>153</v>
      </c>
      <c r="O276" s="272" t="s">
        <v>173</v>
      </c>
      <c r="P276" s="272" t="s">
        <v>178</v>
      </c>
      <c r="Q276" s="272" t="s">
        <v>183</v>
      </c>
      <c r="R276" s="272" t="s">
        <v>188</v>
      </c>
      <c r="S276" s="272" t="s">
        <v>193</v>
      </c>
      <c r="T276" s="272" t="s">
        <v>197</v>
      </c>
      <c r="U276" s="272" t="s">
        <v>202</v>
      </c>
      <c r="V276" s="272" t="s">
        <v>207</v>
      </c>
      <c r="W276" s="272" t="s">
        <v>212</v>
      </c>
      <c r="X276" s="272" t="s">
        <v>231</v>
      </c>
      <c r="Y276" s="272" t="s">
        <v>236</v>
      </c>
      <c r="Z276" s="272" t="s">
        <v>241</v>
      </c>
      <c r="AA276" s="272" t="s">
        <v>245</v>
      </c>
      <c r="AB276" s="272" t="s">
        <v>250</v>
      </c>
      <c r="AC276" s="272" t="s">
        <v>255</v>
      </c>
      <c r="AD276" s="272" t="s">
        <v>260</v>
      </c>
      <c r="AE276" s="272" t="s">
        <v>265</v>
      </c>
      <c r="AF276" s="272" t="s">
        <v>270</v>
      </c>
      <c r="AG276" s="272" t="s">
        <v>291</v>
      </c>
      <c r="AH276" s="272" t="s">
        <v>326</v>
      </c>
      <c r="AI276" s="272"/>
      <c r="AJ276" s="272"/>
      <c r="AK276" s="272"/>
      <c r="AL276" s="272"/>
      <c r="AM276" s="272"/>
      <c r="AN276" s="272"/>
      <c r="AO276" s="272"/>
      <c r="AP276" s="272"/>
      <c r="AQ276" s="272"/>
      <c r="AR276" s="272"/>
      <c r="AS276" s="272"/>
      <c r="AT276" s="272"/>
      <c r="AU276" s="286"/>
    </row>
    <row r="277" spans="1:47" ht="60" customHeight="1" x14ac:dyDescent="0.35">
      <c r="A277" s="282" t="s">
        <v>6025</v>
      </c>
      <c r="B277" s="260" t="s">
        <v>6026</v>
      </c>
      <c r="C277" s="261" t="s">
        <v>6030</v>
      </c>
      <c r="D277" s="264" t="s">
        <v>6031</v>
      </c>
      <c r="E277" s="265" t="s">
        <v>5474</v>
      </c>
      <c r="F277" s="268" t="s">
        <v>6029</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6025</v>
      </c>
      <c r="B278" s="260" t="s">
        <v>6026</v>
      </c>
      <c r="C278" s="261" t="s">
        <v>6032</v>
      </c>
      <c r="D278" s="264" t="s">
        <v>6033</v>
      </c>
      <c r="E278" s="265" t="s">
        <v>5474</v>
      </c>
      <c r="F278" s="268" t="s">
        <v>6029</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6025</v>
      </c>
      <c r="B279" s="260" t="s">
        <v>6026</v>
      </c>
      <c r="C279" s="261" t="s">
        <v>6034</v>
      </c>
      <c r="D279" s="264" t="s">
        <v>6035</v>
      </c>
      <c r="E279" s="265" t="s">
        <v>5474</v>
      </c>
      <c r="F279" s="268" t="s">
        <v>6029</v>
      </c>
      <c r="G279" s="271">
        <f>IF(COUNTIF(H279:AU279,"&lt;&gt;")=0,"",SUMPRODUCT(((Recommendations[ImplStatus]="Implemented")+(Recommendations[ImplStatus]="Compensated"))*ISNUMBER(MATCH(Recommendations[Id],H279:AU279,0)))/COUNTIF(H279:AU279,"&lt;&gt;"))</f>
        <v>0</v>
      </c>
      <c r="H279" s="272" t="s">
        <v>112</v>
      </c>
      <c r="I279" s="272" t="s">
        <v>117</v>
      </c>
      <c r="J279" s="272" t="s">
        <v>143</v>
      </c>
      <c r="K279" s="272" t="s">
        <v>148</v>
      </c>
      <c r="L279" s="272" t="s">
        <v>173</v>
      </c>
      <c r="M279" s="272" t="s">
        <v>178</v>
      </c>
      <c r="N279" s="272" t="s">
        <v>183</v>
      </c>
      <c r="O279" s="272" t="s">
        <v>188</v>
      </c>
      <c r="P279" s="272" t="s">
        <v>193</v>
      </c>
      <c r="Q279" s="272" t="s">
        <v>197</v>
      </c>
      <c r="R279" s="272" t="s">
        <v>202</v>
      </c>
      <c r="S279" s="272" t="s">
        <v>207</v>
      </c>
      <c r="T279" s="272" t="s">
        <v>212</v>
      </c>
      <c r="U279" s="272" t="s">
        <v>245</v>
      </c>
      <c r="V279" s="272" t="s">
        <v>250</v>
      </c>
      <c r="W279" s="272" t="s">
        <v>255</v>
      </c>
      <c r="X279" s="272" t="s">
        <v>265</v>
      </c>
      <c r="Y279" s="272" t="s">
        <v>270</v>
      </c>
      <c r="Z279" s="272" t="s">
        <v>291</v>
      </c>
      <c r="AA279" s="272" t="s">
        <v>326</v>
      </c>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6025</v>
      </c>
      <c r="B280" s="260" t="s">
        <v>6026</v>
      </c>
      <c r="C280" s="261" t="s">
        <v>6036</v>
      </c>
      <c r="D280" s="264" t="s">
        <v>6037</v>
      </c>
      <c r="E280" s="265" t="s">
        <v>5474</v>
      </c>
      <c r="F280" s="268" t="s">
        <v>6029</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6025</v>
      </c>
      <c r="B281" s="260" t="s">
        <v>6026</v>
      </c>
      <c r="C281" s="261" t="s">
        <v>6038</v>
      </c>
      <c r="D281" s="264" t="s">
        <v>6039</v>
      </c>
      <c r="E281" s="265" t="s">
        <v>5474</v>
      </c>
      <c r="F281" s="268" t="s">
        <v>6029</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6025</v>
      </c>
      <c r="B282" s="260" t="s">
        <v>6026</v>
      </c>
      <c r="C282" s="261" t="s">
        <v>6040</v>
      </c>
      <c r="D282" s="264" t="s">
        <v>6041</v>
      </c>
      <c r="E282" s="265" t="s">
        <v>5474</v>
      </c>
      <c r="F282" s="268" t="s">
        <v>6029</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6025</v>
      </c>
      <c r="B283" s="260" t="s">
        <v>6026</v>
      </c>
      <c r="C283" s="261" t="s">
        <v>6042</v>
      </c>
      <c r="D283" s="264" t="s">
        <v>6043</v>
      </c>
      <c r="E283" s="265" t="s">
        <v>5570</v>
      </c>
      <c r="F283" s="268" t="s">
        <v>6044</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6025</v>
      </c>
      <c r="B284" s="260" t="s">
        <v>6026</v>
      </c>
      <c r="C284" s="261" t="s">
        <v>6045</v>
      </c>
      <c r="D284" s="264" t="s">
        <v>6046</v>
      </c>
      <c r="E284" s="265" t="s">
        <v>5570</v>
      </c>
      <c r="F284" s="268" t="s">
        <v>6044</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6025</v>
      </c>
      <c r="B285" s="260" t="s">
        <v>6026</v>
      </c>
      <c r="C285" s="261" t="s">
        <v>6047</v>
      </c>
      <c r="D285" s="264" t="s">
        <v>6048</v>
      </c>
      <c r="E285" s="265" t="s">
        <v>5474</v>
      </c>
      <c r="F285" s="268" t="s">
        <v>6044</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6025</v>
      </c>
      <c r="B286" s="260" t="s">
        <v>6026</v>
      </c>
      <c r="C286" s="261" t="s">
        <v>6049</v>
      </c>
      <c r="D286" s="264" t="s">
        <v>6050</v>
      </c>
      <c r="E286" s="265" t="s">
        <v>5503</v>
      </c>
      <c r="F286" s="268" t="s">
        <v>6044</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6025</v>
      </c>
      <c r="B287" s="260" t="s">
        <v>6026</v>
      </c>
      <c r="C287" s="261" t="s">
        <v>6051</v>
      </c>
      <c r="D287" s="264" t="s">
        <v>6052</v>
      </c>
      <c r="E287" s="265" t="s">
        <v>5503</v>
      </c>
      <c r="F287" s="268" t="s">
        <v>6044</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6025</v>
      </c>
      <c r="B288" s="260" t="s">
        <v>6026</v>
      </c>
      <c r="C288" s="261" t="s">
        <v>6053</v>
      </c>
      <c r="D288" s="264" t="s">
        <v>6054</v>
      </c>
      <c r="E288" s="265" t="s">
        <v>5503</v>
      </c>
      <c r="F288" s="268" t="s">
        <v>6044</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6025</v>
      </c>
      <c r="B289" s="260" t="s">
        <v>6026</v>
      </c>
      <c r="C289" s="261" t="s">
        <v>6055</v>
      </c>
      <c r="D289" s="264" t="s">
        <v>6056</v>
      </c>
      <c r="E289" s="265" t="s">
        <v>5503</v>
      </c>
      <c r="F289" s="268" t="s">
        <v>6044</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6025</v>
      </c>
      <c r="B290" s="260" t="s">
        <v>6026</v>
      </c>
      <c r="C290" s="261" t="s">
        <v>6057</v>
      </c>
      <c r="D290" s="264" t="s">
        <v>6058</v>
      </c>
      <c r="E290" s="265" t="s">
        <v>5474</v>
      </c>
      <c r="F290" s="268" t="s">
        <v>6044</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6025</v>
      </c>
      <c r="B291" s="260" t="s">
        <v>6026</v>
      </c>
      <c r="C291" s="261" t="s">
        <v>6059</v>
      </c>
      <c r="D291" s="264" t="s">
        <v>6060</v>
      </c>
      <c r="E291" s="265" t="s">
        <v>5503</v>
      </c>
      <c r="F291" s="268" t="s">
        <v>6061</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6025</v>
      </c>
      <c r="B292" s="260" t="s">
        <v>6026</v>
      </c>
      <c r="C292" s="261" t="s">
        <v>6062</v>
      </c>
      <c r="D292" s="264" t="s">
        <v>6063</v>
      </c>
      <c r="E292" s="265" t="s">
        <v>5503</v>
      </c>
      <c r="F292" s="268" t="s">
        <v>6061</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6025</v>
      </c>
      <c r="B293" s="260" t="s">
        <v>6026</v>
      </c>
      <c r="C293" s="261" t="s">
        <v>6064</v>
      </c>
      <c r="D293" s="264" t="s">
        <v>6065</v>
      </c>
      <c r="E293" s="265" t="s">
        <v>5753</v>
      </c>
      <c r="F293" s="268" t="s">
        <v>6044</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6025</v>
      </c>
      <c r="B294" s="260" t="s">
        <v>6026</v>
      </c>
      <c r="C294" s="261" t="s">
        <v>6066</v>
      </c>
      <c r="D294" s="264" t="s">
        <v>6067</v>
      </c>
      <c r="E294" s="265" t="s">
        <v>5753</v>
      </c>
      <c r="F294" s="268" t="s">
        <v>6044</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6025</v>
      </c>
      <c r="B295" s="260" t="s">
        <v>6026</v>
      </c>
      <c r="C295" s="261" t="s">
        <v>6068</v>
      </c>
      <c r="D295" s="264" t="s">
        <v>6069</v>
      </c>
      <c r="E295" s="265" t="s">
        <v>5570</v>
      </c>
      <c r="F295" s="268" t="s">
        <v>6044</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6025</v>
      </c>
      <c r="B296" s="260" t="s">
        <v>6026</v>
      </c>
      <c r="C296" s="261" t="s">
        <v>6070</v>
      </c>
      <c r="D296" s="264" t="s">
        <v>6071</v>
      </c>
      <c r="E296" s="265" t="s">
        <v>5570</v>
      </c>
      <c r="F296" s="268" t="s">
        <v>6044</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6025</v>
      </c>
      <c r="B297" s="260" t="s">
        <v>6026</v>
      </c>
      <c r="C297" s="261" t="s">
        <v>6072</v>
      </c>
      <c r="D297" s="264" t="s">
        <v>6073</v>
      </c>
      <c r="E297" s="265" t="s">
        <v>5474</v>
      </c>
      <c r="F297" s="268" t="s">
        <v>6044</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6025</v>
      </c>
      <c r="B298" s="260" t="s">
        <v>6026</v>
      </c>
      <c r="C298" s="261" t="s">
        <v>6074</v>
      </c>
      <c r="D298" s="264" t="s">
        <v>6075</v>
      </c>
      <c r="E298" s="265" t="s">
        <v>5570</v>
      </c>
      <c r="F298" s="268" t="s">
        <v>6044</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6025</v>
      </c>
      <c r="B299" s="260" t="s">
        <v>6026</v>
      </c>
      <c r="C299" s="261" t="s">
        <v>6076</v>
      </c>
      <c r="D299" s="264" t="s">
        <v>6077</v>
      </c>
      <c r="E299" s="265" t="s">
        <v>5503</v>
      </c>
      <c r="F299" s="268" t="s">
        <v>6044</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6025</v>
      </c>
      <c r="B300" s="260" t="s">
        <v>6026</v>
      </c>
      <c r="C300" s="261" t="s">
        <v>6078</v>
      </c>
      <c r="D300" s="264" t="s">
        <v>6079</v>
      </c>
      <c r="E300" s="265" t="s">
        <v>5570</v>
      </c>
      <c r="F300" s="268" t="s">
        <v>6044</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6025</v>
      </c>
      <c r="B301" s="260" t="s">
        <v>6026</v>
      </c>
      <c r="C301" s="261" t="s">
        <v>6080</v>
      </c>
      <c r="D301" s="264" t="s">
        <v>6081</v>
      </c>
      <c r="E301" s="265" t="s">
        <v>5618</v>
      </c>
      <c r="F301" s="268" t="s">
        <v>6044</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6025</v>
      </c>
      <c r="B302" s="260" t="s">
        <v>6026</v>
      </c>
      <c r="C302" s="261" t="s">
        <v>6082</v>
      </c>
      <c r="D302" s="264" t="s">
        <v>6083</v>
      </c>
      <c r="E302" s="265" t="s">
        <v>5618</v>
      </c>
      <c r="F302" s="268" t="s">
        <v>6044</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6025</v>
      </c>
      <c r="B303" s="259" t="s">
        <v>1840</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6025</v>
      </c>
      <c r="B304" s="260" t="s">
        <v>1840</v>
      </c>
      <c r="C304" s="261" t="s">
        <v>6084</v>
      </c>
      <c r="D304" s="264" t="s">
        <v>6085</v>
      </c>
      <c r="E304" s="265" t="s">
        <v>5474</v>
      </c>
      <c r="F304" s="268" t="s">
        <v>6086</v>
      </c>
      <c r="G304" s="271">
        <f>IF(COUNTIF(H304:AU304,"&lt;&gt;")=0,"",SUMPRODUCT(((Recommendations[ImplStatus]="Implemented")+(Recommendations[ImplStatus]="Compensated"))*ISNUMBER(MATCH(Recommendations[Id],H304:AU304,0)))/COUNTIF(H304:AU304,"&lt;&gt;"))</f>
        <v>0</v>
      </c>
      <c r="H304" s="272" t="s">
        <v>14</v>
      </c>
      <c r="I304" s="272" t="s">
        <v>437</v>
      </c>
      <c r="J304" s="272" t="s">
        <v>497</v>
      </c>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6025</v>
      </c>
      <c r="B305" s="260" t="s">
        <v>1840</v>
      </c>
      <c r="C305" s="261" t="s">
        <v>6087</v>
      </c>
      <c r="D305" s="264" t="s">
        <v>6088</v>
      </c>
      <c r="E305" s="265" t="s">
        <v>5474</v>
      </c>
      <c r="F305" s="268" t="s">
        <v>6086</v>
      </c>
      <c r="G305" s="271">
        <f>IF(COUNTIF(H305:AU305,"&lt;&gt;")=0,"",SUMPRODUCT(((Recommendations[ImplStatus]="Implemented")+(Recommendations[ImplStatus]="Compensated"))*ISNUMBER(MATCH(Recommendations[Id],H305:AU305,0)))/COUNTIF(H305:AU305,"&lt;&gt;"))</f>
        <v>0</v>
      </c>
      <c r="H305" s="272" t="s">
        <v>532</v>
      </c>
      <c r="I305" s="272" t="s">
        <v>547</v>
      </c>
      <c r="J305" s="272" t="s">
        <v>557</v>
      </c>
      <c r="K305" s="272" t="s">
        <v>567</v>
      </c>
      <c r="L305" s="272" t="s">
        <v>572</v>
      </c>
      <c r="M305" s="272" t="s">
        <v>577</v>
      </c>
      <c r="N305" s="272" t="s">
        <v>582</v>
      </c>
      <c r="O305" s="272" t="s">
        <v>587</v>
      </c>
      <c r="P305" s="272" t="s">
        <v>591</v>
      </c>
      <c r="Q305" s="272" t="s">
        <v>595</v>
      </c>
      <c r="R305" s="272" t="s">
        <v>620</v>
      </c>
      <c r="S305" s="272" t="s">
        <v>655</v>
      </c>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6025</v>
      </c>
      <c r="B306" s="260" t="s">
        <v>1840</v>
      </c>
      <c r="C306" s="261" t="s">
        <v>6089</v>
      </c>
      <c r="D306" s="264" t="s">
        <v>6090</v>
      </c>
      <c r="E306" s="265" t="s">
        <v>5474</v>
      </c>
      <c r="F306" s="268" t="s">
        <v>6086</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6025</v>
      </c>
      <c r="B307" s="260" t="s">
        <v>1840</v>
      </c>
      <c r="C307" s="261" t="s">
        <v>6091</v>
      </c>
      <c r="D307" s="264" t="s">
        <v>6092</v>
      </c>
      <c r="E307" s="265" t="s">
        <v>5474</v>
      </c>
      <c r="F307" s="268" t="s">
        <v>6086</v>
      </c>
      <c r="G307" s="271">
        <f>IF(COUNTIF(H307:AU307,"&lt;&gt;")=0,"",SUMPRODUCT(((Recommendations[ImplStatus]="Implemented")+(Recommendations[ImplStatus]="Compensated"))*ISNUMBER(MATCH(Recommendations[Id],H307:AU307,0)))/COUNTIF(H307:AU307,"&lt;&gt;"))</f>
        <v>0</v>
      </c>
      <c r="H307" s="272" t="s">
        <v>462</v>
      </c>
      <c r="I307" s="272" t="s">
        <v>465</v>
      </c>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6025</v>
      </c>
      <c r="B308" s="260" t="s">
        <v>1840</v>
      </c>
      <c r="C308" s="261" t="s">
        <v>6093</v>
      </c>
      <c r="D308" s="264" t="s">
        <v>6094</v>
      </c>
      <c r="E308" s="265" t="s">
        <v>5570</v>
      </c>
      <c r="F308" s="268" t="s">
        <v>6086</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6025</v>
      </c>
      <c r="B309" s="260" t="s">
        <v>1840</v>
      </c>
      <c r="C309" s="261" t="s">
        <v>6095</v>
      </c>
      <c r="D309" s="264" t="s">
        <v>6096</v>
      </c>
      <c r="E309" s="265" t="s">
        <v>5570</v>
      </c>
      <c r="F309" s="268" t="s">
        <v>6086</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6025</v>
      </c>
      <c r="B310" s="260" t="s">
        <v>1840</v>
      </c>
      <c r="C310" s="261" t="s">
        <v>6097</v>
      </c>
      <c r="D310" s="264" t="s">
        <v>6098</v>
      </c>
      <c r="E310" s="265" t="s">
        <v>5570</v>
      </c>
      <c r="F310" s="268" t="s">
        <v>6086</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6025</v>
      </c>
      <c r="B311" s="260" t="s">
        <v>1840</v>
      </c>
      <c r="C311" s="261" t="s">
        <v>6099</v>
      </c>
      <c r="D311" s="264" t="s">
        <v>6100</v>
      </c>
      <c r="E311" s="265" t="s">
        <v>5570</v>
      </c>
      <c r="F311" s="268" t="s">
        <v>6086</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6025</v>
      </c>
      <c r="B312" s="260" t="s">
        <v>1840</v>
      </c>
      <c r="C312" s="261" t="s">
        <v>6101</v>
      </c>
      <c r="D312" s="264" t="s">
        <v>6102</v>
      </c>
      <c r="E312" s="265" t="s">
        <v>5570</v>
      </c>
      <c r="F312" s="268" t="s">
        <v>6086</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6025</v>
      </c>
      <c r="B313" s="260" t="s">
        <v>1840</v>
      </c>
      <c r="C313" s="261" t="s">
        <v>6103</v>
      </c>
      <c r="D313" s="264" t="s">
        <v>6104</v>
      </c>
      <c r="E313" s="265" t="s">
        <v>5503</v>
      </c>
      <c r="F313" s="268" t="s">
        <v>6086</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6025</v>
      </c>
      <c r="B314" s="260" t="s">
        <v>1840</v>
      </c>
      <c r="C314" s="261" t="s">
        <v>6105</v>
      </c>
      <c r="D314" s="264" t="s">
        <v>6106</v>
      </c>
      <c r="E314" s="265" t="s">
        <v>5503</v>
      </c>
      <c r="F314" s="268" t="s">
        <v>6086</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6025</v>
      </c>
      <c r="B315" s="260" t="s">
        <v>1840</v>
      </c>
      <c r="C315" s="261" t="s">
        <v>6107</v>
      </c>
      <c r="D315" s="264" t="s">
        <v>6108</v>
      </c>
      <c r="E315" s="265" t="s">
        <v>5503</v>
      </c>
      <c r="F315" s="268" t="s">
        <v>6086</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6025</v>
      </c>
      <c r="B316" s="260" t="s">
        <v>1840</v>
      </c>
      <c r="C316" s="261" t="s">
        <v>6109</v>
      </c>
      <c r="D316" s="264" t="s">
        <v>6110</v>
      </c>
      <c r="E316" s="265" t="s">
        <v>5503</v>
      </c>
      <c r="F316" s="268" t="s">
        <v>6086</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6025</v>
      </c>
      <c r="B317" s="260" t="s">
        <v>1840</v>
      </c>
      <c r="C317" s="261" t="s">
        <v>6111</v>
      </c>
      <c r="D317" s="264" t="s">
        <v>6112</v>
      </c>
      <c r="E317" s="265" t="s">
        <v>5570</v>
      </c>
      <c r="F317" s="268" t="s">
        <v>6044</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6025</v>
      </c>
      <c r="B318" s="260" t="s">
        <v>1840</v>
      </c>
      <c r="C318" s="261" t="s">
        <v>6113</v>
      </c>
      <c r="D318" s="264" t="s">
        <v>6114</v>
      </c>
      <c r="E318" s="265" t="s">
        <v>5618</v>
      </c>
      <c r="F318" s="268" t="s">
        <v>6044</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6025</v>
      </c>
      <c r="B319" s="260" t="s">
        <v>1840</v>
      </c>
      <c r="C319" s="261" t="s">
        <v>6115</v>
      </c>
      <c r="D319" s="264" t="s">
        <v>6116</v>
      </c>
      <c r="E319" s="265" t="s">
        <v>5618</v>
      </c>
      <c r="F319" s="268" t="s">
        <v>6044</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6025</v>
      </c>
      <c r="B320" s="259" t="s">
        <v>6117</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6025</v>
      </c>
      <c r="B321" s="260" t="s">
        <v>6117</v>
      </c>
      <c r="C321" s="261" t="s">
        <v>6118</v>
      </c>
      <c r="D321" s="264" t="s">
        <v>6119</v>
      </c>
      <c r="E321" s="265" t="s">
        <v>5503</v>
      </c>
      <c r="F321" s="268" t="s">
        <v>6120</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6025</v>
      </c>
      <c r="B322" s="260" t="s">
        <v>6117</v>
      </c>
      <c r="C322" s="261" t="s">
        <v>6121</v>
      </c>
      <c r="D322" s="264" t="s">
        <v>6122</v>
      </c>
      <c r="E322" s="265" t="s">
        <v>5503</v>
      </c>
      <c r="F322" s="268" t="s">
        <v>6120</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6025</v>
      </c>
      <c r="B323" s="260" t="s">
        <v>6117</v>
      </c>
      <c r="C323" s="261" t="s">
        <v>6123</v>
      </c>
      <c r="D323" s="264" t="s">
        <v>6124</v>
      </c>
      <c r="E323" s="265" t="s">
        <v>5503</v>
      </c>
      <c r="F323" s="268" t="s">
        <v>6120</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6025</v>
      </c>
      <c r="B324" s="260" t="s">
        <v>6117</v>
      </c>
      <c r="C324" s="261" t="s">
        <v>6125</v>
      </c>
      <c r="D324" s="264" t="s">
        <v>6126</v>
      </c>
      <c r="E324" s="265" t="s">
        <v>5503</v>
      </c>
      <c r="F324" s="268" t="s">
        <v>6120</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6025</v>
      </c>
      <c r="B325" s="260" t="s">
        <v>6117</v>
      </c>
      <c r="C325" s="261" t="s">
        <v>6127</v>
      </c>
      <c r="D325" s="264" t="s">
        <v>6128</v>
      </c>
      <c r="E325" s="265" t="s">
        <v>5503</v>
      </c>
      <c r="F325" s="268" t="s">
        <v>6120</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6025</v>
      </c>
      <c r="B326" s="260" t="s">
        <v>6117</v>
      </c>
      <c r="C326" s="261" t="s">
        <v>6129</v>
      </c>
      <c r="D326" s="264" t="s">
        <v>6130</v>
      </c>
      <c r="E326" s="265" t="s">
        <v>5503</v>
      </c>
      <c r="F326" s="268" t="s">
        <v>6120</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6025</v>
      </c>
      <c r="B327" s="260" t="s">
        <v>6117</v>
      </c>
      <c r="C327" s="261" t="s">
        <v>6131</v>
      </c>
      <c r="D327" s="264" t="s">
        <v>6132</v>
      </c>
      <c r="E327" s="265" t="s">
        <v>5503</v>
      </c>
      <c r="F327" s="268" t="s">
        <v>6120</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6025</v>
      </c>
      <c r="B328" s="260" t="s">
        <v>6117</v>
      </c>
      <c r="C328" s="261" t="s">
        <v>6133</v>
      </c>
      <c r="D328" s="264" t="s">
        <v>6134</v>
      </c>
      <c r="E328" s="265" t="s">
        <v>5503</v>
      </c>
      <c r="F328" s="268" t="s">
        <v>6120</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6025</v>
      </c>
      <c r="B329" s="260" t="s">
        <v>6117</v>
      </c>
      <c r="C329" s="261" t="s">
        <v>6135</v>
      </c>
      <c r="D329" s="264" t="s">
        <v>6136</v>
      </c>
      <c r="E329" s="265" t="s">
        <v>5503</v>
      </c>
      <c r="F329" s="268" t="s">
        <v>6120</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6025</v>
      </c>
      <c r="B330" s="260" t="s">
        <v>6117</v>
      </c>
      <c r="C330" s="261" t="s">
        <v>6137</v>
      </c>
      <c r="D330" s="264" t="s">
        <v>6138</v>
      </c>
      <c r="E330" s="265" t="s">
        <v>5503</v>
      </c>
      <c r="F330" s="268" t="s">
        <v>6120</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6025</v>
      </c>
      <c r="B331" s="260" t="s">
        <v>6117</v>
      </c>
      <c r="C331" s="261" t="s">
        <v>6139</v>
      </c>
      <c r="D331" s="264" t="s">
        <v>6140</v>
      </c>
      <c r="E331" s="265" t="s">
        <v>5503</v>
      </c>
      <c r="F331" s="268" t="s">
        <v>6120</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6025</v>
      </c>
      <c r="B332" s="260" t="s">
        <v>6117</v>
      </c>
      <c r="C332" s="261" t="s">
        <v>6141</v>
      </c>
      <c r="D332" s="264" t="s">
        <v>6142</v>
      </c>
      <c r="E332" s="265" t="s">
        <v>5503</v>
      </c>
      <c r="F332" s="268" t="s">
        <v>6120</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6025</v>
      </c>
      <c r="B333" s="260" t="s">
        <v>6117</v>
      </c>
      <c r="C333" s="261" t="s">
        <v>6143</v>
      </c>
      <c r="D333" s="264" t="s">
        <v>6144</v>
      </c>
      <c r="E333" s="265" t="s">
        <v>5503</v>
      </c>
      <c r="F333" s="268" t="s">
        <v>6120</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6025</v>
      </c>
      <c r="B334" s="260" t="s">
        <v>6117</v>
      </c>
      <c r="C334" s="261" t="s">
        <v>6145</v>
      </c>
      <c r="D334" s="264" t="s">
        <v>6146</v>
      </c>
      <c r="E334" s="265" t="s">
        <v>5503</v>
      </c>
      <c r="F334" s="268" t="s">
        <v>6120</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6025</v>
      </c>
      <c r="B335" s="260" t="s">
        <v>6117</v>
      </c>
      <c r="C335" s="261" t="s">
        <v>6147</v>
      </c>
      <c r="D335" s="264" t="s">
        <v>6148</v>
      </c>
      <c r="E335" s="265" t="s">
        <v>5503</v>
      </c>
      <c r="F335" s="268" t="s">
        <v>6120</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6025</v>
      </c>
      <c r="B336" s="260" t="s">
        <v>6117</v>
      </c>
      <c r="C336" s="261" t="s">
        <v>6149</v>
      </c>
      <c r="D336" s="264" t="s">
        <v>6150</v>
      </c>
      <c r="E336" s="265" t="s">
        <v>5618</v>
      </c>
      <c r="F336" s="268" t="s">
        <v>6120</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6025</v>
      </c>
      <c r="B337" s="260" t="s">
        <v>6117</v>
      </c>
      <c r="C337" s="261" t="s">
        <v>6151</v>
      </c>
      <c r="D337" s="264" t="s">
        <v>6152</v>
      </c>
      <c r="E337" s="265" t="s">
        <v>5618</v>
      </c>
      <c r="F337" s="268" t="s">
        <v>6120</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6025</v>
      </c>
      <c r="B338" s="260" t="s">
        <v>6117</v>
      </c>
      <c r="C338" s="261" t="s">
        <v>6153</v>
      </c>
      <c r="D338" s="264" t="s">
        <v>6154</v>
      </c>
      <c r="E338" s="265" t="s">
        <v>5503</v>
      </c>
      <c r="F338" s="268" t="s">
        <v>6120</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6025</v>
      </c>
      <c r="B339" s="260" t="s">
        <v>6117</v>
      </c>
      <c r="C339" s="261" t="s">
        <v>6155</v>
      </c>
      <c r="D339" s="264" t="s">
        <v>6156</v>
      </c>
      <c r="E339" s="265" t="s">
        <v>5503</v>
      </c>
      <c r="F339" s="268" t="s">
        <v>6120</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6025</v>
      </c>
      <c r="B340" s="259" t="s">
        <v>6157</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6025</v>
      </c>
      <c r="B341" s="260" t="s">
        <v>6157</v>
      </c>
      <c r="C341" s="261" t="s">
        <v>6158</v>
      </c>
      <c r="D341" s="264" t="s">
        <v>6159</v>
      </c>
      <c r="E341" s="265" t="s">
        <v>5474</v>
      </c>
      <c r="F341" s="268" t="s">
        <v>6044</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6025</v>
      </c>
      <c r="B342" s="260" t="s">
        <v>6157</v>
      </c>
      <c r="C342" s="261" t="s">
        <v>6160</v>
      </c>
      <c r="D342" s="264" t="s">
        <v>6161</v>
      </c>
      <c r="E342" s="265" t="s">
        <v>5474</v>
      </c>
      <c r="F342" s="268" t="s">
        <v>6044</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6025</v>
      </c>
      <c r="B343" s="260" t="s">
        <v>6157</v>
      </c>
      <c r="C343" s="261" t="s">
        <v>6162</v>
      </c>
      <c r="D343" s="264" t="s">
        <v>6163</v>
      </c>
      <c r="E343" s="265" t="s">
        <v>5570</v>
      </c>
      <c r="F343" s="268" t="s">
        <v>6164</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6025</v>
      </c>
      <c r="B344" s="260" t="s">
        <v>6157</v>
      </c>
      <c r="C344" s="261" t="s">
        <v>6165</v>
      </c>
      <c r="D344" s="264" t="s">
        <v>6166</v>
      </c>
      <c r="E344" s="265" t="s">
        <v>5503</v>
      </c>
      <c r="F344" s="268" t="s">
        <v>6164</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6025</v>
      </c>
      <c r="B345" s="260" t="s">
        <v>6157</v>
      </c>
      <c r="C345" s="261" t="s">
        <v>6167</v>
      </c>
      <c r="D345" s="264" t="s">
        <v>6168</v>
      </c>
      <c r="E345" s="265" t="s">
        <v>5503</v>
      </c>
      <c r="F345" s="268" t="s">
        <v>6164</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6025</v>
      </c>
      <c r="B346" s="260" t="s">
        <v>6157</v>
      </c>
      <c r="C346" s="261" t="s">
        <v>6169</v>
      </c>
      <c r="D346" s="264" t="s">
        <v>6170</v>
      </c>
      <c r="E346" s="265" t="s">
        <v>5503</v>
      </c>
      <c r="F346" s="268" t="s">
        <v>6164</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6025</v>
      </c>
      <c r="B347" s="260" t="s">
        <v>6157</v>
      </c>
      <c r="C347" s="261" t="s">
        <v>6171</v>
      </c>
      <c r="D347" s="264" t="s">
        <v>6172</v>
      </c>
      <c r="E347" s="265" t="s">
        <v>5503</v>
      </c>
      <c r="F347" s="268" t="s">
        <v>6164</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6025</v>
      </c>
      <c r="B348" s="260" t="s">
        <v>6157</v>
      </c>
      <c r="C348" s="261" t="s">
        <v>6173</v>
      </c>
      <c r="D348" s="264" t="s">
        <v>6174</v>
      </c>
      <c r="E348" s="265" t="s">
        <v>5503</v>
      </c>
      <c r="F348" s="268" t="s">
        <v>6164</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6025</v>
      </c>
      <c r="B349" s="260" t="s">
        <v>6157</v>
      </c>
      <c r="C349" s="261" t="s">
        <v>6175</v>
      </c>
      <c r="D349" s="264" t="s">
        <v>6176</v>
      </c>
      <c r="E349" s="265" t="s">
        <v>5503</v>
      </c>
      <c r="F349" s="268" t="s">
        <v>6164</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6025</v>
      </c>
      <c r="B350" s="260" t="s">
        <v>6157</v>
      </c>
      <c r="C350" s="261" t="s">
        <v>6177</v>
      </c>
      <c r="D350" s="264" t="s">
        <v>6178</v>
      </c>
      <c r="E350" s="265" t="s">
        <v>5474</v>
      </c>
      <c r="F350" s="268" t="s">
        <v>6164</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6025</v>
      </c>
      <c r="B351" s="260" t="s">
        <v>6157</v>
      </c>
      <c r="C351" s="261" t="s">
        <v>6179</v>
      </c>
      <c r="D351" s="264" t="s">
        <v>6180</v>
      </c>
      <c r="E351" s="265" t="s">
        <v>5474</v>
      </c>
      <c r="F351" s="268" t="s">
        <v>6164</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6025</v>
      </c>
      <c r="B352" s="260" t="s">
        <v>6157</v>
      </c>
      <c r="C352" s="261" t="s">
        <v>6181</v>
      </c>
      <c r="D352" s="264" t="s">
        <v>6182</v>
      </c>
      <c r="E352" s="265" t="s">
        <v>5474</v>
      </c>
      <c r="F352" s="268" t="s">
        <v>6164</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6025</v>
      </c>
      <c r="B353" s="260" t="s">
        <v>6157</v>
      </c>
      <c r="C353" s="261" t="s">
        <v>6183</v>
      </c>
      <c r="D353" s="264" t="s">
        <v>6184</v>
      </c>
      <c r="E353" s="265" t="s">
        <v>5570</v>
      </c>
      <c r="F353" s="268" t="s">
        <v>6044</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6025</v>
      </c>
      <c r="B354" s="259" t="s">
        <v>6185</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6025</v>
      </c>
      <c r="B355" s="260" t="s">
        <v>6185</v>
      </c>
      <c r="C355" s="261" t="s">
        <v>6186</v>
      </c>
      <c r="D355" s="264" t="s">
        <v>6187</v>
      </c>
      <c r="E355" s="265" t="s">
        <v>5570</v>
      </c>
      <c r="F355" s="268" t="s">
        <v>6188</v>
      </c>
      <c r="G355" s="271">
        <f>IF(COUNTIF(H355:AU355,"&lt;&gt;")=0,"",SUMPRODUCT(((Recommendations[ImplStatus]="Implemented")+(Recommendations[ImplStatus]="Compensated"))*ISNUMBER(MATCH(Recommendations[Id],H355:AU355,0)))/COUNTIF(H355:AU355,"&lt;&gt;"))</f>
        <v>0</v>
      </c>
      <c r="H355" s="272" t="s">
        <v>25</v>
      </c>
      <c r="I355" s="272" t="s">
        <v>30</v>
      </c>
      <c r="J355" s="272" t="s">
        <v>34</v>
      </c>
      <c r="K355" s="272" t="s">
        <v>39</v>
      </c>
      <c r="L355" s="272" t="s">
        <v>137</v>
      </c>
      <c r="M355" s="272" t="s">
        <v>153</v>
      </c>
      <c r="N355" s="272" t="s">
        <v>418</v>
      </c>
      <c r="O355" s="272" t="s">
        <v>423</v>
      </c>
      <c r="P355" s="272" t="s">
        <v>426</v>
      </c>
      <c r="Q355" s="272" t="s">
        <v>429</v>
      </c>
      <c r="R355" s="272" t="s">
        <v>432</v>
      </c>
      <c r="S355" s="272" t="s">
        <v>457</v>
      </c>
      <c r="T355" s="272" t="s">
        <v>462</v>
      </c>
      <c r="U355" s="272" t="s">
        <v>465</v>
      </c>
      <c r="V355" s="272" t="s">
        <v>467</v>
      </c>
      <c r="W355" s="272" t="s">
        <v>471</v>
      </c>
      <c r="X355" s="272" t="s">
        <v>475</v>
      </c>
      <c r="Y355" s="272" t="s">
        <v>477</v>
      </c>
      <c r="Z355" s="272" t="s">
        <v>482</v>
      </c>
      <c r="AA355" s="272" t="s">
        <v>492</v>
      </c>
      <c r="AB355" s="272" t="s">
        <v>679</v>
      </c>
      <c r="AC355" s="272" t="s">
        <v>689</v>
      </c>
      <c r="AD355" s="272" t="s">
        <v>699</v>
      </c>
      <c r="AE355" s="272" t="s">
        <v>709</v>
      </c>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6025</v>
      </c>
      <c r="B356" s="260" t="s">
        <v>6185</v>
      </c>
      <c r="C356" s="261" t="s">
        <v>6189</v>
      </c>
      <c r="D356" s="264" t="s">
        <v>6190</v>
      </c>
      <c r="E356" s="265" t="s">
        <v>5570</v>
      </c>
      <c r="F356" s="268" t="s">
        <v>6188</v>
      </c>
      <c r="G356" s="271">
        <f>IF(COUNTIF(H356:AU356,"&lt;&gt;")=0,"",SUMPRODUCT(((Recommendations[ImplStatus]="Implemented")+(Recommendations[ImplStatus]="Compensated"))*ISNUMBER(MATCH(Recommendations[Id],H356:AU356,0)))/COUNTIF(H356:AU356,"&lt;&gt;"))</f>
        <v>0</v>
      </c>
      <c r="H356" s="272" t="s">
        <v>34</v>
      </c>
      <c r="I356" s="272" t="s">
        <v>39</v>
      </c>
      <c r="J356" s="272" t="s">
        <v>457</v>
      </c>
      <c r="K356" s="272" t="s">
        <v>467</v>
      </c>
      <c r="L356" s="272" t="s">
        <v>471</v>
      </c>
      <c r="M356" s="272" t="s">
        <v>475</v>
      </c>
      <c r="N356" s="272" t="s">
        <v>477</v>
      </c>
      <c r="O356" s="272" t="s">
        <v>482</v>
      </c>
      <c r="P356" s="272" t="s">
        <v>679</v>
      </c>
      <c r="Q356" s="272" t="s">
        <v>699</v>
      </c>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6025</v>
      </c>
      <c r="B357" s="260" t="s">
        <v>6185</v>
      </c>
      <c r="C357" s="261" t="s">
        <v>6191</v>
      </c>
      <c r="D357" s="264" t="s">
        <v>6192</v>
      </c>
      <c r="E357" s="265" t="s">
        <v>5618</v>
      </c>
      <c r="F357" s="268" t="s">
        <v>6188</v>
      </c>
      <c r="G357" s="271">
        <f>IF(COUNTIF(H357:AU357,"&lt;&gt;")=0,"",SUMPRODUCT(((Recommendations[ImplStatus]="Implemented")+(Recommendations[ImplStatus]="Compensated"))*ISNUMBER(MATCH(Recommendations[Id],H357:AU357,0)))/COUNTIF(H357:AU357,"&lt;&gt;"))</f>
        <v>0</v>
      </c>
      <c r="H357" s="272" t="s">
        <v>689</v>
      </c>
      <c r="I357" s="272" t="s">
        <v>709</v>
      </c>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6025</v>
      </c>
      <c r="B358" s="260" t="s">
        <v>6185</v>
      </c>
      <c r="C358" s="261" t="s">
        <v>6193</v>
      </c>
      <c r="D358" s="264" t="s">
        <v>6194</v>
      </c>
      <c r="E358" s="265" t="s">
        <v>5618</v>
      </c>
      <c r="F358" s="268" t="s">
        <v>6188</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6025</v>
      </c>
      <c r="B359" s="260" t="s">
        <v>6185</v>
      </c>
      <c r="C359" s="261" t="s">
        <v>6195</v>
      </c>
      <c r="D359" s="264" t="s">
        <v>6196</v>
      </c>
      <c r="E359" s="265" t="s">
        <v>5618</v>
      </c>
      <c r="F359" s="268" t="s">
        <v>6188</v>
      </c>
      <c r="G359" s="271">
        <f>IF(COUNTIF(H359:AU359,"&lt;&gt;")=0,"",SUMPRODUCT(((Recommendations[ImplStatus]="Implemented")+(Recommendations[ImplStatus]="Compensated"))*ISNUMBER(MATCH(Recommendations[Id],H359:AU359,0)))/COUNTIF(H359:AU359,"&lt;&gt;"))</f>
        <v>0</v>
      </c>
      <c r="H359" s="272" t="s">
        <v>492</v>
      </c>
      <c r="I359" s="272" t="s">
        <v>512</v>
      </c>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6025</v>
      </c>
      <c r="B360" s="260" t="s">
        <v>6185</v>
      </c>
      <c r="C360" s="261" t="s">
        <v>6197</v>
      </c>
      <c r="D360" s="264" t="s">
        <v>6198</v>
      </c>
      <c r="E360" s="265" t="s">
        <v>5570</v>
      </c>
      <c r="F360" s="268" t="s">
        <v>6188</v>
      </c>
      <c r="G360" s="271">
        <f>IF(COUNTIF(H360:AU360,"&lt;&gt;")=0,"",SUMPRODUCT(((Recommendations[ImplStatus]="Implemented")+(Recommendations[ImplStatus]="Compensated"))*ISNUMBER(MATCH(Recommendations[Id],H360:AU360,0)))/COUNTIF(H360:AU360,"&lt;&gt;"))</f>
        <v>0</v>
      </c>
      <c r="H360" s="272" t="s">
        <v>728</v>
      </c>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6025</v>
      </c>
      <c r="B361" s="260" t="s">
        <v>6185</v>
      </c>
      <c r="C361" s="261" t="s">
        <v>6199</v>
      </c>
      <c r="D361" s="264" t="s">
        <v>6200</v>
      </c>
      <c r="E361" s="265" t="s">
        <v>5503</v>
      </c>
      <c r="F361" s="268" t="s">
        <v>6188</v>
      </c>
      <c r="G361" s="271">
        <f>IF(COUNTIF(H361:AU361,"&lt;&gt;")=0,"",SUMPRODUCT(((Recommendations[ImplStatus]="Implemented")+(Recommendations[ImplStatus]="Compensated"))*ISNUMBER(MATCH(Recommendations[Id],H361:AU361,0)))/COUNTIF(H361:AU361,"&lt;&gt;"))</f>
        <v>0</v>
      </c>
      <c r="H361" s="272" t="s">
        <v>122</v>
      </c>
      <c r="I361" s="272" t="s">
        <v>127</v>
      </c>
      <c r="J361" s="272" t="s">
        <v>487</v>
      </c>
      <c r="K361" s="272" t="s">
        <v>665</v>
      </c>
      <c r="L361" s="272" t="s">
        <v>670</v>
      </c>
      <c r="M361" s="272" t="s">
        <v>674</v>
      </c>
      <c r="N361" s="272" t="s">
        <v>684</v>
      </c>
      <c r="O361" s="272" t="s">
        <v>719</v>
      </c>
      <c r="P361" s="272" t="s">
        <v>724</v>
      </c>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6025</v>
      </c>
      <c r="B362" s="260" t="s">
        <v>6185</v>
      </c>
      <c r="C362" s="261" t="s">
        <v>6201</v>
      </c>
      <c r="D362" s="264" t="s">
        <v>6202</v>
      </c>
      <c r="E362" s="265" t="s">
        <v>5618</v>
      </c>
      <c r="F362" s="268" t="s">
        <v>6188</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6025</v>
      </c>
      <c r="B363" s="260" t="s">
        <v>6185</v>
      </c>
      <c r="C363" s="261" t="s">
        <v>6203</v>
      </c>
      <c r="D363" s="264" t="s">
        <v>6204</v>
      </c>
      <c r="E363" s="265" t="s">
        <v>5618</v>
      </c>
      <c r="F363" s="268" t="s">
        <v>6188</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6025</v>
      </c>
      <c r="B364" s="260" t="s">
        <v>6185</v>
      </c>
      <c r="C364" s="261" t="s">
        <v>6205</v>
      </c>
      <c r="D364" s="264" t="s">
        <v>6206</v>
      </c>
      <c r="E364" s="265" t="s">
        <v>5618</v>
      </c>
      <c r="F364" s="268" t="s">
        <v>6188</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6025</v>
      </c>
      <c r="B365" s="260" t="s">
        <v>6185</v>
      </c>
      <c r="C365" s="261" t="s">
        <v>6207</v>
      </c>
      <c r="D365" s="264" t="s">
        <v>6208</v>
      </c>
      <c r="E365" s="265" t="s">
        <v>5618</v>
      </c>
      <c r="F365" s="268" t="s">
        <v>6188</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6025</v>
      </c>
      <c r="B366" s="260" t="s">
        <v>6185</v>
      </c>
      <c r="C366" s="261" t="s">
        <v>6209</v>
      </c>
      <c r="D366" s="264" t="s">
        <v>6210</v>
      </c>
      <c r="E366" s="265" t="s">
        <v>5618</v>
      </c>
      <c r="F366" s="268" t="s">
        <v>6188</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6025</v>
      </c>
      <c r="B367" s="260" t="s">
        <v>6185</v>
      </c>
      <c r="C367" s="261" t="s">
        <v>6211</v>
      </c>
      <c r="D367" s="264" t="s">
        <v>6212</v>
      </c>
      <c r="E367" s="265" t="s">
        <v>5618</v>
      </c>
      <c r="F367" s="268" t="s">
        <v>6188</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6025</v>
      </c>
      <c r="B368" s="260" t="s">
        <v>6185</v>
      </c>
      <c r="C368" s="261" t="s">
        <v>6213</v>
      </c>
      <c r="D368" s="264" t="s">
        <v>6214</v>
      </c>
      <c r="E368" s="265" t="s">
        <v>5618</v>
      </c>
      <c r="F368" s="268" t="s">
        <v>6188</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6025</v>
      </c>
      <c r="B369" s="260" t="s">
        <v>6185</v>
      </c>
      <c r="C369" s="261" t="s">
        <v>6215</v>
      </c>
      <c r="D369" s="264" t="s">
        <v>6216</v>
      </c>
      <c r="E369" s="265" t="s">
        <v>5618</v>
      </c>
      <c r="F369" s="268" t="s">
        <v>6188</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6217</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6217</v>
      </c>
      <c r="B371" s="259" t="s">
        <v>6218</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6217</v>
      </c>
      <c r="B372" s="260" t="s">
        <v>6218</v>
      </c>
      <c r="C372" s="261" t="s">
        <v>6219</v>
      </c>
      <c r="D372" s="264" t="s">
        <v>6220</v>
      </c>
      <c r="E372" s="265" t="s">
        <v>5474</v>
      </c>
      <c r="F372" s="268" t="s">
        <v>6221</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6217</v>
      </c>
      <c r="B373" s="260" t="s">
        <v>6218</v>
      </c>
      <c r="C373" s="261" t="s">
        <v>6222</v>
      </c>
      <c r="D373" s="264" t="s">
        <v>6223</v>
      </c>
      <c r="E373" s="265" t="s">
        <v>5474</v>
      </c>
      <c r="F373" s="268" t="s">
        <v>6224</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6217</v>
      </c>
      <c r="B374" s="260" t="s">
        <v>6218</v>
      </c>
      <c r="C374" s="261" t="s">
        <v>6225</v>
      </c>
      <c r="D374" s="264" t="s">
        <v>6226</v>
      </c>
      <c r="E374" s="265" t="s">
        <v>5503</v>
      </c>
      <c r="F374" s="268" t="s">
        <v>6224</v>
      </c>
      <c r="G374" s="271">
        <f>IF(COUNTIF(H374:AU374,"&lt;&gt;")=0,"",SUMPRODUCT(((Recommendations[ImplStatus]="Implemented")+(Recommendations[ImplStatus]="Compensated"))*ISNUMBER(MATCH(Recommendations[Id],H374:AU374,0)))/COUNTIF(H374:AU374,"&lt;&gt;"))</f>
        <v>0</v>
      </c>
      <c r="H374" s="272" t="s">
        <v>532</v>
      </c>
      <c r="I374" s="272" t="s">
        <v>547</v>
      </c>
      <c r="J374" s="272" t="s">
        <v>620</v>
      </c>
      <c r="K374" s="272" t="s">
        <v>655</v>
      </c>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6217</v>
      </c>
      <c r="B375" s="260" t="s">
        <v>6218</v>
      </c>
      <c r="C375" s="261" t="s">
        <v>6227</v>
      </c>
      <c r="D375" s="264" t="s">
        <v>6228</v>
      </c>
      <c r="E375" s="265" t="s">
        <v>5503</v>
      </c>
      <c r="F375" s="268" t="s">
        <v>6224</v>
      </c>
      <c r="G375" s="271">
        <f>IF(COUNTIF(H375:AU375,"&lt;&gt;")=0,"",SUMPRODUCT(((Recommendations[ImplStatus]="Implemented")+(Recommendations[ImplStatus]="Compensated"))*ISNUMBER(MATCH(Recommendations[Id],H375:AU375,0)))/COUNTIF(H375:AU375,"&lt;&gt;"))</f>
        <v>0</v>
      </c>
      <c r="H375" s="272" t="s">
        <v>517</v>
      </c>
      <c r="I375" s="272" t="s">
        <v>704</v>
      </c>
      <c r="J375" s="272" t="s">
        <v>714</v>
      </c>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6217</v>
      </c>
      <c r="B376" s="260" t="s">
        <v>6218</v>
      </c>
      <c r="C376" s="261" t="s">
        <v>6229</v>
      </c>
      <c r="D376" s="264" t="s">
        <v>6230</v>
      </c>
      <c r="E376" s="265" t="s">
        <v>5503</v>
      </c>
      <c r="F376" s="268" t="s">
        <v>6086</v>
      </c>
      <c r="G376" s="271">
        <f>IF(COUNTIF(H376:AU376,"&lt;&gt;")=0,"",SUMPRODUCT(((Recommendations[ImplStatus]="Implemented")+(Recommendations[ImplStatus]="Compensated"))*ISNUMBER(MATCH(Recommendations[Id],H376:AU376,0)))/COUNTIF(H376:AU376,"&lt;&gt;"))</f>
        <v>0</v>
      </c>
      <c r="H376" s="272" t="s">
        <v>512</v>
      </c>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6217</v>
      </c>
      <c r="B377" s="260" t="s">
        <v>6218</v>
      </c>
      <c r="C377" s="261" t="s">
        <v>6231</v>
      </c>
      <c r="D377" s="264" t="s">
        <v>6232</v>
      </c>
      <c r="E377" s="265" t="s">
        <v>5570</v>
      </c>
      <c r="F377" s="268" t="s">
        <v>6044</v>
      </c>
      <c r="G377" s="271">
        <f>IF(COUNTIF(H377:AU377,"&lt;&gt;")=0,"",SUMPRODUCT(((Recommendations[ImplStatus]="Implemented")+(Recommendations[ImplStatus]="Compensated"))*ISNUMBER(MATCH(Recommendations[Id],H377:AU377,0)))/COUNTIF(H377:AU377,"&lt;&gt;"))</f>
        <v>0</v>
      </c>
      <c r="H377" s="272" t="s">
        <v>537</v>
      </c>
      <c r="I377" s="272" t="s">
        <v>600</v>
      </c>
      <c r="J377" s="272" t="s">
        <v>610</v>
      </c>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6217</v>
      </c>
      <c r="B378" s="260" t="s">
        <v>6218</v>
      </c>
      <c r="C378" s="261" t="s">
        <v>6233</v>
      </c>
      <c r="D378" s="264" t="s">
        <v>6234</v>
      </c>
      <c r="E378" s="265" t="s">
        <v>5570</v>
      </c>
      <c r="F378" s="268" t="s">
        <v>6224</v>
      </c>
      <c r="G378" s="271">
        <f>IF(COUNTIF(H378:AU378,"&lt;&gt;")=0,"",SUMPRODUCT(((Recommendations[ImplStatus]="Implemented")+(Recommendations[ImplStatus]="Compensated"))*ISNUMBER(MATCH(Recommendations[Id],H378:AU378,0)))/COUNTIF(H378:AU378,"&lt;&gt;"))</f>
        <v>0</v>
      </c>
      <c r="H378" s="272" t="s">
        <v>502</v>
      </c>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6217</v>
      </c>
      <c r="B379" s="260" t="s">
        <v>6218</v>
      </c>
      <c r="C379" s="261" t="s">
        <v>6235</v>
      </c>
      <c r="D379" s="264" t="s">
        <v>6236</v>
      </c>
      <c r="E379" s="265" t="s">
        <v>5570</v>
      </c>
      <c r="F379" s="268" t="s">
        <v>6221</v>
      </c>
      <c r="G379" s="271">
        <f>IF(COUNTIF(H379:AU379,"&lt;&gt;")=0,"",SUMPRODUCT(((Recommendations[ImplStatus]="Implemented")+(Recommendations[ImplStatus]="Compensated"))*ISNUMBER(MATCH(Recommendations[Id],H379:AU379,0)))/COUNTIF(H379:AU379,"&lt;&gt;"))</f>
        <v>0</v>
      </c>
      <c r="H379" s="272" t="s">
        <v>67</v>
      </c>
      <c r="I379" s="272" t="s">
        <v>371</v>
      </c>
      <c r="J379" s="272" t="s">
        <v>625</v>
      </c>
      <c r="K379" s="272" t="s">
        <v>630</v>
      </c>
      <c r="L379" s="272" t="s">
        <v>660</v>
      </c>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6217</v>
      </c>
      <c r="B380" s="260" t="s">
        <v>6218</v>
      </c>
      <c r="C380" s="261" t="s">
        <v>6237</v>
      </c>
      <c r="D380" s="264" t="s">
        <v>6238</v>
      </c>
      <c r="E380" s="265" t="s">
        <v>5570</v>
      </c>
      <c r="F380" s="268" t="s">
        <v>6221</v>
      </c>
      <c r="G380" s="271">
        <f>IF(COUNTIF(H380:AU380,"&lt;&gt;")=0,"",SUMPRODUCT(((Recommendations[ImplStatus]="Implemented")+(Recommendations[ImplStatus]="Compensated"))*ISNUMBER(MATCH(Recommendations[Id],H380:AU380,0)))/COUNTIF(H380:AU380,"&lt;&gt;"))</f>
        <v>0</v>
      </c>
      <c r="H380" s="272" t="s">
        <v>452</v>
      </c>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6217</v>
      </c>
      <c r="B381" s="260" t="s">
        <v>6218</v>
      </c>
      <c r="C381" s="261" t="s">
        <v>6239</v>
      </c>
      <c r="D381" s="264" t="s">
        <v>6240</v>
      </c>
      <c r="E381" s="265" t="s">
        <v>5570</v>
      </c>
      <c r="F381" s="268" t="s">
        <v>6221</v>
      </c>
      <c r="G381" s="271">
        <f>IF(COUNTIF(H381:AU381,"&lt;&gt;")=0,"",SUMPRODUCT(((Recommendations[ImplStatus]="Implemented")+(Recommendations[ImplStatus]="Compensated"))*ISNUMBER(MATCH(Recommendations[Id],H381:AU381,0)))/COUNTIF(H381:AU381,"&lt;&gt;"))</f>
        <v>0</v>
      </c>
      <c r="H381" s="272" t="s">
        <v>275</v>
      </c>
      <c r="I381" s="272" t="s">
        <v>411</v>
      </c>
      <c r="J381" s="272" t="s">
        <v>640</v>
      </c>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6217</v>
      </c>
      <c r="B382" s="260" t="s">
        <v>6218</v>
      </c>
      <c r="C382" s="261" t="s">
        <v>6241</v>
      </c>
      <c r="D382" s="264" t="s">
        <v>6242</v>
      </c>
      <c r="E382" s="265" t="s">
        <v>5618</v>
      </c>
      <c r="F382" s="268" t="s">
        <v>6221</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6217</v>
      </c>
      <c r="B383" s="260" t="s">
        <v>6218</v>
      </c>
      <c r="C383" s="261" t="s">
        <v>6243</v>
      </c>
      <c r="D383" s="264" t="s">
        <v>6244</v>
      </c>
      <c r="E383" s="265" t="s">
        <v>5618</v>
      </c>
      <c r="F383" s="268" t="s">
        <v>6221</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6217</v>
      </c>
      <c r="B384" s="260" t="s">
        <v>6218</v>
      </c>
      <c r="C384" s="261" t="s">
        <v>6245</v>
      </c>
      <c r="D384" s="264" t="s">
        <v>6246</v>
      </c>
      <c r="E384" s="265" t="s">
        <v>5618</v>
      </c>
      <c r="F384" s="268" t="s">
        <v>6221</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6217</v>
      </c>
      <c r="B385" s="260" t="s">
        <v>6218</v>
      </c>
      <c r="C385" s="261" t="s">
        <v>6247</v>
      </c>
      <c r="D385" s="264" t="s">
        <v>6248</v>
      </c>
      <c r="E385" s="265" t="s">
        <v>5570</v>
      </c>
      <c r="F385" s="268" t="s">
        <v>6221</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6217</v>
      </c>
      <c r="B386" s="259" t="s">
        <v>6249</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6217</v>
      </c>
      <c r="B387" s="260" t="s">
        <v>6249</v>
      </c>
      <c r="C387" s="261" t="s">
        <v>6250</v>
      </c>
      <c r="D387" s="264" t="s">
        <v>6251</v>
      </c>
      <c r="E387" s="265" t="s">
        <v>5474</v>
      </c>
      <c r="F387" s="268" t="s">
        <v>6252</v>
      </c>
      <c r="G387" s="271">
        <f>IF(COUNTIF(H387:AU387,"&lt;&gt;")=0,"",SUMPRODUCT(((Recommendations[ImplStatus]="Implemented")+(Recommendations[ImplStatus]="Compensated"))*ISNUMBER(MATCH(Recommendations[Id],H387:AU387,0)))/COUNTIF(H387:AU387,"&lt;&gt;"))</f>
        <v>0</v>
      </c>
      <c r="H387" s="272" t="s">
        <v>92</v>
      </c>
      <c r="I387" s="272" t="s">
        <v>97</v>
      </c>
      <c r="J387" s="272" t="s">
        <v>102</v>
      </c>
      <c r="K387" s="272" t="s">
        <v>396</v>
      </c>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6217</v>
      </c>
      <c r="B388" s="260" t="s">
        <v>6249</v>
      </c>
      <c r="C388" s="261" t="s">
        <v>6253</v>
      </c>
      <c r="D388" s="264" t="s">
        <v>6254</v>
      </c>
      <c r="E388" s="265" t="s">
        <v>5474</v>
      </c>
      <c r="F388" s="268" t="s">
        <v>6252</v>
      </c>
      <c r="G388" s="271">
        <f>IF(COUNTIF(H388:AU388,"&lt;&gt;")=0,"",SUMPRODUCT(((Recommendations[ImplStatus]="Implemented")+(Recommendations[ImplStatus]="Compensated"))*ISNUMBER(MATCH(Recommendations[Id],H388:AU388,0)))/COUNTIF(H388:AU388,"&lt;&gt;"))</f>
        <v>0</v>
      </c>
      <c r="H388" s="272" t="s">
        <v>92</v>
      </c>
      <c r="I388" s="272" t="s">
        <v>102</v>
      </c>
      <c r="J388" s="272" t="s">
        <v>396</v>
      </c>
      <c r="K388" s="272" t="s">
        <v>502</v>
      </c>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6217</v>
      </c>
      <c r="B389" s="260" t="s">
        <v>6249</v>
      </c>
      <c r="C389" s="261" t="s">
        <v>6255</v>
      </c>
      <c r="D389" s="264" t="s">
        <v>6256</v>
      </c>
      <c r="E389" s="265" t="s">
        <v>5753</v>
      </c>
      <c r="F389" s="268" t="s">
        <v>6252</v>
      </c>
      <c r="G389" s="271">
        <f>IF(COUNTIF(H389:AU389,"&lt;&gt;")=0,"",SUMPRODUCT(((Recommendations[ImplStatus]="Implemented")+(Recommendations[ImplStatus]="Compensated"))*ISNUMBER(MATCH(Recommendations[Id],H389:AU389,0)))/COUNTIF(H389:AU389,"&lt;&gt;"))</f>
        <v>0</v>
      </c>
      <c r="H389" s="272" t="s">
        <v>107</v>
      </c>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6217</v>
      </c>
      <c r="B390" s="260" t="s">
        <v>6249</v>
      </c>
      <c r="C390" s="261" t="s">
        <v>6257</v>
      </c>
      <c r="D390" s="264" t="s">
        <v>6258</v>
      </c>
      <c r="E390" s="265" t="s">
        <v>5570</v>
      </c>
      <c r="F390" s="268" t="s">
        <v>6252</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6217</v>
      </c>
      <c r="B391" s="260" t="s">
        <v>6249</v>
      </c>
      <c r="C391" s="261" t="s">
        <v>6259</v>
      </c>
      <c r="D391" s="264" t="s">
        <v>6260</v>
      </c>
      <c r="E391" s="265" t="s">
        <v>5753</v>
      </c>
      <c r="F391" s="268" t="s">
        <v>6252</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6217</v>
      </c>
      <c r="B392" s="260" t="s">
        <v>6249</v>
      </c>
      <c r="C392" s="261" t="s">
        <v>6261</v>
      </c>
      <c r="D392" s="264" t="s">
        <v>6262</v>
      </c>
      <c r="E392" s="265" t="s">
        <v>5503</v>
      </c>
      <c r="F392" s="268" t="s">
        <v>6252</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6217</v>
      </c>
      <c r="B393" s="260" t="s">
        <v>6249</v>
      </c>
      <c r="C393" s="261" t="s">
        <v>6263</v>
      </c>
      <c r="D393" s="264" t="s">
        <v>6264</v>
      </c>
      <c r="E393" s="265" t="s">
        <v>5503</v>
      </c>
      <c r="F393" s="268" t="s">
        <v>6252</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6217</v>
      </c>
      <c r="B394" s="260" t="s">
        <v>6249</v>
      </c>
      <c r="C394" s="261" t="s">
        <v>6265</v>
      </c>
      <c r="D394" s="264" t="s">
        <v>6266</v>
      </c>
      <c r="E394" s="265" t="s">
        <v>5753</v>
      </c>
      <c r="F394" s="268" t="s">
        <v>6252</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6217</v>
      </c>
      <c r="B395" s="260" t="s">
        <v>6249</v>
      </c>
      <c r="C395" s="261" t="s">
        <v>6267</v>
      </c>
      <c r="D395" s="264" t="s">
        <v>6268</v>
      </c>
      <c r="E395" s="265" t="s">
        <v>5570</v>
      </c>
      <c r="F395" s="268" t="s">
        <v>6252</v>
      </c>
      <c r="G395" s="271">
        <f>IF(COUNTIF(H395:AU395,"&lt;&gt;")=0,"",SUMPRODUCT(((Recommendations[ImplStatus]="Implemented")+(Recommendations[ImplStatus]="Compensated"))*ISNUMBER(MATCH(Recommendations[Id],H395:AU395,0)))/COUNTIF(H395:AU395,"&lt;&gt;"))</f>
        <v>0</v>
      </c>
      <c r="H395" s="272" t="s">
        <v>356</v>
      </c>
      <c r="I395" s="272" t="s">
        <v>366</v>
      </c>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6217</v>
      </c>
      <c r="B396" s="260" t="s">
        <v>6249</v>
      </c>
      <c r="C396" s="261" t="s">
        <v>6269</v>
      </c>
      <c r="D396" s="264" t="s">
        <v>6270</v>
      </c>
      <c r="E396" s="265" t="s">
        <v>5753</v>
      </c>
      <c r="F396" s="268" t="s">
        <v>6252</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6217</v>
      </c>
      <c r="B397" s="260" t="s">
        <v>6249</v>
      </c>
      <c r="C397" s="261" t="s">
        <v>6271</v>
      </c>
      <c r="D397" s="264" t="s">
        <v>6272</v>
      </c>
      <c r="E397" s="265" t="s">
        <v>5503</v>
      </c>
      <c r="F397" s="268" t="s">
        <v>6252</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6217</v>
      </c>
      <c r="B398" s="260" t="s">
        <v>6249</v>
      </c>
      <c r="C398" s="261" t="s">
        <v>6273</v>
      </c>
      <c r="D398" s="264" t="s">
        <v>6274</v>
      </c>
      <c r="E398" s="265" t="s">
        <v>5618</v>
      </c>
      <c r="F398" s="268" t="s">
        <v>6252</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6217</v>
      </c>
      <c r="B399" s="260" t="s">
        <v>6249</v>
      </c>
      <c r="C399" s="261" t="s">
        <v>6275</v>
      </c>
      <c r="D399" s="264" t="s">
        <v>6276</v>
      </c>
      <c r="E399" s="265" t="s">
        <v>5753</v>
      </c>
      <c r="F399" s="268" t="s">
        <v>6252</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6217</v>
      </c>
      <c r="B400" s="260" t="s">
        <v>6249</v>
      </c>
      <c r="C400" s="261" t="s">
        <v>6277</v>
      </c>
      <c r="D400" s="264" t="s">
        <v>6278</v>
      </c>
      <c r="E400" s="265" t="s">
        <v>5753</v>
      </c>
      <c r="F400" s="268" t="s">
        <v>6252</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6217</v>
      </c>
      <c r="B401" s="260" t="s">
        <v>6249</v>
      </c>
      <c r="C401" s="261" t="s">
        <v>6279</v>
      </c>
      <c r="D401" s="264" t="s">
        <v>6280</v>
      </c>
      <c r="E401" s="265" t="s">
        <v>5503</v>
      </c>
      <c r="F401" s="268" t="s">
        <v>6252</v>
      </c>
      <c r="G401" s="271">
        <f>IF(COUNTIF(H401:AU401,"&lt;&gt;")=0,"",SUMPRODUCT(((Recommendations[ImplStatus]="Implemented")+(Recommendations[ImplStatus]="Compensated"))*ISNUMBER(MATCH(Recommendations[Id],H401:AU401,0)))/COUNTIF(H401:AU401,"&lt;&gt;"))</f>
        <v>0</v>
      </c>
      <c r="H401" s="272" t="s">
        <v>72</v>
      </c>
      <c r="I401" s="272" t="s">
        <v>78</v>
      </c>
      <c r="J401" s="272" t="s">
        <v>83</v>
      </c>
      <c r="K401" s="272" t="s">
        <v>87</v>
      </c>
      <c r="L401" s="272" t="s">
        <v>158</v>
      </c>
      <c r="M401" s="272" t="s">
        <v>163</v>
      </c>
      <c r="N401" s="272" t="s">
        <v>168</v>
      </c>
      <c r="O401" s="272" t="s">
        <v>217</v>
      </c>
      <c r="P401" s="272" t="s">
        <v>222</v>
      </c>
      <c r="Q401" s="272" t="s">
        <v>226</v>
      </c>
      <c r="R401" s="272" t="s">
        <v>635</v>
      </c>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6217</v>
      </c>
      <c r="B402" s="260" t="s">
        <v>6249</v>
      </c>
      <c r="C402" s="261" t="s">
        <v>6281</v>
      </c>
      <c r="D402" s="264" t="s">
        <v>6282</v>
      </c>
      <c r="E402" s="265" t="s">
        <v>5503</v>
      </c>
      <c r="F402" s="268" t="s">
        <v>6252</v>
      </c>
      <c r="G402" s="271">
        <f>IF(COUNTIF(H402:AU402,"&lt;&gt;")=0,"",SUMPRODUCT(((Recommendations[ImplStatus]="Implemented")+(Recommendations[ImplStatus]="Compensated"))*ISNUMBER(MATCH(Recommendations[Id],H402:AU402,0)))/COUNTIF(H402:AU402,"&lt;&gt;"))</f>
        <v>0</v>
      </c>
      <c r="H402" s="272" t="s">
        <v>72</v>
      </c>
      <c r="I402" s="272" t="s">
        <v>78</v>
      </c>
      <c r="J402" s="272" t="s">
        <v>83</v>
      </c>
      <c r="K402" s="272" t="s">
        <v>87</v>
      </c>
      <c r="L402" s="272" t="s">
        <v>158</v>
      </c>
      <c r="M402" s="272" t="s">
        <v>163</v>
      </c>
      <c r="N402" s="272" t="s">
        <v>168</v>
      </c>
      <c r="O402" s="272" t="s">
        <v>217</v>
      </c>
      <c r="P402" s="272" t="s">
        <v>222</v>
      </c>
      <c r="Q402" s="272" t="s">
        <v>226</v>
      </c>
      <c r="R402" s="272" t="s">
        <v>635</v>
      </c>
      <c r="S402" s="272" t="s">
        <v>645</v>
      </c>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6217</v>
      </c>
      <c r="B403" s="260" t="s">
        <v>6249</v>
      </c>
      <c r="C403" s="261" t="s">
        <v>6283</v>
      </c>
      <c r="D403" s="264" t="s">
        <v>6284</v>
      </c>
      <c r="E403" s="265" t="s">
        <v>5503</v>
      </c>
      <c r="F403" s="268" t="s">
        <v>6252</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6217</v>
      </c>
      <c r="B404" s="260" t="s">
        <v>6249</v>
      </c>
      <c r="C404" s="261" t="s">
        <v>6285</v>
      </c>
      <c r="D404" s="264" t="s">
        <v>6286</v>
      </c>
      <c r="E404" s="265" t="s">
        <v>5618</v>
      </c>
      <c r="F404" s="268" t="s">
        <v>6252</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6217</v>
      </c>
      <c r="B405" s="260" t="s">
        <v>6249</v>
      </c>
      <c r="C405" s="261" t="s">
        <v>6287</v>
      </c>
      <c r="D405" s="264" t="s">
        <v>6288</v>
      </c>
      <c r="E405" s="265" t="s">
        <v>5618</v>
      </c>
      <c r="F405" s="268" t="s">
        <v>6252</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6217</v>
      </c>
      <c r="B406" s="260" t="s">
        <v>6249</v>
      </c>
      <c r="C406" s="261" t="s">
        <v>6289</v>
      </c>
      <c r="D406" s="264" t="s">
        <v>6290</v>
      </c>
      <c r="E406" s="265" t="s">
        <v>5618</v>
      </c>
      <c r="F406" s="268" t="s">
        <v>6291</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6217</v>
      </c>
      <c r="B407" s="260" t="s">
        <v>6249</v>
      </c>
      <c r="C407" s="261" t="s">
        <v>6292</v>
      </c>
      <c r="D407" s="264" t="s">
        <v>6293</v>
      </c>
      <c r="E407" s="265" t="s">
        <v>5618</v>
      </c>
      <c r="F407" s="268" t="s">
        <v>6252</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6217</v>
      </c>
      <c r="B408" s="260" t="s">
        <v>6249</v>
      </c>
      <c r="C408" s="261" t="s">
        <v>6294</v>
      </c>
      <c r="D408" s="264" t="s">
        <v>6295</v>
      </c>
      <c r="E408" s="265" t="s">
        <v>5618</v>
      </c>
      <c r="F408" s="268" t="s">
        <v>6252</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6217</v>
      </c>
      <c r="B409" s="260" t="s">
        <v>6249</v>
      </c>
      <c r="C409" s="261" t="s">
        <v>6296</v>
      </c>
      <c r="D409" s="264" t="s">
        <v>6297</v>
      </c>
      <c r="E409" s="265" t="s">
        <v>5618</v>
      </c>
      <c r="F409" s="268" t="s">
        <v>6298</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6217</v>
      </c>
      <c r="B410" s="259" t="s">
        <v>6299</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6217</v>
      </c>
      <c r="B411" s="260" t="s">
        <v>6299</v>
      </c>
      <c r="C411" s="261" t="s">
        <v>6300</v>
      </c>
      <c r="D411" s="264" t="s">
        <v>6301</v>
      </c>
      <c r="E411" s="265" t="s">
        <v>5474</v>
      </c>
      <c r="F411" s="268" t="s">
        <v>6224</v>
      </c>
      <c r="G411" s="271">
        <f>IF(COUNTIF(H411:AU411,"&lt;&gt;")=0,"",SUMPRODUCT(((Recommendations[ImplStatus]="Implemented")+(Recommendations[ImplStatus]="Compensated"))*ISNUMBER(MATCH(Recommendations[Id],H411:AU411,0)))/COUNTIF(H411:AU411,"&lt;&gt;"))</f>
        <v>0</v>
      </c>
      <c r="H411" s="272" t="s">
        <v>418</v>
      </c>
      <c r="I411" s="272" t="s">
        <v>423</v>
      </c>
      <c r="J411" s="272" t="s">
        <v>426</v>
      </c>
      <c r="K411" s="272" t="s">
        <v>429</v>
      </c>
      <c r="L411" s="272" t="s">
        <v>432</v>
      </c>
      <c r="M411" s="272" t="s">
        <v>557</v>
      </c>
      <c r="N411" s="272" t="s">
        <v>567</v>
      </c>
      <c r="O411" s="272" t="s">
        <v>572</v>
      </c>
      <c r="P411" s="272" t="s">
        <v>577</v>
      </c>
      <c r="Q411" s="272" t="s">
        <v>582</v>
      </c>
      <c r="R411" s="272" t="s">
        <v>587</v>
      </c>
      <c r="S411" s="272" t="s">
        <v>591</v>
      </c>
      <c r="T411" s="272" t="s">
        <v>595</v>
      </c>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6217</v>
      </c>
      <c r="B412" s="260" t="s">
        <v>6299</v>
      </c>
      <c r="C412" s="261" t="s">
        <v>6302</v>
      </c>
      <c r="D412" s="264" t="s">
        <v>6303</v>
      </c>
      <c r="E412" s="265" t="s">
        <v>5474</v>
      </c>
      <c r="F412" s="268" t="s">
        <v>6224</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6217</v>
      </c>
      <c r="B413" s="260" t="s">
        <v>6299</v>
      </c>
      <c r="C413" s="261" t="s">
        <v>6304</v>
      </c>
      <c r="D413" s="264" t="s">
        <v>6305</v>
      </c>
      <c r="E413" s="265" t="s">
        <v>5474</v>
      </c>
      <c r="F413" s="268" t="s">
        <v>6224</v>
      </c>
      <c r="G413" s="271">
        <f>IF(COUNTIF(H413:AU413,"&lt;&gt;")=0,"",SUMPRODUCT(((Recommendations[ImplStatus]="Implemented")+(Recommendations[ImplStatus]="Compensated"))*ISNUMBER(MATCH(Recommendations[Id],H413:AU413,0)))/COUNTIF(H413:AU413,"&lt;&gt;"))</f>
        <v>0</v>
      </c>
      <c r="H413" s="272" t="s">
        <v>356</v>
      </c>
      <c r="I413" s="272" t="s">
        <v>366</v>
      </c>
      <c r="J413" s="272" t="s">
        <v>517</v>
      </c>
      <c r="K413" s="272" t="s">
        <v>704</v>
      </c>
      <c r="L413" s="272" t="s">
        <v>714</v>
      </c>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6217</v>
      </c>
      <c r="B414" s="260" t="s">
        <v>6299</v>
      </c>
      <c r="C414" s="261" t="s">
        <v>6306</v>
      </c>
      <c r="D414" s="264" t="s">
        <v>6307</v>
      </c>
      <c r="E414" s="265" t="s">
        <v>5474</v>
      </c>
      <c r="F414" s="268" t="s">
        <v>6224</v>
      </c>
      <c r="G414" s="271">
        <f>IF(COUNTIF(H414:AU414,"&lt;&gt;")=0,"",SUMPRODUCT(((Recommendations[ImplStatus]="Implemented")+(Recommendations[ImplStatus]="Compensated"))*ISNUMBER(MATCH(Recommendations[Id],H414:AU414,0)))/COUNTIF(H414:AU414,"&lt;&gt;"))</f>
        <v>0</v>
      </c>
      <c r="H414" s="272" t="s">
        <v>330</v>
      </c>
      <c r="I414" s="272" t="s">
        <v>361</v>
      </c>
      <c r="J414" s="272" t="s">
        <v>391</v>
      </c>
      <c r="K414" s="272" t="s">
        <v>522</v>
      </c>
      <c r="L414" s="272" t="s">
        <v>562</v>
      </c>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6217</v>
      </c>
      <c r="B415" s="260" t="s">
        <v>6299</v>
      </c>
      <c r="C415" s="261" t="s">
        <v>6308</v>
      </c>
      <c r="D415" s="264" t="s">
        <v>6309</v>
      </c>
      <c r="E415" s="265" t="s">
        <v>5503</v>
      </c>
      <c r="F415" s="268" t="s">
        <v>6224</v>
      </c>
      <c r="G415" s="271">
        <f>IF(COUNTIF(H415:AU415,"&lt;&gt;")=0,"",SUMPRODUCT(((Recommendations[ImplStatus]="Implemented")+(Recommendations[ImplStatus]="Compensated"))*ISNUMBER(MATCH(Recommendations[Id],H415:AU415,0)))/COUNTIF(H415:AU415,"&lt;&gt;"))</f>
        <v>0</v>
      </c>
      <c r="H415" s="272" t="s">
        <v>330</v>
      </c>
      <c r="I415" s="272" t="s">
        <v>361</v>
      </c>
      <c r="J415" s="272" t="s">
        <v>391</v>
      </c>
      <c r="K415" s="272" t="s">
        <v>522</v>
      </c>
      <c r="L415" s="272" t="s">
        <v>562</v>
      </c>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6217</v>
      </c>
      <c r="B416" s="260" t="s">
        <v>6299</v>
      </c>
      <c r="C416" s="261" t="s">
        <v>6310</v>
      </c>
      <c r="D416" s="264" t="s">
        <v>6311</v>
      </c>
      <c r="E416" s="265" t="s">
        <v>5503</v>
      </c>
      <c r="F416" s="268" t="s">
        <v>6312</v>
      </c>
      <c r="G416" s="271">
        <f>IF(COUNTIF(H416:AU416,"&lt;&gt;")=0,"",SUMPRODUCT(((Recommendations[ImplStatus]="Implemented")+(Recommendations[ImplStatus]="Compensated"))*ISNUMBER(MATCH(Recommendations[Id],H416:AU416,0)))/COUNTIF(H416:AU416,"&lt;&gt;"))</f>
        <v>0</v>
      </c>
      <c r="H416" s="272" t="s">
        <v>14</v>
      </c>
      <c r="I416" s="272" t="s">
        <v>437</v>
      </c>
      <c r="J416" s="272" t="s">
        <v>497</v>
      </c>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6217</v>
      </c>
      <c r="B417" s="260" t="s">
        <v>6299</v>
      </c>
      <c r="C417" s="261" t="s">
        <v>6313</v>
      </c>
      <c r="D417" s="264" t="s">
        <v>6314</v>
      </c>
      <c r="E417" s="265" t="s">
        <v>5503</v>
      </c>
      <c r="F417" s="268" t="s">
        <v>6312</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6217</v>
      </c>
      <c r="B418" s="260" t="s">
        <v>6299</v>
      </c>
      <c r="C418" s="261" t="s">
        <v>6315</v>
      </c>
      <c r="D418" s="264" t="s">
        <v>6316</v>
      </c>
      <c r="E418" s="265" t="s">
        <v>5753</v>
      </c>
      <c r="F418" s="268" t="s">
        <v>6312</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6217</v>
      </c>
      <c r="B419" s="260" t="s">
        <v>6299</v>
      </c>
      <c r="C419" s="261" t="s">
        <v>6317</v>
      </c>
      <c r="D419" s="264" t="s">
        <v>6318</v>
      </c>
      <c r="E419" s="265" t="s">
        <v>5503</v>
      </c>
      <c r="F419" s="268" t="s">
        <v>6312</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6217</v>
      </c>
      <c r="B420" s="260" t="s">
        <v>6299</v>
      </c>
      <c r="C420" s="261" t="s">
        <v>6319</v>
      </c>
      <c r="D420" s="264" t="s">
        <v>6320</v>
      </c>
      <c r="E420" s="265" t="s">
        <v>5753</v>
      </c>
      <c r="F420" s="268" t="s">
        <v>6312</v>
      </c>
      <c r="G420" s="271">
        <f>IF(COUNTIF(H420:AU420,"&lt;&gt;")=0,"",SUMPRODUCT(((Recommendations[ImplStatus]="Implemented")+(Recommendations[ImplStatus]="Compensated"))*ISNUMBER(MATCH(Recommendations[Id],H420:AU420,0)))/COUNTIF(H420:AU420,"&lt;&gt;"))</f>
        <v>0</v>
      </c>
      <c r="H420" s="272" t="s">
        <v>30</v>
      </c>
      <c r="I420" s="272" t="s">
        <v>447</v>
      </c>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6217</v>
      </c>
      <c r="B421" s="260" t="s">
        <v>6299</v>
      </c>
      <c r="C421" s="261" t="s">
        <v>6321</v>
      </c>
      <c r="D421" s="264" t="s">
        <v>6322</v>
      </c>
      <c r="E421" s="265" t="s">
        <v>5753</v>
      </c>
      <c r="F421" s="268" t="s">
        <v>6312</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6217</v>
      </c>
      <c r="B422" s="260" t="s">
        <v>6299</v>
      </c>
      <c r="C422" s="261" t="s">
        <v>6323</v>
      </c>
      <c r="D422" s="264" t="s">
        <v>6324</v>
      </c>
      <c r="E422" s="265" t="s">
        <v>5503</v>
      </c>
      <c r="F422" s="268" t="s">
        <v>6312</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6217</v>
      </c>
      <c r="B423" s="260" t="s">
        <v>6299</v>
      </c>
      <c r="C423" s="261" t="s">
        <v>6325</v>
      </c>
      <c r="D423" s="264" t="s">
        <v>6326</v>
      </c>
      <c r="E423" s="265" t="s">
        <v>5503</v>
      </c>
      <c r="F423" s="268" t="s">
        <v>6312</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6327</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6327</v>
      </c>
      <c r="B425" s="259" t="s">
        <v>6328</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6327</v>
      </c>
      <c r="B426" s="260" t="s">
        <v>6328</v>
      </c>
      <c r="C426" s="261" t="s">
        <v>6329</v>
      </c>
      <c r="D426" s="264" t="s">
        <v>6330</v>
      </c>
      <c r="E426" s="265" t="s">
        <v>5474</v>
      </c>
      <c r="F426" s="268" t="s">
        <v>6291</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6327</v>
      </c>
      <c r="B427" s="260" t="s">
        <v>6328</v>
      </c>
      <c r="C427" s="261" t="s">
        <v>6331</v>
      </c>
      <c r="D427" s="264" t="s">
        <v>6332</v>
      </c>
      <c r="E427" s="265" t="s">
        <v>5474</v>
      </c>
      <c r="F427" s="268" t="s">
        <v>6291</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6327</v>
      </c>
      <c r="B428" s="260" t="s">
        <v>6328</v>
      </c>
      <c r="C428" s="261" t="s">
        <v>6333</v>
      </c>
      <c r="D428" s="264" t="s">
        <v>6334</v>
      </c>
      <c r="E428" s="265" t="s">
        <v>5753</v>
      </c>
      <c r="F428" s="268" t="s">
        <v>6291</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6327</v>
      </c>
      <c r="B429" s="260" t="s">
        <v>6328</v>
      </c>
      <c r="C429" s="261" t="s">
        <v>6335</v>
      </c>
      <c r="D429" s="264" t="s">
        <v>6336</v>
      </c>
      <c r="E429" s="265" t="s">
        <v>5503</v>
      </c>
      <c r="F429" s="268" t="s">
        <v>6291</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6327</v>
      </c>
      <c r="B430" s="260" t="s">
        <v>6328</v>
      </c>
      <c r="C430" s="261" t="s">
        <v>6337</v>
      </c>
      <c r="D430" s="264" t="s">
        <v>6338</v>
      </c>
      <c r="E430" s="265" t="s">
        <v>5503</v>
      </c>
      <c r="F430" s="268" t="s">
        <v>6291</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6327</v>
      </c>
      <c r="B431" s="260" t="s">
        <v>6328</v>
      </c>
      <c r="C431" s="261" t="s">
        <v>6339</v>
      </c>
      <c r="D431" s="264" t="s">
        <v>6340</v>
      </c>
      <c r="E431" s="265" t="s">
        <v>5753</v>
      </c>
      <c r="F431" s="268" t="s">
        <v>6291</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6327</v>
      </c>
      <c r="B432" s="260" t="s">
        <v>6328</v>
      </c>
      <c r="C432" s="261" t="s">
        <v>6341</v>
      </c>
      <c r="D432" s="264" t="s">
        <v>6342</v>
      </c>
      <c r="E432" s="265" t="s">
        <v>5753</v>
      </c>
      <c r="F432" s="268" t="s">
        <v>6291</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6327</v>
      </c>
      <c r="B433" s="260" t="s">
        <v>6328</v>
      </c>
      <c r="C433" s="261" t="s">
        <v>6343</v>
      </c>
      <c r="D433" s="264" t="s">
        <v>6344</v>
      </c>
      <c r="E433" s="265" t="s">
        <v>5570</v>
      </c>
      <c r="F433" s="268" t="s">
        <v>6291</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6327</v>
      </c>
      <c r="B434" s="260" t="s">
        <v>6328</v>
      </c>
      <c r="C434" s="261" t="s">
        <v>6345</v>
      </c>
      <c r="D434" s="264" t="s">
        <v>6346</v>
      </c>
      <c r="E434" s="265" t="s">
        <v>5570</v>
      </c>
      <c r="F434" s="268" t="s">
        <v>6291</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6327</v>
      </c>
      <c r="B435" s="260" t="s">
        <v>6328</v>
      </c>
      <c r="C435" s="261" t="s">
        <v>6347</v>
      </c>
      <c r="D435" s="264" t="s">
        <v>6348</v>
      </c>
      <c r="E435" s="265" t="s">
        <v>5503</v>
      </c>
      <c r="F435" s="268" t="s">
        <v>6291</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6327</v>
      </c>
      <c r="B436" s="260" t="s">
        <v>6328</v>
      </c>
      <c r="C436" s="261" t="s">
        <v>6349</v>
      </c>
      <c r="D436" s="264" t="s">
        <v>6350</v>
      </c>
      <c r="E436" s="265" t="s">
        <v>5570</v>
      </c>
      <c r="F436" s="268" t="s">
        <v>6291</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6327</v>
      </c>
      <c r="B437" s="260" t="s">
        <v>6328</v>
      </c>
      <c r="C437" s="261" t="s">
        <v>6351</v>
      </c>
      <c r="D437" s="264" t="s">
        <v>6352</v>
      </c>
      <c r="E437" s="265" t="s">
        <v>5503</v>
      </c>
      <c r="F437" s="268" t="s">
        <v>6291</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6327</v>
      </c>
      <c r="B438" s="259" t="s">
        <v>6353</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6327</v>
      </c>
      <c r="B439" s="260" t="s">
        <v>6353</v>
      </c>
      <c r="C439" s="261" t="s">
        <v>6354</v>
      </c>
      <c r="D439" s="264" t="s">
        <v>6355</v>
      </c>
      <c r="E439" s="265" t="s">
        <v>5474</v>
      </c>
      <c r="F439" s="268" t="s">
        <v>6356</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6327</v>
      </c>
      <c r="B440" s="260" t="s">
        <v>6353</v>
      </c>
      <c r="C440" s="261" t="s">
        <v>6357</v>
      </c>
      <c r="D440" s="264" t="s">
        <v>6358</v>
      </c>
      <c r="E440" s="265" t="s">
        <v>5474</v>
      </c>
      <c r="F440" s="268" t="s">
        <v>6356</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6327</v>
      </c>
      <c r="B441" s="260" t="s">
        <v>6353</v>
      </c>
      <c r="C441" s="261" t="s">
        <v>6359</v>
      </c>
      <c r="D441" s="264" t="s">
        <v>6360</v>
      </c>
      <c r="E441" s="265" t="s">
        <v>5474</v>
      </c>
      <c r="F441" s="268" t="s">
        <v>6356</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6327</v>
      </c>
      <c r="B442" s="260" t="s">
        <v>6353</v>
      </c>
      <c r="C442" s="261" t="s">
        <v>6361</v>
      </c>
      <c r="D442" s="264" t="s">
        <v>6362</v>
      </c>
      <c r="E442" s="265" t="s">
        <v>5474</v>
      </c>
      <c r="F442" s="268" t="s">
        <v>6356</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6327</v>
      </c>
      <c r="B443" s="260" t="s">
        <v>6353</v>
      </c>
      <c r="C443" s="261" t="s">
        <v>6363</v>
      </c>
      <c r="D443" s="264" t="s">
        <v>6364</v>
      </c>
      <c r="E443" s="265" t="s">
        <v>5503</v>
      </c>
      <c r="F443" s="268" t="s">
        <v>6356</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6327</v>
      </c>
      <c r="B444" s="260" t="s">
        <v>6353</v>
      </c>
      <c r="C444" s="261" t="s">
        <v>6365</v>
      </c>
      <c r="D444" s="264" t="s">
        <v>6366</v>
      </c>
      <c r="E444" s="265" t="s">
        <v>5503</v>
      </c>
      <c r="F444" s="268" t="s">
        <v>6356</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6327</v>
      </c>
      <c r="B445" s="260" t="s">
        <v>6353</v>
      </c>
      <c r="C445" s="261" t="s">
        <v>6367</v>
      </c>
      <c r="D445" s="264" t="s">
        <v>6368</v>
      </c>
      <c r="E445" s="265" t="s">
        <v>5503</v>
      </c>
      <c r="F445" s="268" t="s">
        <v>6356</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6327</v>
      </c>
      <c r="B446" s="260" t="s">
        <v>6353</v>
      </c>
      <c r="C446" s="261" t="s">
        <v>6369</v>
      </c>
      <c r="D446" s="264" t="s">
        <v>6370</v>
      </c>
      <c r="E446" s="265" t="s">
        <v>5618</v>
      </c>
      <c r="F446" s="268" t="s">
        <v>6356</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6327</v>
      </c>
      <c r="B447" s="260" t="s">
        <v>6353</v>
      </c>
      <c r="C447" s="261" t="s">
        <v>6371</v>
      </c>
      <c r="D447" s="264" t="s">
        <v>6372</v>
      </c>
      <c r="E447" s="265" t="s">
        <v>5503</v>
      </c>
      <c r="F447" s="268" t="s">
        <v>6356</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6327</v>
      </c>
      <c r="B448" s="260" t="s">
        <v>6353</v>
      </c>
      <c r="C448" s="261" t="s">
        <v>6373</v>
      </c>
      <c r="D448" s="264" t="s">
        <v>6374</v>
      </c>
      <c r="E448" s="265" t="s">
        <v>5618</v>
      </c>
      <c r="F448" s="268" t="s">
        <v>6356</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6327</v>
      </c>
      <c r="B449" s="260" t="s">
        <v>6353</v>
      </c>
      <c r="C449" s="261" t="s">
        <v>6375</v>
      </c>
      <c r="D449" s="264" t="s">
        <v>6376</v>
      </c>
      <c r="E449" s="265" t="s">
        <v>5618</v>
      </c>
      <c r="F449" s="268" t="s">
        <v>6356</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6377</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6377</v>
      </c>
      <c r="B451" s="259" t="s">
        <v>6378</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6377</v>
      </c>
      <c r="B452" s="260" t="s">
        <v>6378</v>
      </c>
      <c r="C452" s="261" t="s">
        <v>6379</v>
      </c>
      <c r="D452" s="264" t="s">
        <v>6380</v>
      </c>
      <c r="E452" s="265" t="s">
        <v>5474</v>
      </c>
      <c r="F452" s="268" t="s">
        <v>6381</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6377</v>
      </c>
      <c r="B453" s="260" t="s">
        <v>6378</v>
      </c>
      <c r="C453" s="261" t="s">
        <v>6382</v>
      </c>
      <c r="D453" s="264" t="s">
        <v>6383</v>
      </c>
      <c r="E453" s="265" t="s">
        <v>5474</v>
      </c>
      <c r="F453" s="268" t="s">
        <v>6381</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6377</v>
      </c>
      <c r="B454" s="260" t="s">
        <v>6378</v>
      </c>
      <c r="C454" s="261" t="s">
        <v>6384</v>
      </c>
      <c r="D454" s="264" t="s">
        <v>6385</v>
      </c>
      <c r="E454" s="265" t="s">
        <v>5474</v>
      </c>
      <c r="F454" s="268" t="s">
        <v>6381</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6377</v>
      </c>
      <c r="B455" s="260" t="s">
        <v>6378</v>
      </c>
      <c r="C455" s="261" t="s">
        <v>6386</v>
      </c>
      <c r="D455" s="264" t="s">
        <v>6387</v>
      </c>
      <c r="E455" s="265" t="s">
        <v>5474</v>
      </c>
      <c r="F455" s="268" t="s">
        <v>6381</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6377</v>
      </c>
      <c r="B456" s="260" t="s">
        <v>6378</v>
      </c>
      <c r="C456" s="261" t="s">
        <v>6388</v>
      </c>
      <c r="D456" s="264" t="s">
        <v>6389</v>
      </c>
      <c r="E456" s="265" t="s">
        <v>5474</v>
      </c>
      <c r="F456" s="268" t="s">
        <v>6381</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6377</v>
      </c>
      <c r="B457" s="260" t="s">
        <v>6378</v>
      </c>
      <c r="C457" s="261" t="s">
        <v>6390</v>
      </c>
      <c r="D457" s="264" t="s">
        <v>6391</v>
      </c>
      <c r="E457" s="265" t="s">
        <v>5503</v>
      </c>
      <c r="F457" s="268" t="s">
        <v>6381</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6377</v>
      </c>
      <c r="B458" s="260" t="s">
        <v>6378</v>
      </c>
      <c r="C458" s="261" t="s">
        <v>6392</v>
      </c>
      <c r="D458" s="264" t="s">
        <v>6393</v>
      </c>
      <c r="E458" s="265" t="s">
        <v>5503</v>
      </c>
      <c r="F458" s="268" t="s">
        <v>6381</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6377</v>
      </c>
      <c r="B459" s="260" t="s">
        <v>6378</v>
      </c>
      <c r="C459" s="261" t="s">
        <v>6394</v>
      </c>
      <c r="D459" s="264" t="s">
        <v>6395</v>
      </c>
      <c r="E459" s="265" t="s">
        <v>5503</v>
      </c>
      <c r="F459" s="268" t="s">
        <v>6381</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6377</v>
      </c>
      <c r="B460" s="260" t="s">
        <v>6378</v>
      </c>
      <c r="C460" s="261" t="s">
        <v>6396</v>
      </c>
      <c r="D460" s="264" t="s">
        <v>6397</v>
      </c>
      <c r="E460" s="265" t="s">
        <v>5503</v>
      </c>
      <c r="F460" s="268" t="s">
        <v>6381</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6377</v>
      </c>
      <c r="B461" s="260" t="s">
        <v>6378</v>
      </c>
      <c r="C461" s="261" t="s">
        <v>6398</v>
      </c>
      <c r="D461" s="264" t="s">
        <v>6399</v>
      </c>
      <c r="E461" s="265" t="s">
        <v>5503</v>
      </c>
      <c r="F461" s="268" t="s">
        <v>6381</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6377</v>
      </c>
      <c r="B462" s="260" t="s">
        <v>6378</v>
      </c>
      <c r="C462" s="261" t="s">
        <v>6400</v>
      </c>
      <c r="D462" s="264" t="s">
        <v>6401</v>
      </c>
      <c r="E462" s="265" t="s">
        <v>5503</v>
      </c>
      <c r="F462" s="268" t="s">
        <v>6381</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6377</v>
      </c>
      <c r="B463" s="260" t="s">
        <v>6378</v>
      </c>
      <c r="C463" s="261" t="s">
        <v>6402</v>
      </c>
      <c r="D463" s="264" t="s">
        <v>6403</v>
      </c>
      <c r="E463" s="265" t="s">
        <v>5503</v>
      </c>
      <c r="F463" s="268" t="s">
        <v>6381</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6377</v>
      </c>
      <c r="B464" s="260" t="s">
        <v>6378</v>
      </c>
      <c r="C464" s="261" t="s">
        <v>6404</v>
      </c>
      <c r="D464" s="264" t="s">
        <v>6405</v>
      </c>
      <c r="E464" s="265" t="s">
        <v>5503</v>
      </c>
      <c r="F464" s="268" t="s">
        <v>6381</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6377</v>
      </c>
      <c r="B465" s="260" t="s">
        <v>6378</v>
      </c>
      <c r="C465" s="261" t="s">
        <v>6406</v>
      </c>
      <c r="D465" s="264" t="s">
        <v>6407</v>
      </c>
      <c r="E465" s="265" t="s">
        <v>5503</v>
      </c>
      <c r="F465" s="268" t="s">
        <v>6381</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6377</v>
      </c>
      <c r="B466" s="259" t="s">
        <v>6408</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6377</v>
      </c>
      <c r="B467" s="260" t="s">
        <v>6408</v>
      </c>
      <c r="C467" s="261" t="s">
        <v>6409</v>
      </c>
      <c r="D467" s="264" t="s">
        <v>6410</v>
      </c>
      <c r="E467" s="265" t="s">
        <v>5474</v>
      </c>
      <c r="F467" s="268" t="s">
        <v>5613</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6377</v>
      </c>
      <c r="B468" s="260" t="s">
        <v>6408</v>
      </c>
      <c r="C468" s="261" t="s">
        <v>6411</v>
      </c>
      <c r="D468" s="264" t="s">
        <v>6412</v>
      </c>
      <c r="E468" s="265" t="s">
        <v>5474</v>
      </c>
      <c r="F468" s="268" t="s">
        <v>5613</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6377</v>
      </c>
      <c r="B469" s="260" t="s">
        <v>6408</v>
      </c>
      <c r="C469" s="261" t="s">
        <v>6413</v>
      </c>
      <c r="D469" s="264" t="s">
        <v>6414</v>
      </c>
      <c r="E469" s="265" t="s">
        <v>5474</v>
      </c>
      <c r="F469" s="268" t="s">
        <v>5613</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6377</v>
      </c>
      <c r="B470" s="260" t="s">
        <v>6408</v>
      </c>
      <c r="C470" s="261" t="s">
        <v>6415</v>
      </c>
      <c r="D470" s="264" t="s">
        <v>6416</v>
      </c>
      <c r="E470" s="265" t="s">
        <v>5570</v>
      </c>
      <c r="F470" s="268" t="s">
        <v>5982</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6377</v>
      </c>
      <c r="B471" s="260" t="s">
        <v>6408</v>
      </c>
      <c r="C471" s="261" t="s">
        <v>6417</v>
      </c>
      <c r="D471" s="264" t="s">
        <v>6418</v>
      </c>
      <c r="E471" s="265" t="s">
        <v>5570</v>
      </c>
      <c r="F471" s="268" t="s">
        <v>5982</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6377</v>
      </c>
      <c r="B472" s="260" t="s">
        <v>6408</v>
      </c>
      <c r="C472" s="261" t="s">
        <v>6419</v>
      </c>
      <c r="D472" s="264" t="s">
        <v>6420</v>
      </c>
      <c r="E472" s="265" t="s">
        <v>5474</v>
      </c>
      <c r="F472" s="268" t="s">
        <v>5982</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6377</v>
      </c>
      <c r="B473" s="260" t="s">
        <v>6408</v>
      </c>
      <c r="C473" s="261" t="s">
        <v>6421</v>
      </c>
      <c r="D473" s="264" t="s">
        <v>6422</v>
      </c>
      <c r="E473" s="265" t="s">
        <v>5474</v>
      </c>
      <c r="F473" s="268" t="s">
        <v>5921</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6377</v>
      </c>
      <c r="B474" s="260" t="s">
        <v>6408</v>
      </c>
      <c r="C474" s="261" t="s">
        <v>6423</v>
      </c>
      <c r="D474" s="264" t="s">
        <v>6424</v>
      </c>
      <c r="E474" s="265" t="s">
        <v>5503</v>
      </c>
      <c r="F474" s="268" t="s">
        <v>5921</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6377</v>
      </c>
      <c r="B475" s="260" t="s">
        <v>6408</v>
      </c>
      <c r="C475" s="261" t="s">
        <v>6425</v>
      </c>
      <c r="D475" s="264" t="s">
        <v>6426</v>
      </c>
      <c r="E475" s="265" t="s">
        <v>5503</v>
      </c>
      <c r="F475" s="268" t="s">
        <v>5921</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6377</v>
      </c>
      <c r="B476" s="260" t="s">
        <v>6408</v>
      </c>
      <c r="C476" s="261" t="s">
        <v>6427</v>
      </c>
      <c r="D476" s="264" t="s">
        <v>6428</v>
      </c>
      <c r="E476" s="265" t="s">
        <v>5503</v>
      </c>
      <c r="F476" s="268" t="s">
        <v>5921</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6377</v>
      </c>
      <c r="B477" s="260" t="s">
        <v>6408</v>
      </c>
      <c r="C477" s="261" t="s">
        <v>6429</v>
      </c>
      <c r="D477" s="264" t="s">
        <v>6430</v>
      </c>
      <c r="E477" s="265" t="s">
        <v>5503</v>
      </c>
      <c r="F477" s="268" t="s">
        <v>5921</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6377</v>
      </c>
      <c r="B478" s="260" t="s">
        <v>6408</v>
      </c>
      <c r="C478" s="261" t="s">
        <v>6431</v>
      </c>
      <c r="D478" s="264" t="s">
        <v>6432</v>
      </c>
      <c r="E478" s="265" t="s">
        <v>5503</v>
      </c>
      <c r="F478" s="268" t="s">
        <v>5982</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6377</v>
      </c>
      <c r="B479" s="260" t="s">
        <v>6408</v>
      </c>
      <c r="C479" s="261" t="s">
        <v>6433</v>
      </c>
      <c r="D479" s="264" t="s">
        <v>6434</v>
      </c>
      <c r="E479" s="265" t="s">
        <v>5618</v>
      </c>
      <c r="F479" s="268" t="s">
        <v>5982</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6377</v>
      </c>
      <c r="B480" s="260" t="s">
        <v>6408</v>
      </c>
      <c r="C480" s="261" t="s">
        <v>6435</v>
      </c>
      <c r="D480" s="264" t="s">
        <v>6436</v>
      </c>
      <c r="E480" s="265" t="s">
        <v>5618</v>
      </c>
      <c r="F480" s="268" t="s">
        <v>5982</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6377</v>
      </c>
      <c r="B481" s="273" t="s">
        <v>6408</v>
      </c>
      <c r="C481" s="274" t="s">
        <v>6437</v>
      </c>
      <c r="D481" s="275" t="s">
        <v>6438</v>
      </c>
      <c r="E481" s="276" t="s">
        <v>5618</v>
      </c>
      <c r="F481" s="277" t="s">
        <v>5613</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733</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IFERROR(INDEX('Recommendations'!$H$2:$H$149, MATCH(H2,'Recommendations'!$A$2:$A$149,0))="Implemented", FALSE))</xm:f>
            <x14:dxf>
              <font>
                <color rgb="FF000000"/>
              </font>
              <fill>
                <patternFill>
                  <bgColor rgb="FF3C7D22"/>
                </patternFill>
              </fill>
            </x14:dxf>
          </x14:cfRule>
          <x14:cfRule type="expression" priority="2" id="{00000000-000E-0000-0B00-000002000000}">
            <xm:f>AND(H2&lt;&gt;"", IFERROR(INDEX('Recommendations'!$H$2:$H$149, MATCH(H2,'Recommendations'!$A$2:$A$149,0))="Compensated", FALSE))</xm:f>
            <x14:dxf>
              <font>
                <color rgb="FF000000"/>
              </font>
              <fill>
                <patternFill>
                  <bgColor rgb="FFC6E0B4"/>
                </patternFill>
              </fill>
            </x14:dxf>
          </x14:cfRule>
          <x14:cfRule type="expression" priority="3" id="{00000000-000E-0000-0B00-000003000000}">
            <xm:f>AND(H2&lt;&gt;"", IFERROR(INDEX('Recommendations'!$H$2:$H$149, MATCH(H2,'Recommendations'!$A$2:$A$149,0))="Testing", FALSE))</xm:f>
            <x14:dxf>
              <font>
                <color rgb="FF000000"/>
              </font>
              <fill>
                <patternFill>
                  <bgColor rgb="FFFFC000"/>
                </patternFill>
              </fill>
            </x14:dxf>
          </x14:cfRule>
          <x14:cfRule type="expression" priority="4" id="{00000000-000E-0000-0B00-000004000000}">
            <xm:f>AND(H2&lt;&gt;"", IFERROR(INDEX('Recommendations'!$H$2:$H$149, MATCH(H2,'Recommendations'!$A$2:$A$149,0))="Failed", FALSE))</xm:f>
            <x14:dxf>
              <font>
                <color rgb="FF000000"/>
              </font>
              <fill>
                <patternFill>
                  <bgColor rgb="FFD82891"/>
                </patternFill>
              </fill>
            </x14:dxf>
          </x14:cfRule>
          <x14:cfRule type="expression" priority="5" id="{00000000-000E-0000-0B00-000005000000}">
            <xm:f>AND(H2&lt;&gt;"", IFERROR(INDEX('Recommendations'!$H$2:$H$149, MATCH(H2,'Recommendations'!$A$2:$A$149,0))="Risk Accepted", FALSE))</xm:f>
            <x14:dxf>
              <font>
                <color rgb="FF000000"/>
              </font>
              <fill>
                <patternFill>
                  <bgColor rgb="FFD9D9D9"/>
                </patternFill>
              </fill>
            </x14:dxf>
          </x14:cfRule>
          <x14:cfRule type="expression" priority="6" id="{00000000-000E-0000-0B00-000006000000}">
            <xm:f>AND(H2&lt;&gt;"", IFERROR(INDEX('Recommendations'!$H$2:$H$149, MATCH(H2,'Recommendations'!$A$2:$A$149,0))="N/A",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10"/>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818</v>
      </c>
      <c r="C2" s="293"/>
      <c r="D2" s="293"/>
      <c r="E2" s="293"/>
      <c r="F2" s="293"/>
      <c r="G2" s="293"/>
      <c r="H2" s="293"/>
      <c r="I2" s="293"/>
    </row>
    <row r="4" spans="2:15" ht="18.5" x14ac:dyDescent="0.45">
      <c r="B4" s="42" t="s">
        <v>819</v>
      </c>
    </row>
    <row r="5" spans="2:15" x14ac:dyDescent="0.35">
      <c r="B5" s="44" t="s">
        <v>21</v>
      </c>
      <c r="C5" s="44" t="s">
        <v>820</v>
      </c>
      <c r="D5" s="44" t="s">
        <v>821</v>
      </c>
      <c r="F5" s="294" t="s">
        <v>822</v>
      </c>
      <c r="G5" s="294"/>
      <c r="H5" s="294"/>
      <c r="I5" s="295" t="s">
        <v>823</v>
      </c>
      <c r="J5" s="295"/>
      <c r="K5" s="295"/>
      <c r="L5" s="295"/>
      <c r="M5" s="295"/>
      <c r="N5" s="295"/>
      <c r="O5" s="295"/>
    </row>
    <row r="6" spans="2:15" x14ac:dyDescent="0.35">
      <c r="B6" s="50" t="s">
        <v>824</v>
      </c>
      <c r="C6" s="51">
        <v>148</v>
      </c>
      <c r="D6" s="52" t="s">
        <v>21</v>
      </c>
      <c r="F6" s="294" t="s">
        <v>825</v>
      </c>
      <c r="G6" s="294"/>
      <c r="H6" s="294"/>
      <c r="I6" s="296" t="s">
        <v>826</v>
      </c>
      <c r="J6" s="296"/>
      <c r="K6" s="296"/>
      <c r="L6" s="296"/>
      <c r="M6" s="296"/>
      <c r="N6" s="296"/>
      <c r="O6" s="296"/>
    </row>
    <row r="7" spans="2:15" x14ac:dyDescent="0.35">
      <c r="B7" s="53" t="s">
        <v>827</v>
      </c>
      <c r="C7" s="54">
        <f>C6-C8-C9</f>
        <v>148</v>
      </c>
      <c r="D7" s="55">
        <f>IF(C6&gt;0,C7/C6,0)</f>
        <v>1</v>
      </c>
      <c r="F7" s="294" t="s">
        <v>828</v>
      </c>
      <c r="G7" s="294"/>
      <c r="H7" s="294"/>
      <c r="I7" s="296" t="s">
        <v>826</v>
      </c>
      <c r="J7" s="296"/>
      <c r="K7" s="296"/>
      <c r="L7" s="296"/>
      <c r="M7" s="296"/>
      <c r="N7" s="296"/>
      <c r="O7" s="296"/>
    </row>
    <row r="8" spans="2:15" x14ac:dyDescent="0.35">
      <c r="B8" s="46" t="s">
        <v>829</v>
      </c>
      <c r="C8" s="47">
        <f>COUNTIF('Recommendations'!H:H,"Risk Accepted")</f>
        <v>0</v>
      </c>
      <c r="D8" s="48">
        <f>IF(C6&gt;0,C8/C6,0)</f>
        <v>0</v>
      </c>
      <c r="F8" s="294" t="s">
        <v>830</v>
      </c>
      <c r="G8" s="294"/>
      <c r="H8" s="294"/>
      <c r="I8" s="296" t="s">
        <v>826</v>
      </c>
      <c r="J8" s="296"/>
      <c r="K8" s="296"/>
      <c r="L8" s="296"/>
      <c r="M8" s="296"/>
      <c r="N8" s="296"/>
      <c r="O8" s="296"/>
    </row>
    <row r="9" spans="2:15" x14ac:dyDescent="0.35">
      <c r="B9" s="46" t="s">
        <v>831</v>
      </c>
      <c r="C9" s="47">
        <f>COUNTIF('Recommendations'!H:H,"N/A")</f>
        <v>0</v>
      </c>
      <c r="D9" s="48">
        <f>IF(C6&gt;0,C9/C6,0)</f>
        <v>0</v>
      </c>
      <c r="F9" s="294" t="s">
        <v>832</v>
      </c>
      <c r="G9" s="294"/>
      <c r="H9" s="294"/>
      <c r="I9" s="296" t="s">
        <v>826</v>
      </c>
      <c r="J9" s="296"/>
      <c r="K9" s="296"/>
      <c r="L9" s="296"/>
      <c r="M9" s="296"/>
      <c r="N9" s="296"/>
      <c r="O9" s="296"/>
    </row>
    <row r="12" spans="2:15" ht="18.5" x14ac:dyDescent="0.45">
      <c r="B12" s="42" t="s">
        <v>833</v>
      </c>
    </row>
    <row r="14" spans="2:15" x14ac:dyDescent="0.35">
      <c r="B14" s="56" t="s">
        <v>834</v>
      </c>
    </row>
    <row r="15" spans="2:15" x14ac:dyDescent="0.35">
      <c r="B15" s="44" t="s">
        <v>21</v>
      </c>
      <c r="C15" s="44" t="s">
        <v>835</v>
      </c>
      <c r="D15" s="44" t="s">
        <v>836</v>
      </c>
      <c r="E15" s="44" t="s">
        <v>837</v>
      </c>
      <c r="F15" s="44" t="s">
        <v>838</v>
      </c>
    </row>
    <row r="16" spans="2:15" x14ac:dyDescent="0.35">
      <c r="B16" s="46" t="s">
        <v>839</v>
      </c>
      <c r="C16" s="47">
        <f>COUNTIF('Recommendations'!M:M,"Resolved")</f>
        <v>0</v>
      </c>
      <c r="D16" s="47">
        <f>COUNTIF('Recommendations'!M:M,"Testing")</f>
        <v>0</v>
      </c>
      <c r="E16" s="47">
        <f>COUNTIF('Recommendations'!M:M,"Outstanding")</f>
        <v>148</v>
      </c>
      <c r="F16" s="47">
        <f>SUM(C16:E16)</f>
        <v>148</v>
      </c>
    </row>
    <row r="18" spans="2:6" x14ac:dyDescent="0.35">
      <c r="B18" s="56" t="s">
        <v>840</v>
      </c>
    </row>
    <row r="19" spans="2:6" x14ac:dyDescent="0.35">
      <c r="B19" s="57" t="s">
        <v>21</v>
      </c>
      <c r="C19" s="57" t="s">
        <v>835</v>
      </c>
      <c r="D19" s="57" t="s">
        <v>836</v>
      </c>
      <c r="E19" s="57" t="s">
        <v>837</v>
      </c>
      <c r="F19" s="57" t="s">
        <v>21</v>
      </c>
    </row>
    <row r="20" spans="2:6" x14ac:dyDescent="0.35">
      <c r="B20" s="46" t="s">
        <v>839</v>
      </c>
      <c r="C20" s="48">
        <f>IF(F16&gt;0, C16/F16, 0)</f>
        <v>0</v>
      </c>
      <c r="D20" s="48">
        <f>IF(F16&gt;0, D16/F16, 0)</f>
        <v>0</v>
      </c>
      <c r="E20" s="48">
        <f>IF(F16&gt;0, E16/F16, 0)</f>
        <v>1</v>
      </c>
      <c r="F20" s="49" t="s">
        <v>21</v>
      </c>
    </row>
    <row r="25" spans="2:6" ht="18.5" x14ac:dyDescent="0.45">
      <c r="B25" s="42" t="s">
        <v>841</v>
      </c>
    </row>
    <row r="27" spans="2:6" x14ac:dyDescent="0.35">
      <c r="B27" s="56" t="s">
        <v>834</v>
      </c>
    </row>
    <row r="28" spans="2:6" x14ac:dyDescent="0.35">
      <c r="B28" s="44" t="s">
        <v>3</v>
      </c>
      <c r="C28" s="44" t="s">
        <v>835</v>
      </c>
      <c r="D28" s="44" t="s">
        <v>836</v>
      </c>
      <c r="E28" s="44" t="s">
        <v>837</v>
      </c>
      <c r="F28" s="44" t="s">
        <v>838</v>
      </c>
    </row>
    <row r="29" spans="2:6" x14ac:dyDescent="0.35">
      <c r="B29" s="46" t="s">
        <v>17</v>
      </c>
      <c r="C29" s="47">
        <f>COUNTIFS('Recommendations'!D:D,"ALG",'Recommendations'!M:M,"=Resolved")</f>
        <v>0</v>
      </c>
      <c r="D29" s="47">
        <f>COUNTIFS('Recommendations'!D:D,"=ALG",'Recommendations'!M:M,"=Testing")</f>
        <v>0</v>
      </c>
      <c r="E29" s="47">
        <f>COUNTIFS('Recommendations'!D:D,"=ALG",'Recommendations'!M:M,"=Outstanding")</f>
        <v>24</v>
      </c>
      <c r="F29" s="47">
        <f>SUM(C29:E29)</f>
        <v>24</v>
      </c>
    </row>
    <row r="30" spans="2:6" x14ac:dyDescent="0.35">
      <c r="B30" s="46" t="s">
        <v>139</v>
      </c>
      <c r="C30" s="47">
        <f>COUNTIFS('Recommendations'!D:D,"IDPS",'Recommendations'!M:M,"=Resolved")</f>
        <v>0</v>
      </c>
      <c r="D30" s="47">
        <f>COUNTIFS('Recommendations'!D:D,"=IDPS",'Recommendations'!M:M,"=Testing")</f>
        <v>0</v>
      </c>
      <c r="E30" s="47">
        <f>COUNTIFS('Recommendations'!D:D,"=IDPS",'Recommendations'!M:M,"=Outstanding")</f>
        <v>28</v>
      </c>
      <c r="F30" s="47">
        <f>SUM(C30:E30)</f>
        <v>28</v>
      </c>
    </row>
    <row r="31" spans="2:6" x14ac:dyDescent="0.35">
      <c r="B31" s="46" t="s">
        <v>414</v>
      </c>
      <c r="C31" s="47">
        <f>COUNTIFS('Recommendations'!D:D,"NDM",'Recommendations'!M:M,"=Resolved")</f>
        <v>0</v>
      </c>
      <c r="D31" s="47">
        <f>COUNTIFS('Recommendations'!D:D,"=NDM",'Recommendations'!M:M,"=Testing")</f>
        <v>0</v>
      </c>
      <c r="E31" s="47">
        <f>COUNTIFS('Recommendations'!D:D,"=NDM",'Recommendations'!M:M,"=Outstanding")</f>
        <v>68</v>
      </c>
      <c r="F31" s="47">
        <f>SUM(C31:E31)</f>
        <v>68</v>
      </c>
    </row>
    <row r="32" spans="2:6" x14ac:dyDescent="0.35">
      <c r="B32" s="46" t="s">
        <v>277</v>
      </c>
      <c r="C32" s="47">
        <f>COUNTIFS('Recommendations'!D:D,"VPN",'Recommendations'!M:M,"=Resolved")</f>
        <v>0</v>
      </c>
      <c r="D32" s="47">
        <f>COUNTIFS('Recommendations'!D:D,"=VPN",'Recommendations'!M:M,"=Testing")</f>
        <v>0</v>
      </c>
      <c r="E32" s="47">
        <f>COUNTIFS('Recommendations'!D:D,"=VPN",'Recommendations'!M:M,"=Outstanding")</f>
        <v>28</v>
      </c>
      <c r="F32" s="47">
        <f>SUM(C32:E32)</f>
        <v>28</v>
      </c>
    </row>
    <row r="34" spans="2:6" x14ac:dyDescent="0.35">
      <c r="B34" s="56" t="s">
        <v>840</v>
      </c>
    </row>
    <row r="35" spans="2:6" x14ac:dyDescent="0.35">
      <c r="B35" s="57" t="s">
        <v>3</v>
      </c>
      <c r="C35" s="57" t="s">
        <v>835</v>
      </c>
      <c r="D35" s="57" t="s">
        <v>836</v>
      </c>
      <c r="E35" s="57" t="s">
        <v>837</v>
      </c>
      <c r="F35" s="57" t="s">
        <v>21</v>
      </c>
    </row>
    <row r="36" spans="2:6" x14ac:dyDescent="0.35">
      <c r="B36" s="46" t="s">
        <v>17</v>
      </c>
      <c r="C36" s="48">
        <f>IF(F29&gt;0, C29/F29, 0)</f>
        <v>0</v>
      </c>
      <c r="D36" s="48">
        <f>IF(F29&gt;0, D29/F29, 0)</f>
        <v>0</v>
      </c>
      <c r="E36" s="48">
        <f>IF(F29&gt;0, E29/F29, 0)</f>
        <v>1</v>
      </c>
      <c r="F36" s="49" t="s">
        <v>21</v>
      </c>
    </row>
    <row r="37" spans="2:6" x14ac:dyDescent="0.35">
      <c r="B37" s="46" t="s">
        <v>139</v>
      </c>
      <c r="C37" s="48">
        <f>IF(F30&gt;0, C30/F30, 0)</f>
        <v>0</v>
      </c>
      <c r="D37" s="48">
        <f>IF(F30&gt;0, D30/F30, 0)</f>
        <v>0</v>
      </c>
      <c r="E37" s="48">
        <f>IF(F30&gt;0, E30/F30, 0)</f>
        <v>1</v>
      </c>
      <c r="F37" s="49" t="s">
        <v>21</v>
      </c>
    </row>
    <row r="38" spans="2:6" x14ac:dyDescent="0.35">
      <c r="B38" s="46" t="s">
        <v>414</v>
      </c>
      <c r="C38" s="48">
        <f>IF(F31&gt;0, C31/F31, 0)</f>
        <v>0</v>
      </c>
      <c r="D38" s="48">
        <f>IF(F31&gt;0, D31/F31, 0)</f>
        <v>0</v>
      </c>
      <c r="E38" s="48">
        <f>IF(F31&gt;0, E31/F31, 0)</f>
        <v>1</v>
      </c>
      <c r="F38" s="49" t="s">
        <v>21</v>
      </c>
    </row>
    <row r="39" spans="2:6" x14ac:dyDescent="0.35">
      <c r="B39" s="46" t="s">
        <v>277</v>
      </c>
      <c r="C39" s="48">
        <f>IF(F32&gt;0, C32/F32, 0)</f>
        <v>0</v>
      </c>
      <c r="D39" s="48">
        <f>IF(F32&gt;0, D32/F32, 0)</f>
        <v>0</v>
      </c>
      <c r="E39" s="48">
        <f>IF(F32&gt;0, E32/F32, 0)</f>
        <v>1</v>
      </c>
      <c r="F39" s="49" t="s">
        <v>21</v>
      </c>
    </row>
    <row r="44" spans="2:6" ht="18.5" x14ac:dyDescent="0.45">
      <c r="B44" s="42" t="s">
        <v>842</v>
      </c>
    </row>
    <row r="46" spans="2:6" x14ac:dyDescent="0.35">
      <c r="B46" s="56" t="s">
        <v>834</v>
      </c>
    </row>
    <row r="47" spans="2:6" x14ac:dyDescent="0.35">
      <c r="B47" s="44" t="s">
        <v>6</v>
      </c>
      <c r="C47" s="44" t="s">
        <v>835</v>
      </c>
      <c r="D47" s="44" t="s">
        <v>836</v>
      </c>
      <c r="E47" s="44" t="s">
        <v>837</v>
      </c>
      <c r="F47" s="44" t="s">
        <v>838</v>
      </c>
    </row>
    <row r="48" spans="2:6" x14ac:dyDescent="0.35">
      <c r="B48" s="46" t="s">
        <v>843</v>
      </c>
      <c r="C48" s="47">
        <f>COUNTIFS('Recommendations'!G:G,"Phase1",'Recommendations'!M:M,"=Resolved")</f>
        <v>0</v>
      </c>
      <c r="D48" s="47">
        <f>COUNTIFS('Recommendations'!G:G,"=Phase1",'Recommendations'!M:M,"=Testing")</f>
        <v>0</v>
      </c>
      <c r="E48" s="47">
        <f>COUNTIFS('Recommendations'!G:G,"=Phase1",'Recommendations'!M:M,"=Outstanding")</f>
        <v>0</v>
      </c>
      <c r="F48" s="47">
        <f t="shared" ref="F48:F53" si="0">SUM(C48:E48)</f>
        <v>0</v>
      </c>
    </row>
    <row r="49" spans="2:6" x14ac:dyDescent="0.35">
      <c r="B49" s="46" t="s">
        <v>844</v>
      </c>
      <c r="C49" s="47">
        <f>COUNTIFS('Recommendations'!G:G,"Phase2",'Recommendations'!M:M,"=Resolved")</f>
        <v>0</v>
      </c>
      <c r="D49" s="47">
        <f>COUNTIFS('Recommendations'!G:G,"=Phase2",'Recommendations'!M:M,"=Testing")</f>
        <v>0</v>
      </c>
      <c r="E49" s="47">
        <f>COUNTIFS('Recommendations'!G:G,"=Phase2",'Recommendations'!M:M,"=Outstanding")</f>
        <v>0</v>
      </c>
      <c r="F49" s="47">
        <f t="shared" si="0"/>
        <v>0</v>
      </c>
    </row>
    <row r="50" spans="2:6" x14ac:dyDescent="0.35">
      <c r="B50" s="46" t="s">
        <v>845</v>
      </c>
      <c r="C50" s="47">
        <f>COUNTIFS('Recommendations'!G:G,"Phase3",'Recommendations'!M:M,"=Resolved")</f>
        <v>0</v>
      </c>
      <c r="D50" s="47">
        <f>COUNTIFS('Recommendations'!G:G,"=Phase3",'Recommendations'!M:M,"=Testing")</f>
        <v>0</v>
      </c>
      <c r="E50" s="47">
        <f>COUNTIFS('Recommendations'!G:G,"=Phase3",'Recommendations'!M:M,"=Outstanding")</f>
        <v>0</v>
      </c>
      <c r="F50" s="47">
        <f t="shared" si="0"/>
        <v>0</v>
      </c>
    </row>
    <row r="51" spans="2:6" x14ac:dyDescent="0.35">
      <c r="B51" s="46" t="s">
        <v>846</v>
      </c>
      <c r="C51" s="47">
        <f>COUNTIFS('Recommendations'!G:G,"Phase4",'Recommendations'!M:M,"=Resolved")</f>
        <v>0</v>
      </c>
      <c r="D51" s="47">
        <f>COUNTIFS('Recommendations'!G:G,"=Phase4",'Recommendations'!M:M,"=Testing")</f>
        <v>0</v>
      </c>
      <c r="E51" s="47">
        <f>COUNTIFS('Recommendations'!G:G,"=Phase4",'Recommendations'!M:M,"=Outstanding")</f>
        <v>0</v>
      </c>
      <c r="F51" s="47">
        <f t="shared" si="0"/>
        <v>0</v>
      </c>
    </row>
    <row r="52" spans="2:6" x14ac:dyDescent="0.35">
      <c r="B52" s="46" t="s">
        <v>847</v>
      </c>
      <c r="C52" s="47">
        <f>COUNTIFS('Recommendations'!G:G,"Phase5",'Recommendations'!M:M,"=Resolved")</f>
        <v>0</v>
      </c>
      <c r="D52" s="47">
        <f>COUNTIFS('Recommendations'!G:G,"=Phase5",'Recommendations'!M:M,"=Testing")</f>
        <v>0</v>
      </c>
      <c r="E52" s="47">
        <f>COUNTIFS('Recommendations'!G:G,"=Phase5",'Recommendations'!M:M,"=Outstanding")</f>
        <v>0</v>
      </c>
      <c r="F52" s="47">
        <f t="shared" si="0"/>
        <v>0</v>
      </c>
    </row>
    <row r="53" spans="2:6" x14ac:dyDescent="0.35">
      <c r="B53" s="46" t="s">
        <v>20</v>
      </c>
      <c r="C53" s="47">
        <f>COUNTIFS('Recommendations'!G:G,"Pending",'Recommendations'!M:M,"=Resolved")</f>
        <v>0</v>
      </c>
      <c r="D53" s="47">
        <f>COUNTIFS('Recommendations'!G:G,"=Pending",'Recommendations'!M:M,"=Testing")</f>
        <v>0</v>
      </c>
      <c r="E53" s="47">
        <f>COUNTIFS('Recommendations'!G:G,"=Pending",'Recommendations'!M:M,"=Outstanding")</f>
        <v>148</v>
      </c>
      <c r="F53" s="47">
        <f t="shared" si="0"/>
        <v>148</v>
      </c>
    </row>
    <row r="55" spans="2:6" x14ac:dyDescent="0.35">
      <c r="B55" s="56" t="s">
        <v>840</v>
      </c>
    </row>
    <row r="56" spans="2:6" x14ac:dyDescent="0.35">
      <c r="B56" s="57" t="s">
        <v>6</v>
      </c>
      <c r="C56" s="57" t="s">
        <v>835</v>
      </c>
      <c r="D56" s="57" t="s">
        <v>836</v>
      </c>
      <c r="E56" s="57" t="s">
        <v>837</v>
      </c>
      <c r="F56" s="57" t="s">
        <v>21</v>
      </c>
    </row>
    <row r="57" spans="2:6" x14ac:dyDescent="0.35">
      <c r="B57" s="46" t="s">
        <v>843</v>
      </c>
      <c r="C57" s="48">
        <f t="shared" ref="C57:C62" si="1">IF(F48&gt;0, C48/F48, 0)</f>
        <v>0</v>
      </c>
      <c r="D57" s="48">
        <f t="shared" ref="D57:D62" si="2">IF(F48&gt;0, D48/F48, 0)</f>
        <v>0</v>
      </c>
      <c r="E57" s="48">
        <f t="shared" ref="E57:E62" si="3">IF(F48&gt;0, E48/F48, 0)</f>
        <v>0</v>
      </c>
      <c r="F57" s="49" t="s">
        <v>21</v>
      </c>
    </row>
    <row r="58" spans="2:6" x14ac:dyDescent="0.35">
      <c r="B58" s="46" t="s">
        <v>844</v>
      </c>
      <c r="C58" s="48">
        <f t="shared" si="1"/>
        <v>0</v>
      </c>
      <c r="D58" s="48">
        <f t="shared" si="2"/>
        <v>0</v>
      </c>
      <c r="E58" s="48">
        <f t="shared" si="3"/>
        <v>0</v>
      </c>
      <c r="F58" s="49" t="s">
        <v>21</v>
      </c>
    </row>
    <row r="59" spans="2:6" x14ac:dyDescent="0.35">
      <c r="B59" s="46" t="s">
        <v>845</v>
      </c>
      <c r="C59" s="48">
        <f t="shared" si="1"/>
        <v>0</v>
      </c>
      <c r="D59" s="48">
        <f t="shared" si="2"/>
        <v>0</v>
      </c>
      <c r="E59" s="48">
        <f t="shared" si="3"/>
        <v>0</v>
      </c>
      <c r="F59" s="49" t="s">
        <v>21</v>
      </c>
    </row>
    <row r="60" spans="2:6" x14ac:dyDescent="0.35">
      <c r="B60" s="46" t="s">
        <v>846</v>
      </c>
      <c r="C60" s="48">
        <f t="shared" si="1"/>
        <v>0</v>
      </c>
      <c r="D60" s="48">
        <f t="shared" si="2"/>
        <v>0</v>
      </c>
      <c r="E60" s="48">
        <f t="shared" si="3"/>
        <v>0</v>
      </c>
      <c r="F60" s="49" t="s">
        <v>21</v>
      </c>
    </row>
    <row r="61" spans="2:6" x14ac:dyDescent="0.35">
      <c r="B61" s="46" t="s">
        <v>847</v>
      </c>
      <c r="C61" s="48">
        <f t="shared" si="1"/>
        <v>0</v>
      </c>
      <c r="D61" s="48">
        <f t="shared" si="2"/>
        <v>0</v>
      </c>
      <c r="E61" s="48">
        <f t="shared" si="3"/>
        <v>0</v>
      </c>
      <c r="F61" s="49" t="s">
        <v>21</v>
      </c>
    </row>
    <row r="62" spans="2:6" x14ac:dyDescent="0.35">
      <c r="B62" s="46" t="s">
        <v>20</v>
      </c>
      <c r="C62" s="48">
        <f t="shared" si="1"/>
        <v>0</v>
      </c>
      <c r="D62" s="48">
        <f t="shared" si="2"/>
        <v>0</v>
      </c>
      <c r="E62" s="48">
        <f t="shared" si="3"/>
        <v>1</v>
      </c>
      <c r="F62" s="49" t="s">
        <v>21</v>
      </c>
    </row>
    <row r="67" spans="2:6" ht="18.5" x14ac:dyDescent="0.45">
      <c r="B67" s="42" t="s">
        <v>848</v>
      </c>
    </row>
    <row r="69" spans="2:6" x14ac:dyDescent="0.35">
      <c r="B69" s="56" t="s">
        <v>834</v>
      </c>
    </row>
    <row r="70" spans="2:6" x14ac:dyDescent="0.35">
      <c r="B70" s="44" t="s">
        <v>2</v>
      </c>
      <c r="C70" s="44" t="s">
        <v>835</v>
      </c>
      <c r="D70" s="44" t="s">
        <v>836</v>
      </c>
      <c r="E70" s="44" t="s">
        <v>837</v>
      </c>
      <c r="F70" s="44" t="s">
        <v>838</v>
      </c>
    </row>
    <row r="71" spans="2:6" x14ac:dyDescent="0.35">
      <c r="B71" s="46" t="s">
        <v>74</v>
      </c>
      <c r="C71" s="47">
        <f>COUNTIFS('Recommendations'!C:C,"CAT I (High)",'Recommendations'!M:M,"=Resolved")</f>
        <v>0</v>
      </c>
      <c r="D71" s="47">
        <f>COUNTIFS('Recommendations'!C:C,"=CAT I (High)",'Recommendations'!M:M,"=Testing")</f>
        <v>0</v>
      </c>
      <c r="E71" s="47">
        <f>COUNTIFS('Recommendations'!C:C,"=CAT I (High)",'Recommendations'!M:M,"=Outstanding")</f>
        <v>21</v>
      </c>
      <c r="F71" s="47">
        <f>SUM(C71:E71)</f>
        <v>21</v>
      </c>
    </row>
    <row r="72" spans="2:6" x14ac:dyDescent="0.35">
      <c r="B72" s="46" t="s">
        <v>16</v>
      </c>
      <c r="C72" s="47">
        <f>COUNTIFS('Recommendations'!C:C,"CAT II (Medium)",'Recommendations'!M:M,"=Resolved")</f>
        <v>0</v>
      </c>
      <c r="D72" s="47">
        <f>COUNTIFS('Recommendations'!C:C,"=CAT II (Medium)",'Recommendations'!M:M,"=Testing")</f>
        <v>0</v>
      </c>
      <c r="E72" s="47">
        <f>COUNTIFS('Recommendations'!C:C,"=CAT II (Medium)",'Recommendations'!M:M,"=Outstanding")</f>
        <v>110</v>
      </c>
      <c r="F72" s="47">
        <f>SUM(C72:E72)</f>
        <v>110</v>
      </c>
    </row>
    <row r="73" spans="2:6" x14ac:dyDescent="0.35">
      <c r="B73" s="46" t="s">
        <v>413</v>
      </c>
      <c r="C73" s="47">
        <f>COUNTIFS('Recommendations'!C:C,"CAT III (Low)",'Recommendations'!M:M,"=Resolved")</f>
        <v>0</v>
      </c>
      <c r="D73" s="47">
        <f>COUNTIFS('Recommendations'!C:C,"=CAT III (Low)",'Recommendations'!M:M,"=Testing")</f>
        <v>0</v>
      </c>
      <c r="E73" s="47">
        <f>COUNTIFS('Recommendations'!C:C,"=CAT III (Low)",'Recommendations'!M:M,"=Outstanding")</f>
        <v>17</v>
      </c>
      <c r="F73" s="47">
        <f>SUM(C73:E73)</f>
        <v>17</v>
      </c>
    </row>
    <row r="75" spans="2:6" x14ac:dyDescent="0.35">
      <c r="B75" s="56" t="s">
        <v>840</v>
      </c>
    </row>
    <row r="76" spans="2:6" x14ac:dyDescent="0.35">
      <c r="B76" s="57" t="s">
        <v>2</v>
      </c>
      <c r="C76" s="57" t="s">
        <v>835</v>
      </c>
      <c r="D76" s="57" t="s">
        <v>836</v>
      </c>
      <c r="E76" s="57" t="s">
        <v>837</v>
      </c>
      <c r="F76" s="57" t="s">
        <v>21</v>
      </c>
    </row>
    <row r="77" spans="2:6" x14ac:dyDescent="0.35">
      <c r="B77" s="46" t="s">
        <v>74</v>
      </c>
      <c r="C77" s="48">
        <f>IF(F71&gt;0, C71/F71, 0)</f>
        <v>0</v>
      </c>
      <c r="D77" s="48">
        <f>IF(F71&gt;0, D71/F71, 0)</f>
        <v>0</v>
      </c>
      <c r="E77" s="48">
        <f>IF(F71&gt;0, E71/F71, 0)</f>
        <v>1</v>
      </c>
      <c r="F77" s="49" t="s">
        <v>21</v>
      </c>
    </row>
    <row r="78" spans="2:6" x14ac:dyDescent="0.35">
      <c r="B78" s="46" t="s">
        <v>16</v>
      </c>
      <c r="C78" s="48">
        <f>IF(F72&gt;0, C72/F72, 0)</f>
        <v>0</v>
      </c>
      <c r="D78" s="48">
        <f>IF(F72&gt;0, D72/F72, 0)</f>
        <v>0</v>
      </c>
      <c r="E78" s="48">
        <f>IF(F72&gt;0, E72/F72, 0)</f>
        <v>1</v>
      </c>
      <c r="F78" s="49" t="s">
        <v>21</v>
      </c>
    </row>
    <row r="79" spans="2:6" x14ac:dyDescent="0.35">
      <c r="B79" s="46" t="s">
        <v>413</v>
      </c>
      <c r="C79" s="48">
        <f>IF(F73&gt;0, C73/F73, 0)</f>
        <v>0</v>
      </c>
      <c r="D79" s="48">
        <f>IF(F73&gt;0, D73/F73, 0)</f>
        <v>0</v>
      </c>
      <c r="E79" s="48">
        <f>IF(F73&gt;0, E73/F73, 0)</f>
        <v>1</v>
      </c>
      <c r="F79" s="49" t="s">
        <v>21</v>
      </c>
    </row>
    <row r="84" spans="2:6" ht="18.5" x14ac:dyDescent="0.45">
      <c r="B84" s="42" t="s">
        <v>849</v>
      </c>
    </row>
    <row r="86" spans="2:6" x14ac:dyDescent="0.35">
      <c r="B86" s="56" t="s">
        <v>834</v>
      </c>
    </row>
    <row r="87" spans="2:6" x14ac:dyDescent="0.35">
      <c r="B87" s="44" t="s">
        <v>4</v>
      </c>
      <c r="C87" s="44" t="s">
        <v>835</v>
      </c>
      <c r="D87" s="44" t="s">
        <v>836</v>
      </c>
      <c r="E87" s="44" t="s">
        <v>837</v>
      </c>
      <c r="F87" s="44" t="s">
        <v>838</v>
      </c>
    </row>
    <row r="88" spans="2:6" x14ac:dyDescent="0.35">
      <c r="B88" s="46" t="s">
        <v>850</v>
      </c>
      <c r="C88" s="47">
        <f>COUNTIFS('Recommendations'!E:E,"Must",'Recommendations'!M:M,"=Resolved")</f>
        <v>0</v>
      </c>
      <c r="D88" s="47">
        <f>COUNTIFS('Recommendations'!E:E,"=Must",'Recommendations'!M:M,"=Testing")</f>
        <v>0</v>
      </c>
      <c r="E88" s="47">
        <f>COUNTIFS('Recommendations'!E:E,"=Must",'Recommendations'!M:M,"=Outstanding")</f>
        <v>0</v>
      </c>
      <c r="F88" s="47">
        <f>SUM(C88:E88)</f>
        <v>0</v>
      </c>
    </row>
    <row r="89" spans="2:6" x14ac:dyDescent="0.35">
      <c r="B89" s="46" t="s">
        <v>851</v>
      </c>
      <c r="C89" s="47">
        <f>COUNTIFS('Recommendations'!E:E,"Should",'Recommendations'!M:M,"=Resolved")</f>
        <v>0</v>
      </c>
      <c r="D89" s="47">
        <f>COUNTIFS('Recommendations'!E:E,"=Should",'Recommendations'!M:M,"=Testing")</f>
        <v>0</v>
      </c>
      <c r="E89" s="47">
        <f>COUNTIFS('Recommendations'!E:E,"=Should",'Recommendations'!M:M,"=Outstanding")</f>
        <v>0</v>
      </c>
      <c r="F89" s="47">
        <f>SUM(C89:E89)</f>
        <v>0</v>
      </c>
    </row>
    <row r="90" spans="2:6" x14ac:dyDescent="0.35">
      <c r="B90" s="46" t="s">
        <v>852</v>
      </c>
      <c r="C90" s="47">
        <f>COUNTIFS('Recommendations'!E:E,"Could",'Recommendations'!M:M,"=Resolved")</f>
        <v>0</v>
      </c>
      <c r="D90" s="47">
        <f>COUNTIFS('Recommendations'!E:E,"=Could",'Recommendations'!M:M,"=Testing")</f>
        <v>0</v>
      </c>
      <c r="E90" s="47">
        <f>COUNTIFS('Recommendations'!E:E,"=Could",'Recommendations'!M:M,"=Outstanding")</f>
        <v>0</v>
      </c>
      <c r="F90" s="47">
        <f>SUM(C90:E90)</f>
        <v>0</v>
      </c>
    </row>
    <row r="91" spans="2:6" x14ac:dyDescent="0.35">
      <c r="B91" s="46" t="s">
        <v>853</v>
      </c>
      <c r="C91" s="47">
        <f>COUNTIFS('Recommendations'!E:E,"Won't",'Recommendations'!M:M,"=Resolved")</f>
        <v>0</v>
      </c>
      <c r="D91" s="47">
        <f>COUNTIFS('Recommendations'!E:E,"=Won't",'Recommendations'!M:M,"=Testing")</f>
        <v>0</v>
      </c>
      <c r="E91" s="47">
        <f>COUNTIFS('Recommendations'!E:E,"=Won't",'Recommendations'!M:M,"=Outstanding")</f>
        <v>0</v>
      </c>
      <c r="F91" s="47">
        <f>SUM(C91:E91)</f>
        <v>0</v>
      </c>
    </row>
    <row r="92" spans="2:6" x14ac:dyDescent="0.35">
      <c r="B92" s="46" t="s">
        <v>18</v>
      </c>
      <c r="C92" s="47">
        <f>COUNTIFS('Recommendations'!E:E,"Unassigned",'Recommendations'!M:M,"=Resolved")</f>
        <v>0</v>
      </c>
      <c r="D92" s="47">
        <f>COUNTIFS('Recommendations'!E:E,"=Unassigned",'Recommendations'!M:M,"=Testing")</f>
        <v>0</v>
      </c>
      <c r="E92" s="47">
        <f>COUNTIFS('Recommendations'!E:E,"=Unassigned",'Recommendations'!M:M,"=Outstanding")</f>
        <v>148</v>
      </c>
      <c r="F92" s="47">
        <f>SUM(C92:E92)</f>
        <v>148</v>
      </c>
    </row>
    <row r="94" spans="2:6" x14ac:dyDescent="0.35">
      <c r="B94" s="56" t="s">
        <v>840</v>
      </c>
    </row>
    <row r="95" spans="2:6" x14ac:dyDescent="0.35">
      <c r="B95" s="57" t="s">
        <v>4</v>
      </c>
      <c r="C95" s="57" t="s">
        <v>835</v>
      </c>
      <c r="D95" s="57" t="s">
        <v>836</v>
      </c>
      <c r="E95" s="57" t="s">
        <v>837</v>
      </c>
      <c r="F95" s="57" t="s">
        <v>21</v>
      </c>
    </row>
    <row r="96" spans="2:6" x14ac:dyDescent="0.35">
      <c r="B96" s="46" t="s">
        <v>850</v>
      </c>
      <c r="C96" s="48">
        <f>IF(F88&gt;0, C88/F88, 0)</f>
        <v>0</v>
      </c>
      <c r="D96" s="48">
        <f>IF(F88&gt;0, D88/F88, 0)</f>
        <v>0</v>
      </c>
      <c r="E96" s="48">
        <f>IF(F88&gt;0, E88/F88, 0)</f>
        <v>0</v>
      </c>
      <c r="F96" s="49" t="s">
        <v>21</v>
      </c>
    </row>
    <row r="97" spans="2:6" x14ac:dyDescent="0.35">
      <c r="B97" s="46" t="s">
        <v>851</v>
      </c>
      <c r="C97" s="48">
        <f>IF(F89&gt;0, C89/F89, 0)</f>
        <v>0</v>
      </c>
      <c r="D97" s="48">
        <f>IF(F89&gt;0, D89/F89, 0)</f>
        <v>0</v>
      </c>
      <c r="E97" s="48">
        <f>IF(F89&gt;0, E89/F89, 0)</f>
        <v>0</v>
      </c>
      <c r="F97" s="49" t="s">
        <v>21</v>
      </c>
    </row>
    <row r="98" spans="2:6" x14ac:dyDescent="0.35">
      <c r="B98" s="46" t="s">
        <v>852</v>
      </c>
      <c r="C98" s="48">
        <f>IF(F90&gt;0, C90/F90, 0)</f>
        <v>0</v>
      </c>
      <c r="D98" s="48">
        <f>IF(F90&gt;0, D90/F90, 0)</f>
        <v>0</v>
      </c>
      <c r="E98" s="48">
        <f>IF(F90&gt;0, E90/F90, 0)</f>
        <v>0</v>
      </c>
      <c r="F98" s="49" t="s">
        <v>21</v>
      </c>
    </row>
    <row r="99" spans="2:6" x14ac:dyDescent="0.35">
      <c r="B99" s="46" t="s">
        <v>853</v>
      </c>
      <c r="C99" s="48">
        <f>IF(F91&gt;0, C91/F91, 0)</f>
        <v>0</v>
      </c>
      <c r="D99" s="48">
        <f>IF(F91&gt;0, D91/F91, 0)</f>
        <v>0</v>
      </c>
      <c r="E99" s="48">
        <f>IF(F91&gt;0, E91/F91, 0)</f>
        <v>0</v>
      </c>
      <c r="F99" s="49" t="s">
        <v>21</v>
      </c>
    </row>
    <row r="100" spans="2:6" x14ac:dyDescent="0.35">
      <c r="B100" s="46" t="s">
        <v>18</v>
      </c>
      <c r="C100" s="48">
        <f>IF(F92&gt;0, C92/F92, 0)</f>
        <v>0</v>
      </c>
      <c r="D100" s="48">
        <f>IF(F92&gt;0, D92/F92, 0)</f>
        <v>0</v>
      </c>
      <c r="E100" s="48">
        <f>IF(F92&gt;0, E92/F92, 0)</f>
        <v>1</v>
      </c>
      <c r="F100" s="49" t="s">
        <v>21</v>
      </c>
    </row>
    <row r="105" spans="2:6" ht="18.5" x14ac:dyDescent="0.45">
      <c r="B105" s="42" t="s">
        <v>854</v>
      </c>
    </row>
    <row r="107" spans="2:6" x14ac:dyDescent="0.35">
      <c r="B107" s="56" t="s">
        <v>834</v>
      </c>
    </row>
    <row r="108" spans="2:6" x14ac:dyDescent="0.35">
      <c r="B108" s="44" t="s">
        <v>855</v>
      </c>
      <c r="C108" s="44" t="s">
        <v>835</v>
      </c>
      <c r="D108" s="44" t="s">
        <v>836</v>
      </c>
      <c r="E108" s="44" t="s">
        <v>837</v>
      </c>
      <c r="F108" s="44" t="s">
        <v>838</v>
      </c>
    </row>
    <row r="109" spans="2:6" x14ac:dyDescent="0.35">
      <c r="B109" s="46" t="s">
        <v>856</v>
      </c>
      <c r="C109" s="47">
        <f>COUNTIFS('Recommendations'!F:F,"Low",'Recommendations'!M:M,"=Resolved")</f>
        <v>0</v>
      </c>
      <c r="D109" s="47">
        <f>COUNTIFS('Recommendations'!F:F,"=Low",'Recommendations'!M:M,"=Testing")</f>
        <v>0</v>
      </c>
      <c r="E109" s="47">
        <f>COUNTIFS('Recommendations'!F:F,"=Low",'Recommendations'!M:M,"=Outstanding")</f>
        <v>0</v>
      </c>
      <c r="F109" s="47">
        <f>SUM(C109:E109)</f>
        <v>0</v>
      </c>
    </row>
    <row r="110" spans="2:6" x14ac:dyDescent="0.35">
      <c r="B110" s="46" t="s">
        <v>857</v>
      </c>
      <c r="C110" s="47">
        <f>COUNTIFS('Recommendations'!F:F,"Medium",'Recommendations'!M:M,"=Resolved")</f>
        <v>0</v>
      </c>
      <c r="D110" s="47">
        <f>COUNTIFS('Recommendations'!F:F,"=Medium",'Recommendations'!M:M,"=Testing")</f>
        <v>0</v>
      </c>
      <c r="E110" s="47">
        <f>COUNTIFS('Recommendations'!F:F,"=Medium",'Recommendations'!M:M,"=Outstanding")</f>
        <v>0</v>
      </c>
      <c r="F110" s="47">
        <f>SUM(C110:E110)</f>
        <v>0</v>
      </c>
    </row>
    <row r="111" spans="2:6" x14ac:dyDescent="0.35">
      <c r="B111" s="46" t="s">
        <v>858</v>
      </c>
      <c r="C111" s="47">
        <f>COUNTIFS('Recommendations'!F:F,"High",'Recommendations'!M:M,"=Resolved")</f>
        <v>0</v>
      </c>
      <c r="D111" s="47">
        <f>COUNTIFS('Recommendations'!F:F,"=High",'Recommendations'!M:M,"=Testing")</f>
        <v>0</v>
      </c>
      <c r="E111" s="47">
        <f>COUNTIFS('Recommendations'!F:F,"=High",'Recommendations'!M:M,"=Outstanding")</f>
        <v>0</v>
      </c>
      <c r="F111" s="47">
        <f>SUM(C111:E111)</f>
        <v>0</v>
      </c>
    </row>
    <row r="112" spans="2:6" x14ac:dyDescent="0.35">
      <c r="B112" s="46" t="s">
        <v>19</v>
      </c>
      <c r="C112" s="47">
        <f>COUNTIFS('Recommendations'!F:F,"Unassessed",'Recommendations'!M:M,"=Resolved")</f>
        <v>0</v>
      </c>
      <c r="D112" s="47">
        <f>COUNTIFS('Recommendations'!F:F,"=Unassessed",'Recommendations'!M:M,"=Testing")</f>
        <v>0</v>
      </c>
      <c r="E112" s="47">
        <f>COUNTIFS('Recommendations'!F:F,"=Unassessed",'Recommendations'!M:M,"=Outstanding")</f>
        <v>148</v>
      </c>
      <c r="F112" s="47">
        <f>SUM(C112:E112)</f>
        <v>148</v>
      </c>
    </row>
    <row r="114" spans="2:15" x14ac:dyDescent="0.35">
      <c r="B114" s="56" t="s">
        <v>840</v>
      </c>
    </row>
    <row r="115" spans="2:15" x14ac:dyDescent="0.35">
      <c r="B115" s="57" t="s">
        <v>855</v>
      </c>
      <c r="C115" s="57" t="s">
        <v>835</v>
      </c>
      <c r="D115" s="57" t="s">
        <v>836</v>
      </c>
      <c r="E115" s="57" t="s">
        <v>837</v>
      </c>
      <c r="F115" s="57" t="s">
        <v>21</v>
      </c>
    </row>
    <row r="116" spans="2:15" x14ac:dyDescent="0.35">
      <c r="B116" s="46" t="s">
        <v>856</v>
      </c>
      <c r="C116" s="48">
        <f>IF(F109&gt;0, C109/F109, 0)</f>
        <v>0</v>
      </c>
      <c r="D116" s="48">
        <f>IF(F109&gt;0, D109/F109, 0)</f>
        <v>0</v>
      </c>
      <c r="E116" s="48">
        <f>IF(F109&gt;0, E109/F109, 0)</f>
        <v>0</v>
      </c>
      <c r="F116" s="49" t="s">
        <v>21</v>
      </c>
    </row>
    <row r="117" spans="2:15" x14ac:dyDescent="0.35">
      <c r="B117" s="46" t="s">
        <v>857</v>
      </c>
      <c r="C117" s="48">
        <f>IF(F110&gt;0, C110/F110, 0)</f>
        <v>0</v>
      </c>
      <c r="D117" s="48">
        <f>IF(F110&gt;0, D110/F110, 0)</f>
        <v>0</v>
      </c>
      <c r="E117" s="48">
        <f>IF(F110&gt;0, E110/F110, 0)</f>
        <v>0</v>
      </c>
      <c r="F117" s="49" t="s">
        <v>21</v>
      </c>
    </row>
    <row r="118" spans="2:15" x14ac:dyDescent="0.35">
      <c r="B118" s="46" t="s">
        <v>858</v>
      </c>
      <c r="C118" s="48">
        <f>IF(F111&gt;0, C111/F111, 0)</f>
        <v>0</v>
      </c>
      <c r="D118" s="48">
        <f>IF(F111&gt;0, D111/F111, 0)</f>
        <v>0</v>
      </c>
      <c r="E118" s="48">
        <f>IF(F111&gt;0, E111/F111, 0)</f>
        <v>0</v>
      </c>
      <c r="F118" s="49" t="s">
        <v>21</v>
      </c>
    </row>
    <row r="119" spans="2:15" x14ac:dyDescent="0.35">
      <c r="B119" s="46" t="s">
        <v>19</v>
      </c>
      <c r="C119" s="48">
        <f>IF(F112&gt;0, C112/F112, 0)</f>
        <v>0</v>
      </c>
      <c r="D119" s="48">
        <f>IF(F112&gt;0, D112/F112, 0)</f>
        <v>0</v>
      </c>
      <c r="E119" s="48">
        <f>IF(F112&gt;0, E112/F112, 0)</f>
        <v>1</v>
      </c>
      <c r="F119" s="49" t="s">
        <v>21</v>
      </c>
    </row>
    <row r="124" spans="2:15" ht="18.5" x14ac:dyDescent="0.45">
      <c r="B124" s="42" t="s">
        <v>859</v>
      </c>
      <c r="J124" s="42" t="s">
        <v>860</v>
      </c>
    </row>
    <row r="125" spans="2:15" x14ac:dyDescent="0.35">
      <c r="B125" s="44" t="s">
        <v>6</v>
      </c>
      <c r="C125" s="297" t="s">
        <v>861</v>
      </c>
      <c r="D125" s="297"/>
      <c r="E125" s="44" t="s">
        <v>827</v>
      </c>
      <c r="F125" s="44" t="s">
        <v>835</v>
      </c>
      <c r="G125" s="297" t="s">
        <v>862</v>
      </c>
      <c r="H125" s="297"/>
      <c r="J125" s="44" t="s">
        <v>6</v>
      </c>
      <c r="K125" s="44" t="s">
        <v>850</v>
      </c>
      <c r="L125" s="44" t="s">
        <v>851</v>
      </c>
      <c r="M125" s="44" t="s">
        <v>852</v>
      </c>
      <c r="N125" s="44" t="s">
        <v>853</v>
      </c>
      <c r="O125" s="44" t="s">
        <v>18</v>
      </c>
    </row>
    <row r="126" spans="2:15" x14ac:dyDescent="0.35">
      <c r="B126" s="50" t="s">
        <v>843</v>
      </c>
      <c r="C126" s="298" t="s">
        <v>21</v>
      </c>
      <c r="D126" s="298"/>
      <c r="E126" s="47">
        <f>COUNTIF('Recommendations'!G:G,"Phase1")-COUNTIFS('Recommendations'!G:G,"Phase1",'Recommendations'!H:H,"Risk Accepted")-COUNTIFS('Recommendations'!G:G,"Phase1",'Recommendations'!H:H,"N/A")</f>
        <v>0</v>
      </c>
      <c r="F126" s="47">
        <f>COUNTIFS('Recommendations'!G:G,"Phase1",'Recommendations'!M:M,"Resolved")</f>
        <v>0</v>
      </c>
      <c r="G126" s="299">
        <f t="shared" ref="G126:G131" si="4">IF(E126&gt;0,F126/E126,0)</f>
        <v>0</v>
      </c>
      <c r="H126" s="299"/>
      <c r="J126" s="50" t="s">
        <v>843</v>
      </c>
      <c r="K126" s="47">
        <f>COUNTIFS('Recommendations'!G:G,"Phase1",'Recommendations'!E:E,"Must")</f>
        <v>0</v>
      </c>
      <c r="L126" s="47">
        <f>COUNTIFS('Recommendations'!G:G,"Phase1",'Recommendations'!E:E,"Should")</f>
        <v>0</v>
      </c>
      <c r="M126" s="47">
        <f>COUNTIFS('Recommendations'!G:G,"Phase1",'Recommendations'!E:E,"Could")</f>
        <v>0</v>
      </c>
      <c r="N126" s="47">
        <f>COUNTIFS('Recommendations'!G:G,"Phase1",'Recommendations'!E:E,"Won't")</f>
        <v>0</v>
      </c>
      <c r="O126" s="47">
        <f>COUNTIFS('Recommendations'!G:G,"Phase1",'Recommendations'!E:E,"Unassigned")</f>
        <v>0</v>
      </c>
    </row>
    <row r="127" spans="2:15" x14ac:dyDescent="0.35">
      <c r="B127" s="50" t="s">
        <v>844</v>
      </c>
      <c r="C127" s="298" t="s">
        <v>21</v>
      </c>
      <c r="D127" s="298"/>
      <c r="E127" s="47">
        <f>COUNTIF('Recommendations'!G:G,"Phase2")-COUNTIFS('Recommendations'!G:G,"Phase2",'Recommendations'!H:H,"Risk Accepted")-COUNTIFS('Recommendations'!G:G,"Phase2",'Recommendations'!H:H,"N/A")</f>
        <v>0</v>
      </c>
      <c r="F127" s="47">
        <f>COUNTIFS('Recommendations'!G:G,"Phase2",'Recommendations'!M:M,"Resolved")</f>
        <v>0</v>
      </c>
      <c r="G127" s="299">
        <f t="shared" si="4"/>
        <v>0</v>
      </c>
      <c r="H127" s="299"/>
      <c r="J127" s="50" t="s">
        <v>844</v>
      </c>
      <c r="K127" s="47">
        <f>COUNTIFS('Recommendations'!G:G,"Phase2",'Recommendations'!E:E,"Must")</f>
        <v>0</v>
      </c>
      <c r="L127" s="47">
        <f>COUNTIFS('Recommendations'!G:G,"Phase2",'Recommendations'!E:E,"Should")</f>
        <v>0</v>
      </c>
      <c r="M127" s="47">
        <f>COUNTIFS('Recommendations'!G:G,"Phase2",'Recommendations'!E:E,"Could")</f>
        <v>0</v>
      </c>
      <c r="N127" s="47">
        <f>COUNTIFS('Recommendations'!G:G,"Phase2",'Recommendations'!E:E,"Won't")</f>
        <v>0</v>
      </c>
      <c r="O127" s="47">
        <f>COUNTIFS('Recommendations'!G:G,"Phase2",'Recommendations'!E:E,"Unassigned")</f>
        <v>0</v>
      </c>
    </row>
    <row r="128" spans="2:15" x14ac:dyDescent="0.35">
      <c r="B128" s="50" t="s">
        <v>845</v>
      </c>
      <c r="C128" s="298" t="s">
        <v>21</v>
      </c>
      <c r="D128" s="298"/>
      <c r="E128" s="47">
        <f>COUNTIF('Recommendations'!G:G,"Phase3")-COUNTIFS('Recommendations'!G:G,"Phase3",'Recommendations'!H:H,"Risk Accepted")-COUNTIFS('Recommendations'!G:G,"Phase3",'Recommendations'!H:H,"N/A")</f>
        <v>0</v>
      </c>
      <c r="F128" s="47">
        <f>COUNTIFS('Recommendations'!G:G,"Phase3",'Recommendations'!M:M,"Resolved")</f>
        <v>0</v>
      </c>
      <c r="G128" s="299">
        <f t="shared" si="4"/>
        <v>0</v>
      </c>
      <c r="H128" s="299"/>
      <c r="J128" s="50" t="s">
        <v>845</v>
      </c>
      <c r="K128" s="47">
        <f>COUNTIFS('Recommendations'!G:G,"Phase3",'Recommendations'!E:E,"Must")</f>
        <v>0</v>
      </c>
      <c r="L128" s="47">
        <f>COUNTIFS('Recommendations'!G:G,"Phase3",'Recommendations'!E:E,"Should")</f>
        <v>0</v>
      </c>
      <c r="M128" s="47">
        <f>COUNTIFS('Recommendations'!G:G,"Phase3",'Recommendations'!E:E,"Could")</f>
        <v>0</v>
      </c>
      <c r="N128" s="47">
        <f>COUNTIFS('Recommendations'!G:G,"Phase3",'Recommendations'!E:E,"Won't")</f>
        <v>0</v>
      </c>
      <c r="O128" s="47">
        <f>COUNTIFS('Recommendations'!G:G,"Phase3",'Recommendations'!E:E,"Unassigned")</f>
        <v>0</v>
      </c>
    </row>
    <row r="129" spans="2:24" x14ac:dyDescent="0.35">
      <c r="B129" s="50" t="s">
        <v>846</v>
      </c>
      <c r="C129" s="298" t="s">
        <v>21</v>
      </c>
      <c r="D129" s="298"/>
      <c r="E129" s="47">
        <f>COUNTIF('Recommendations'!G:G,"Phase4")-COUNTIFS('Recommendations'!G:G,"Phase4",'Recommendations'!H:H,"Risk Accepted")-COUNTIFS('Recommendations'!G:G,"Phase4",'Recommendations'!H:H,"N/A")</f>
        <v>0</v>
      </c>
      <c r="F129" s="47">
        <f>COUNTIFS('Recommendations'!G:G,"Phase4",'Recommendations'!M:M,"Resolved")</f>
        <v>0</v>
      </c>
      <c r="G129" s="299">
        <f t="shared" si="4"/>
        <v>0</v>
      </c>
      <c r="H129" s="299"/>
      <c r="J129" s="50" t="s">
        <v>846</v>
      </c>
      <c r="K129" s="47">
        <f>COUNTIFS('Recommendations'!G:G,"Phase4",'Recommendations'!E:E,"Must")</f>
        <v>0</v>
      </c>
      <c r="L129" s="47">
        <f>COUNTIFS('Recommendations'!G:G,"Phase4",'Recommendations'!E:E,"Should")</f>
        <v>0</v>
      </c>
      <c r="M129" s="47">
        <f>COUNTIFS('Recommendations'!G:G,"Phase4",'Recommendations'!E:E,"Could")</f>
        <v>0</v>
      </c>
      <c r="N129" s="47">
        <f>COUNTIFS('Recommendations'!G:G,"Phase4",'Recommendations'!E:E,"Won't")</f>
        <v>0</v>
      </c>
      <c r="O129" s="47">
        <f>COUNTIFS('Recommendations'!G:G,"Phase4",'Recommendations'!E:E,"Unassigned")</f>
        <v>0</v>
      </c>
    </row>
    <row r="130" spans="2:24" x14ac:dyDescent="0.35">
      <c r="B130" s="50" t="s">
        <v>847</v>
      </c>
      <c r="C130" s="298" t="s">
        <v>21</v>
      </c>
      <c r="D130" s="298"/>
      <c r="E130" s="47">
        <f>COUNTIF('Recommendations'!G:G,"Phase5")-COUNTIFS('Recommendations'!G:G,"Phase5",'Recommendations'!H:H,"Risk Accepted")-COUNTIFS('Recommendations'!G:G,"Phase5",'Recommendations'!H:H,"N/A")</f>
        <v>0</v>
      </c>
      <c r="F130" s="47">
        <f>COUNTIFS('Recommendations'!G:G,"Phase5",'Recommendations'!M:M,"Resolved")</f>
        <v>0</v>
      </c>
      <c r="G130" s="299">
        <f t="shared" si="4"/>
        <v>0</v>
      </c>
      <c r="H130" s="299"/>
      <c r="J130" s="50" t="s">
        <v>847</v>
      </c>
      <c r="K130" s="47">
        <f>COUNTIFS('Recommendations'!G:G,"Phase5",'Recommendations'!E:E,"Must")</f>
        <v>0</v>
      </c>
      <c r="L130" s="47">
        <f>COUNTIFS('Recommendations'!G:G,"Phase5",'Recommendations'!E:E,"Should")</f>
        <v>0</v>
      </c>
      <c r="M130" s="47">
        <f>COUNTIFS('Recommendations'!G:G,"Phase5",'Recommendations'!E:E,"Could")</f>
        <v>0</v>
      </c>
      <c r="N130" s="47">
        <f>COUNTIFS('Recommendations'!G:G,"Phase5",'Recommendations'!E:E,"Won't")</f>
        <v>0</v>
      </c>
      <c r="O130" s="47">
        <f>COUNTIFS('Recommendations'!G:G,"Phase5",'Recommendations'!E:E,"Unassigned")</f>
        <v>0</v>
      </c>
    </row>
    <row r="131" spans="2:24" x14ac:dyDescent="0.35">
      <c r="B131" s="50" t="s">
        <v>20</v>
      </c>
      <c r="C131" s="298" t="s">
        <v>21</v>
      </c>
      <c r="D131" s="298"/>
      <c r="E131" s="47">
        <f>COUNTIF('Recommendations'!G:G,"Pending")-COUNTIFS('Recommendations'!G:G,"Pending",'Recommendations'!H:H,"Risk Accepted")-COUNTIFS('Recommendations'!G:G,"Pending",'Recommendations'!H:H,"N/A")</f>
        <v>148</v>
      </c>
      <c r="F131" s="47">
        <f>COUNTIFS('Recommendations'!G:G,"Pending",'Recommendations'!M:M,"Resolved")</f>
        <v>0</v>
      </c>
      <c r="G131" s="299">
        <f t="shared" si="4"/>
        <v>0</v>
      </c>
      <c r="H131" s="299"/>
      <c r="J131" s="50" t="s">
        <v>20</v>
      </c>
      <c r="K131" s="47">
        <f>COUNTIFS('Recommendations'!G:G,"Pending",'Recommendations'!E:E,"Must")</f>
        <v>0</v>
      </c>
      <c r="L131" s="47">
        <f>COUNTIFS('Recommendations'!G:G,"Pending",'Recommendations'!E:E,"Should")</f>
        <v>0</v>
      </c>
      <c r="M131" s="47">
        <f>COUNTIFS('Recommendations'!G:G,"Pending",'Recommendations'!E:E,"Could")</f>
        <v>0</v>
      </c>
      <c r="N131" s="47">
        <f>COUNTIFS('Recommendations'!G:G,"Pending",'Recommendations'!E:E,"Won't")</f>
        <v>0</v>
      </c>
      <c r="O131" s="47">
        <f>COUNTIFS('Recommendations'!G:G,"Pending",'Recommendations'!E:E,"Unassigned")</f>
        <v>148</v>
      </c>
    </row>
    <row r="138" spans="2:24" ht="21" x14ac:dyDescent="0.5">
      <c r="B138" s="42" t="s">
        <v>863</v>
      </c>
      <c r="P138" s="59" t="s">
        <v>864</v>
      </c>
    </row>
    <row r="140" spans="2:24" ht="60" customHeight="1" x14ac:dyDescent="0.35">
      <c r="B140" s="300" t="s">
        <v>865</v>
      </c>
      <c r="C140" s="293"/>
      <c r="D140" s="293"/>
      <c r="E140" s="293"/>
      <c r="F140" s="293"/>
      <c r="P140" s="300" t="s">
        <v>866</v>
      </c>
      <c r="Q140" s="293"/>
      <c r="R140" s="293"/>
      <c r="S140" s="293"/>
      <c r="T140" s="293"/>
      <c r="U140" s="293"/>
      <c r="V140" s="293"/>
      <c r="W140" s="293"/>
    </row>
    <row r="142" spans="2:24" ht="30" customHeight="1" x14ac:dyDescent="0.35">
      <c r="P142" s="60" t="s">
        <v>867</v>
      </c>
      <c r="Q142" s="61">
        <f>C16</f>
        <v>0</v>
      </c>
      <c r="R142" s="62"/>
      <c r="S142" s="61">
        <f>C88</f>
        <v>0</v>
      </c>
      <c r="T142" s="62"/>
      <c r="U142" s="61">
        <f>C89</f>
        <v>0</v>
      </c>
      <c r="V142" s="62"/>
      <c r="W142" s="61">
        <f>C90</f>
        <v>0</v>
      </c>
      <c r="X142" s="62"/>
    </row>
    <row r="143" spans="2:24" ht="35" customHeight="1" x14ac:dyDescent="0.35">
      <c r="P143" s="63" t="s">
        <v>868</v>
      </c>
      <c r="Q143" s="63" t="s">
        <v>869</v>
      </c>
      <c r="R143" s="63" t="s">
        <v>870</v>
      </c>
      <c r="S143" s="63" t="s">
        <v>871</v>
      </c>
      <c r="T143" s="63" t="s">
        <v>872</v>
      </c>
      <c r="U143" s="63" t="s">
        <v>873</v>
      </c>
      <c r="V143" s="63" t="s">
        <v>874</v>
      </c>
      <c r="W143" s="63" t="s">
        <v>875</v>
      </c>
      <c r="X143" s="63" t="s">
        <v>876</v>
      </c>
    </row>
    <row r="144" spans="2:24" x14ac:dyDescent="0.35">
      <c r="O144" s="64" t="s">
        <v>877</v>
      </c>
      <c r="P144" s="65" t="s">
        <v>878</v>
      </c>
      <c r="Q144" s="66">
        <v>0</v>
      </c>
      <c r="R144" s="67">
        <f>IF(Dashboard!F16&gt;0, Q144/Dashboard!F16, "")</f>
        <v>0</v>
      </c>
      <c r="S144" s="66">
        <v>0</v>
      </c>
      <c r="T144" s="67" t="str">
        <f>IF(AND(NOT(ISBLANK(S144)),Dashboard!F88&gt;0), S144/Dashboard!F88, "")</f>
        <v/>
      </c>
      <c r="U144" s="66">
        <v>0</v>
      </c>
      <c r="V144" s="67" t="str">
        <f>IF(AND(NOT(ISBLANK(U144)),Dashboard!F89&gt;0), U144/Dashboard!F89, "")</f>
        <v/>
      </c>
      <c r="W144" s="66">
        <v>0</v>
      </c>
      <c r="X144" s="67" t="str">
        <f>IF(AND(NOT(ISBLANK(W144)),Dashboard!F90&gt;0), W144/Dashboard!F90, "")</f>
        <v/>
      </c>
    </row>
    <row r="145" spans="16:24" x14ac:dyDescent="0.35">
      <c r="P145" s="58"/>
      <c r="Q145" s="45"/>
      <c r="R145" s="48" t="str">
        <f>IF(AND(NOT(ISBLANK(Q145)),Dashboard!F16&gt;0), Q145/Dashboard!F16, "")</f>
        <v/>
      </c>
      <c r="S145" s="45"/>
      <c r="T145" s="48" t="str">
        <f>IF(AND(NOT(ISBLANK(S145)),Dashboard!F88&gt;0), S145/Dashboard!F88, "")</f>
        <v/>
      </c>
      <c r="U145" s="45"/>
      <c r="V145" s="48" t="str">
        <f>IF(AND(NOT(ISBLANK(U145)),Dashboard!F89&gt;0), U145/Dashboard!F89, "")</f>
        <v/>
      </c>
      <c r="W145" s="45"/>
      <c r="X145" s="48" t="str">
        <f>IF(AND(NOT(ISBLANK(W145)),Dashboard!F90&gt;0), W145/Dashboard!F90, "")</f>
        <v/>
      </c>
    </row>
    <row r="146" spans="16:24" x14ac:dyDescent="0.35">
      <c r="P146" s="58"/>
      <c r="Q146" s="45"/>
      <c r="R146" s="48" t="str">
        <f>IF(AND(NOT(ISBLANK(Q146)),Dashboard!F16&gt;0), Q146/Dashboard!F16, "")</f>
        <v/>
      </c>
      <c r="S146" s="45"/>
      <c r="T146" s="48" t="str">
        <f>IF(AND(NOT(ISBLANK(S146)),Dashboard!F88&gt;0), S146/Dashboard!F88, "")</f>
        <v/>
      </c>
      <c r="U146" s="45"/>
      <c r="V146" s="48" t="str">
        <f>IF(AND(NOT(ISBLANK(U146)),Dashboard!F89&gt;0), U146/Dashboard!F89, "")</f>
        <v/>
      </c>
      <c r="W146" s="45"/>
      <c r="X146" s="48" t="str">
        <f>IF(AND(NOT(ISBLANK(W146)),Dashboard!F90&gt;0), W146/Dashboard!F90, "")</f>
        <v/>
      </c>
    </row>
    <row r="147" spans="16:24" x14ac:dyDescent="0.35">
      <c r="P147" s="58"/>
      <c r="Q147" s="45"/>
      <c r="R147" s="48" t="str">
        <f>IF(AND(NOT(ISBLANK(Q147)),Dashboard!F16&gt;0), Q147/Dashboard!F16, "")</f>
        <v/>
      </c>
      <c r="S147" s="45"/>
      <c r="T147" s="48" t="str">
        <f>IF(AND(NOT(ISBLANK(S147)),Dashboard!F88&gt;0), S147/Dashboard!F88, "")</f>
        <v/>
      </c>
      <c r="U147" s="45"/>
      <c r="V147" s="48" t="str">
        <f>IF(AND(NOT(ISBLANK(U147)),Dashboard!F89&gt;0), U147/Dashboard!F89, "")</f>
        <v/>
      </c>
      <c r="W147" s="45"/>
      <c r="X147" s="48" t="str">
        <f>IF(AND(NOT(ISBLANK(W147)),Dashboard!F90&gt;0), W147/Dashboard!F90, "")</f>
        <v/>
      </c>
    </row>
    <row r="148" spans="16:24" x14ac:dyDescent="0.35">
      <c r="P148" s="58"/>
      <c r="Q148" s="45"/>
      <c r="R148" s="48" t="str">
        <f>IF(AND(NOT(ISBLANK(Q148)),Dashboard!F16&gt;0), Q148/Dashboard!F16, "")</f>
        <v/>
      </c>
      <c r="S148" s="45"/>
      <c r="T148" s="48" t="str">
        <f>IF(AND(NOT(ISBLANK(S148)),Dashboard!F88&gt;0), S148/Dashboard!F88, "")</f>
        <v/>
      </c>
      <c r="U148" s="45"/>
      <c r="V148" s="48" t="str">
        <f>IF(AND(NOT(ISBLANK(U148)),Dashboard!F89&gt;0), U148/Dashboard!F89, "")</f>
        <v/>
      </c>
      <c r="W148" s="45"/>
      <c r="X148" s="48" t="str">
        <f>IF(AND(NOT(ISBLANK(W148)),Dashboard!F90&gt;0), W148/Dashboard!F90, "")</f>
        <v/>
      </c>
    </row>
    <row r="149" spans="16:24" x14ac:dyDescent="0.35">
      <c r="P149" s="58"/>
      <c r="Q149" s="45"/>
      <c r="R149" s="48" t="str">
        <f>IF(AND(NOT(ISBLANK(Q149)),Dashboard!F16&gt;0), Q149/Dashboard!F16, "")</f>
        <v/>
      </c>
      <c r="S149" s="45"/>
      <c r="T149" s="48" t="str">
        <f>IF(AND(NOT(ISBLANK(S149)),Dashboard!F88&gt;0), S149/Dashboard!F88, "")</f>
        <v/>
      </c>
      <c r="U149" s="45"/>
      <c r="V149" s="48" t="str">
        <f>IF(AND(NOT(ISBLANK(U149)),Dashboard!F89&gt;0), U149/Dashboard!F89, "")</f>
        <v/>
      </c>
      <c r="W149" s="45"/>
      <c r="X149" s="48" t="str">
        <f>IF(AND(NOT(ISBLANK(W149)),Dashboard!F90&gt;0), W149/Dashboard!F90, "")</f>
        <v/>
      </c>
    </row>
    <row r="150" spans="16:24" x14ac:dyDescent="0.35">
      <c r="P150" s="58"/>
      <c r="Q150" s="45"/>
      <c r="R150" s="48" t="str">
        <f>IF(AND(NOT(ISBLANK(Q150)),Dashboard!F16&gt;0), Q150/Dashboard!F16, "")</f>
        <v/>
      </c>
      <c r="S150" s="45"/>
      <c r="T150" s="48" t="str">
        <f>IF(AND(NOT(ISBLANK(S150)),Dashboard!F88&gt;0), S150/Dashboard!F88, "")</f>
        <v/>
      </c>
      <c r="U150" s="45"/>
      <c r="V150" s="48" t="str">
        <f>IF(AND(NOT(ISBLANK(U150)),Dashboard!F89&gt;0), U150/Dashboard!F89, "")</f>
        <v/>
      </c>
      <c r="W150" s="45"/>
      <c r="X150" s="48" t="str">
        <f>IF(AND(NOT(ISBLANK(W150)),Dashboard!F90&gt;0), W150/Dashboard!F90, "")</f>
        <v/>
      </c>
    </row>
    <row r="151" spans="16:24" x14ac:dyDescent="0.35">
      <c r="P151" s="58"/>
      <c r="Q151" s="45"/>
      <c r="R151" s="48" t="str">
        <f>IF(AND(NOT(ISBLANK(Q151)),Dashboard!F16&gt;0), Q151/Dashboard!F16, "")</f>
        <v/>
      </c>
      <c r="S151" s="45"/>
      <c r="T151" s="48" t="str">
        <f>IF(AND(NOT(ISBLANK(S151)),Dashboard!F88&gt;0), S151/Dashboard!F88, "")</f>
        <v/>
      </c>
      <c r="U151" s="45"/>
      <c r="V151" s="48" t="str">
        <f>IF(AND(NOT(ISBLANK(U151)),Dashboard!F89&gt;0), U151/Dashboard!F89, "")</f>
        <v/>
      </c>
      <c r="W151" s="45"/>
      <c r="X151" s="48" t="str">
        <f>IF(AND(NOT(ISBLANK(W151)),Dashboard!F90&gt;0), W151/Dashboard!F90, "")</f>
        <v/>
      </c>
    </row>
    <row r="152" spans="16:24" x14ac:dyDescent="0.35">
      <c r="P152" s="58"/>
      <c r="Q152" s="45"/>
      <c r="R152" s="48" t="str">
        <f>IF(AND(NOT(ISBLANK(Q152)),Dashboard!F16&gt;0), Q152/Dashboard!F16, "")</f>
        <v/>
      </c>
      <c r="S152" s="45"/>
      <c r="T152" s="48" t="str">
        <f>IF(AND(NOT(ISBLANK(S152)),Dashboard!F88&gt;0), S152/Dashboard!F88, "")</f>
        <v/>
      </c>
      <c r="U152" s="45"/>
      <c r="V152" s="48" t="str">
        <f>IF(AND(NOT(ISBLANK(U152)),Dashboard!F89&gt;0), U152/Dashboard!F89, "")</f>
        <v/>
      </c>
      <c r="W152" s="45"/>
      <c r="X152" s="48" t="str">
        <f>IF(AND(NOT(ISBLANK(W152)),Dashboard!F90&gt;0), W152/Dashboard!F90, "")</f>
        <v/>
      </c>
    </row>
    <row r="153" spans="16:24" x14ac:dyDescent="0.35">
      <c r="P153" s="58"/>
      <c r="Q153" s="45"/>
      <c r="R153" s="48" t="str">
        <f>IF(AND(NOT(ISBLANK(Q153)),Dashboard!F16&gt;0), Q153/Dashboard!F16, "")</f>
        <v/>
      </c>
      <c r="S153" s="45"/>
      <c r="T153" s="48" t="str">
        <f>IF(AND(NOT(ISBLANK(S153)),Dashboard!F88&gt;0), S153/Dashboard!F88, "")</f>
        <v/>
      </c>
      <c r="U153" s="45"/>
      <c r="V153" s="48" t="str">
        <f>IF(AND(NOT(ISBLANK(U153)),Dashboard!F89&gt;0), U153/Dashboard!F89, "")</f>
        <v/>
      </c>
      <c r="W153" s="45"/>
      <c r="X153" s="48" t="str">
        <f>IF(AND(NOT(ISBLANK(W153)),Dashboard!F90&gt;0), W153/Dashboard!F90, "")</f>
        <v/>
      </c>
    </row>
    <row r="154" spans="16:24" x14ac:dyDescent="0.35">
      <c r="P154" s="58"/>
      <c r="Q154" s="45"/>
      <c r="R154" s="48" t="str">
        <f>IF(AND(NOT(ISBLANK(Q154)),Dashboard!F16&gt;0), Q154/Dashboard!F16, "")</f>
        <v/>
      </c>
      <c r="S154" s="45"/>
      <c r="T154" s="48" t="str">
        <f>IF(AND(NOT(ISBLANK(S154)),Dashboard!F88&gt;0), S154/Dashboard!F88, "")</f>
        <v/>
      </c>
      <c r="U154" s="45"/>
      <c r="V154" s="48" t="str">
        <f>IF(AND(NOT(ISBLANK(U154)),Dashboard!F89&gt;0), U154/Dashboard!F89, "")</f>
        <v/>
      </c>
      <c r="W154" s="45"/>
      <c r="X154" s="48" t="str">
        <f>IF(AND(NOT(ISBLANK(W154)),Dashboard!F90&gt;0), W154/Dashboard!F90, "")</f>
        <v/>
      </c>
    </row>
    <row r="155" spans="16:24" x14ac:dyDescent="0.35">
      <c r="P155" s="58"/>
      <c r="Q155" s="45"/>
      <c r="R155" s="48" t="str">
        <f>IF(AND(NOT(ISBLANK(Q155)),Dashboard!F16&gt;0), Q155/Dashboard!F16, "")</f>
        <v/>
      </c>
      <c r="S155" s="45"/>
      <c r="T155" s="48" t="str">
        <f>IF(AND(NOT(ISBLANK(S155)),Dashboard!F88&gt;0), S155/Dashboard!F88, "")</f>
        <v/>
      </c>
      <c r="U155" s="45"/>
      <c r="V155" s="48" t="str">
        <f>IF(AND(NOT(ISBLANK(U155)),Dashboard!F89&gt;0), U155/Dashboard!F89, "")</f>
        <v/>
      </c>
      <c r="W155" s="45"/>
      <c r="X155" s="48" t="str">
        <f>IF(AND(NOT(ISBLANK(W155)),Dashboard!F90&gt;0), W155/Dashboard!F90, "")</f>
        <v/>
      </c>
    </row>
    <row r="156" spans="16:24" x14ac:dyDescent="0.35">
      <c r="P156" s="58"/>
      <c r="Q156" s="45"/>
      <c r="R156" s="48" t="str">
        <f>IF(AND(NOT(ISBLANK(Q156)),Dashboard!F16&gt;0), Q156/Dashboard!F16, "")</f>
        <v/>
      </c>
      <c r="S156" s="45"/>
      <c r="T156" s="48" t="str">
        <f>IF(AND(NOT(ISBLANK(S156)),Dashboard!F88&gt;0), S156/Dashboard!F88, "")</f>
        <v/>
      </c>
      <c r="U156" s="45"/>
      <c r="V156" s="48" t="str">
        <f>IF(AND(NOT(ISBLANK(U156)),Dashboard!F89&gt;0), U156/Dashboard!F89, "")</f>
        <v/>
      </c>
      <c r="W156" s="45"/>
      <c r="X156" s="48" t="str">
        <f>IF(AND(NOT(ISBLANK(W156)),Dashboard!F90&gt;0), W156/Dashboard!F90, "")</f>
        <v/>
      </c>
    </row>
    <row r="157" spans="16:24" x14ac:dyDescent="0.35">
      <c r="P157" s="58"/>
      <c r="Q157" s="45"/>
      <c r="R157" s="48" t="str">
        <f>IF(AND(NOT(ISBLANK(Q157)),Dashboard!F16&gt;0), Q157/Dashboard!F16, "")</f>
        <v/>
      </c>
      <c r="S157" s="45"/>
      <c r="T157" s="48" t="str">
        <f>IF(AND(NOT(ISBLANK(S157)),Dashboard!F88&gt;0), S157/Dashboard!F88, "")</f>
        <v/>
      </c>
      <c r="U157" s="45"/>
      <c r="V157" s="48" t="str">
        <f>IF(AND(NOT(ISBLANK(U157)),Dashboard!F89&gt;0), U157/Dashboard!F89, "")</f>
        <v/>
      </c>
      <c r="W157" s="45"/>
      <c r="X157" s="48" t="str">
        <f>IF(AND(NOT(ISBLANK(W157)),Dashboard!F90&gt;0), W157/Dashboard!F90, "")</f>
        <v/>
      </c>
    </row>
    <row r="158" spans="16:24" x14ac:dyDescent="0.35">
      <c r="P158" s="58"/>
      <c r="Q158" s="45"/>
      <c r="R158" s="48" t="str">
        <f>IF(AND(NOT(ISBLANK(Q158)),Dashboard!F16&gt;0), Q158/Dashboard!F16, "")</f>
        <v/>
      </c>
      <c r="S158" s="45"/>
      <c r="T158" s="48" t="str">
        <f>IF(AND(NOT(ISBLANK(S158)),Dashboard!F88&gt;0), S158/Dashboard!F88, "")</f>
        <v/>
      </c>
      <c r="U158" s="45"/>
      <c r="V158" s="48" t="str">
        <f>IF(AND(NOT(ISBLANK(U158)),Dashboard!F89&gt;0), U158/Dashboard!F89, "")</f>
        <v/>
      </c>
      <c r="W158" s="45"/>
      <c r="X158" s="48" t="str">
        <f>IF(AND(NOT(ISBLANK(W158)),Dashboard!F90&gt;0), W158/Dashboard!F90, "")</f>
        <v/>
      </c>
    </row>
    <row r="159" spans="16:24" x14ac:dyDescent="0.35">
      <c r="P159" s="58"/>
      <c r="Q159" s="45"/>
      <c r="R159" s="48" t="str">
        <f>IF(AND(NOT(ISBLANK(Q159)),Dashboard!F16&gt;0), Q159/Dashboard!F16, "")</f>
        <v/>
      </c>
      <c r="S159" s="45"/>
      <c r="T159" s="48" t="str">
        <f>IF(AND(NOT(ISBLANK(S159)),Dashboard!F88&gt;0), S159/Dashboard!F88, "")</f>
        <v/>
      </c>
      <c r="U159" s="45"/>
      <c r="V159" s="48" t="str">
        <f>IF(AND(NOT(ISBLANK(U159)),Dashboard!F89&gt;0), U159/Dashboard!F89, "")</f>
        <v/>
      </c>
      <c r="W159" s="45"/>
      <c r="X159" s="48" t="str">
        <f>IF(AND(NOT(ISBLANK(W159)),Dashboard!F90&gt;0), W159/Dashboard!F90, "")</f>
        <v/>
      </c>
    </row>
    <row r="160" spans="16:24" x14ac:dyDescent="0.35">
      <c r="P160" s="58"/>
      <c r="Q160" s="45"/>
      <c r="R160" s="48" t="str">
        <f>IF(AND(NOT(ISBLANK(Q160)),Dashboard!F16&gt;0), Q160/Dashboard!F16, "")</f>
        <v/>
      </c>
      <c r="S160" s="45"/>
      <c r="T160" s="48" t="str">
        <f>IF(AND(NOT(ISBLANK(S160)),Dashboard!F88&gt;0), S160/Dashboard!F88, "")</f>
        <v/>
      </c>
      <c r="U160" s="45"/>
      <c r="V160" s="48" t="str">
        <f>IF(AND(NOT(ISBLANK(U160)),Dashboard!F89&gt;0), U160/Dashboard!F89, "")</f>
        <v/>
      </c>
      <c r="W160" s="45"/>
      <c r="X160" s="48" t="str">
        <f>IF(AND(NOT(ISBLANK(W160)),Dashboard!F90&gt;0), W160/Dashboard!F90, "")</f>
        <v/>
      </c>
    </row>
    <row r="161" spans="16:24" x14ac:dyDescent="0.35">
      <c r="P161" s="58"/>
      <c r="Q161" s="45"/>
      <c r="R161" s="48" t="str">
        <f>IF(AND(NOT(ISBLANK(Q161)),Dashboard!F16&gt;0), Q161/Dashboard!F16, "")</f>
        <v/>
      </c>
      <c r="S161" s="45"/>
      <c r="T161" s="48" t="str">
        <f>IF(AND(NOT(ISBLANK(S161)),Dashboard!F88&gt;0), S161/Dashboard!F88, "")</f>
        <v/>
      </c>
      <c r="U161" s="45"/>
      <c r="V161" s="48" t="str">
        <f>IF(AND(NOT(ISBLANK(U161)),Dashboard!F89&gt;0), U161/Dashboard!F89, "")</f>
        <v/>
      </c>
      <c r="W161" s="45"/>
      <c r="X161" s="48" t="str">
        <f>IF(AND(NOT(ISBLANK(W161)),Dashboard!F90&gt;0), W161/Dashboard!F90, "")</f>
        <v/>
      </c>
    </row>
    <row r="162" spans="16:24" x14ac:dyDescent="0.35">
      <c r="P162" s="58"/>
      <c r="Q162" s="45"/>
      <c r="R162" s="48" t="str">
        <f>IF(AND(NOT(ISBLANK(Q162)),Dashboard!F16&gt;0), Q162/Dashboard!F16, "")</f>
        <v/>
      </c>
      <c r="S162" s="45"/>
      <c r="T162" s="48" t="str">
        <f>IF(AND(NOT(ISBLANK(S162)),Dashboard!F88&gt;0), S162/Dashboard!F88, "")</f>
        <v/>
      </c>
      <c r="U162" s="45"/>
      <c r="V162" s="48" t="str">
        <f>IF(AND(NOT(ISBLANK(U162)),Dashboard!F89&gt;0), U162/Dashboard!F89, "")</f>
        <v/>
      </c>
      <c r="W162" s="45"/>
      <c r="X162" s="48" t="str">
        <f>IF(AND(NOT(ISBLANK(W162)),Dashboard!F90&gt;0), W162/Dashboard!F90, "")</f>
        <v/>
      </c>
    </row>
    <row r="163" spans="16:24" x14ac:dyDescent="0.35">
      <c r="P163" s="58"/>
      <c r="Q163" s="45"/>
      <c r="R163" s="48" t="str">
        <f>IF(AND(NOT(ISBLANK(Q163)),Dashboard!F16&gt;0), Q163/Dashboard!F16, "")</f>
        <v/>
      </c>
      <c r="S163" s="45"/>
      <c r="T163" s="48" t="str">
        <f>IF(AND(NOT(ISBLANK(S163)),Dashboard!F88&gt;0), S163/Dashboard!F88, "")</f>
        <v/>
      </c>
      <c r="U163" s="45"/>
      <c r="V163" s="48" t="str">
        <f>IF(AND(NOT(ISBLANK(U163)),Dashboard!F89&gt;0), U163/Dashboard!F89, "")</f>
        <v/>
      </c>
      <c r="W163" s="45"/>
      <c r="X163" s="48" t="str">
        <f>IF(AND(NOT(ISBLANK(W163)),Dashboard!F90&gt;0), W163/Dashboard!F90, "")</f>
        <v/>
      </c>
    </row>
    <row r="164" spans="16:24" x14ac:dyDescent="0.35">
      <c r="P164" s="58"/>
      <c r="Q164" s="45"/>
      <c r="R164" s="48" t="str">
        <f>IF(AND(NOT(ISBLANK(Q164)),Dashboard!F16&gt;0), Q164/Dashboard!F16, "")</f>
        <v/>
      </c>
      <c r="S164" s="45"/>
      <c r="T164" s="48" t="str">
        <f>IF(AND(NOT(ISBLANK(S164)),Dashboard!F88&gt;0), S164/Dashboard!F88, "")</f>
        <v/>
      </c>
      <c r="U164" s="45"/>
      <c r="V164" s="48" t="str">
        <f>IF(AND(NOT(ISBLANK(U164)),Dashboard!F89&gt;0), U164/Dashboard!F89, "")</f>
        <v/>
      </c>
      <c r="W164" s="45"/>
      <c r="X164" s="48" t="str">
        <f>IF(AND(NOT(ISBLANK(W164)),Dashboard!F90&gt;0), W164/Dashboard!F90, "")</f>
        <v/>
      </c>
    </row>
    <row r="165" spans="16:24" x14ac:dyDescent="0.35">
      <c r="P165" s="58"/>
      <c r="Q165" s="45"/>
      <c r="R165" s="48" t="str">
        <f>IF(AND(NOT(ISBLANK(Q165)),Dashboard!F16&gt;0), Q165/Dashboard!F16, "")</f>
        <v/>
      </c>
      <c r="S165" s="45"/>
      <c r="T165" s="48" t="str">
        <f>IF(AND(NOT(ISBLANK(S165)),Dashboard!F88&gt;0), S165/Dashboard!F88, "")</f>
        <v/>
      </c>
      <c r="U165" s="45"/>
      <c r="V165" s="48" t="str">
        <f>IF(AND(NOT(ISBLANK(U165)),Dashboard!F89&gt;0), U165/Dashboard!F89, "")</f>
        <v/>
      </c>
      <c r="W165" s="45"/>
      <c r="X165" s="48" t="str">
        <f>IF(AND(NOT(ISBLANK(W165)),Dashboard!F90&gt;0), W165/Dashboard!F90, "")</f>
        <v/>
      </c>
    </row>
    <row r="166" spans="16:24" x14ac:dyDescent="0.35">
      <c r="P166" s="58"/>
      <c r="Q166" s="45"/>
      <c r="R166" s="48" t="str">
        <f>IF(AND(NOT(ISBLANK(Q166)),Dashboard!F16&gt;0), Q166/Dashboard!F16, "")</f>
        <v/>
      </c>
      <c r="S166" s="45"/>
      <c r="T166" s="48" t="str">
        <f>IF(AND(NOT(ISBLANK(S166)),Dashboard!F88&gt;0), S166/Dashboard!F88, "")</f>
        <v/>
      </c>
      <c r="U166" s="45"/>
      <c r="V166" s="48" t="str">
        <f>IF(AND(NOT(ISBLANK(U166)),Dashboard!F89&gt;0), U166/Dashboard!F89, "")</f>
        <v/>
      </c>
      <c r="W166" s="45"/>
      <c r="X166" s="48" t="str">
        <f>IF(AND(NOT(ISBLANK(W166)),Dashboard!F90&gt;0), W166/Dashboard!F90, "")</f>
        <v/>
      </c>
    </row>
    <row r="167" spans="16:24" x14ac:dyDescent="0.35">
      <c r="P167" s="58"/>
      <c r="Q167" s="45"/>
      <c r="R167" s="48" t="str">
        <f>IF(AND(NOT(ISBLANK(Q167)),Dashboard!F16&gt;0), Q167/Dashboard!F16, "")</f>
        <v/>
      </c>
      <c r="S167" s="45"/>
      <c r="T167" s="48" t="str">
        <f>IF(AND(NOT(ISBLANK(S167)),Dashboard!F88&gt;0), S167/Dashboard!F88, "")</f>
        <v/>
      </c>
      <c r="U167" s="45"/>
      <c r="V167" s="48" t="str">
        <f>IF(AND(NOT(ISBLANK(U167)),Dashboard!F89&gt;0), U167/Dashboard!F89, "")</f>
        <v/>
      </c>
      <c r="W167" s="45"/>
      <c r="X167" s="48" t="str">
        <f>IF(AND(NOT(ISBLANK(W167)),Dashboard!F90&gt;0), W167/Dashboard!F90, "")</f>
        <v/>
      </c>
    </row>
    <row r="168" spans="16:24" x14ac:dyDescent="0.35">
      <c r="P168" s="58"/>
      <c r="Q168" s="45"/>
      <c r="R168" s="48" t="str">
        <f>IF(AND(NOT(ISBLANK(Q168)),Dashboard!F16&gt;0), Q168/Dashboard!F16, "")</f>
        <v/>
      </c>
      <c r="S168" s="45"/>
      <c r="T168" s="48" t="str">
        <f>IF(AND(NOT(ISBLANK(S168)),Dashboard!F88&gt;0), S168/Dashboard!F88, "")</f>
        <v/>
      </c>
      <c r="U168" s="45"/>
      <c r="V168" s="48" t="str">
        <f>IF(AND(NOT(ISBLANK(U168)),Dashboard!F89&gt;0), U168/Dashboard!F89, "")</f>
        <v/>
      </c>
      <c r="W168" s="45"/>
      <c r="X168" s="48" t="str">
        <f>IF(AND(NOT(ISBLANK(W168)),Dashboard!F90&gt;0), W168/Dashboard!F90, "")</f>
        <v/>
      </c>
    </row>
    <row r="169" spans="16:24" x14ac:dyDescent="0.35">
      <c r="P169" s="58"/>
      <c r="Q169" s="45"/>
      <c r="R169" s="48" t="str">
        <f>IF(AND(NOT(ISBLANK(Q169)),Dashboard!F16&gt;0), Q169/Dashboard!F16, "")</f>
        <v/>
      </c>
      <c r="S169" s="45"/>
      <c r="T169" s="48" t="str">
        <f>IF(AND(NOT(ISBLANK(S169)),Dashboard!F88&gt;0), S169/Dashboard!F88, "")</f>
        <v/>
      </c>
      <c r="U169" s="45"/>
      <c r="V169" s="48" t="str">
        <f>IF(AND(NOT(ISBLANK(U169)),Dashboard!F89&gt;0), U169/Dashboard!F89, "")</f>
        <v/>
      </c>
      <c r="W169" s="45"/>
      <c r="X169" s="48" t="str">
        <f>IF(AND(NOT(ISBLANK(W169)),Dashboard!F90&gt;0), W169/Dashboard!F90, "")</f>
        <v/>
      </c>
    </row>
    <row r="170" spans="16:24" x14ac:dyDescent="0.35">
      <c r="P170" s="58"/>
      <c r="Q170" s="45"/>
      <c r="R170" s="48" t="str">
        <f>IF(AND(NOT(ISBLANK(Q170)),Dashboard!F16&gt;0), Q170/Dashboard!F16, "")</f>
        <v/>
      </c>
      <c r="S170" s="45"/>
      <c r="T170" s="48" t="str">
        <f>IF(AND(NOT(ISBLANK(S170)),Dashboard!F88&gt;0), S170/Dashboard!F88, "")</f>
        <v/>
      </c>
      <c r="U170" s="45"/>
      <c r="V170" s="48" t="str">
        <f>IF(AND(NOT(ISBLANK(U170)),Dashboard!F89&gt;0), U170/Dashboard!F89, "")</f>
        <v/>
      </c>
      <c r="W170" s="45"/>
      <c r="X170" s="48" t="str">
        <f>IF(AND(NOT(ISBLANK(W170)),Dashboard!F90&gt;0), W170/Dashboard!F90, "")</f>
        <v/>
      </c>
    </row>
    <row r="171" spans="16:24" x14ac:dyDescent="0.35">
      <c r="P171" s="58"/>
      <c r="Q171" s="45"/>
      <c r="R171" s="48" t="str">
        <f>IF(AND(NOT(ISBLANK(Q171)),Dashboard!F16&gt;0), Q171/Dashboard!F16, "")</f>
        <v/>
      </c>
      <c r="S171" s="45"/>
      <c r="T171" s="48" t="str">
        <f>IF(AND(NOT(ISBLANK(S171)),Dashboard!F88&gt;0), S171/Dashboard!F88, "")</f>
        <v/>
      </c>
      <c r="U171" s="45"/>
      <c r="V171" s="48" t="str">
        <f>IF(AND(NOT(ISBLANK(U171)),Dashboard!F89&gt;0), U171/Dashboard!F89, "")</f>
        <v/>
      </c>
      <c r="W171" s="45"/>
      <c r="X171" s="48" t="str">
        <f>IF(AND(NOT(ISBLANK(W171)),Dashboard!F90&gt;0), W171/Dashboard!F90, "")</f>
        <v/>
      </c>
    </row>
    <row r="172" spans="16:24" x14ac:dyDescent="0.35">
      <c r="P172" s="58"/>
      <c r="Q172" s="45"/>
      <c r="R172" s="48" t="str">
        <f>IF(AND(NOT(ISBLANK(Q172)),Dashboard!F16&gt;0), Q172/Dashboard!F16, "")</f>
        <v/>
      </c>
      <c r="S172" s="45"/>
      <c r="T172" s="48" t="str">
        <f>IF(AND(NOT(ISBLANK(S172)),Dashboard!F88&gt;0), S172/Dashboard!F88, "")</f>
        <v/>
      </c>
      <c r="U172" s="45"/>
      <c r="V172" s="48" t="str">
        <f>IF(AND(NOT(ISBLANK(U172)),Dashboard!F89&gt;0), U172/Dashboard!F89, "")</f>
        <v/>
      </c>
      <c r="W172" s="45"/>
      <c r="X172" s="48" t="str">
        <f>IF(AND(NOT(ISBLANK(W172)),Dashboard!F90&gt;0), W172/Dashboard!F90, "")</f>
        <v/>
      </c>
    </row>
    <row r="173" spans="16:24" x14ac:dyDescent="0.35">
      <c r="P173" s="58"/>
      <c r="Q173" s="45"/>
      <c r="R173" s="48" t="str">
        <f>IF(AND(NOT(ISBLANK(Q173)),Dashboard!F16&gt;0), Q173/Dashboard!F16, "")</f>
        <v/>
      </c>
      <c r="S173" s="45"/>
      <c r="T173" s="48" t="str">
        <f>IF(AND(NOT(ISBLANK(S173)),Dashboard!F88&gt;0), S173/Dashboard!F88, "")</f>
        <v/>
      </c>
      <c r="U173" s="45"/>
      <c r="V173" s="48" t="str">
        <f>IF(AND(NOT(ISBLANK(U173)),Dashboard!F89&gt;0), U173/Dashboard!F89, "")</f>
        <v/>
      </c>
      <c r="W173" s="45"/>
      <c r="X173" s="48" t="str">
        <f>IF(AND(NOT(ISBLANK(W173)),Dashboard!F90&gt;0), W173/Dashboard!F90, "")</f>
        <v/>
      </c>
    </row>
    <row r="174" spans="16:24" x14ac:dyDescent="0.35">
      <c r="P174" s="58"/>
      <c r="Q174" s="45"/>
      <c r="R174" s="48" t="str">
        <f>IF(AND(NOT(ISBLANK(Q174)),Dashboard!F16&gt;0), Q174/Dashboard!F16, "")</f>
        <v/>
      </c>
      <c r="S174" s="45"/>
      <c r="T174" s="48" t="str">
        <f>IF(AND(NOT(ISBLANK(S174)),Dashboard!F88&gt;0), S174/Dashboard!F88, "")</f>
        <v/>
      </c>
      <c r="U174" s="45"/>
      <c r="V174" s="48" t="str">
        <f>IF(AND(NOT(ISBLANK(U174)),Dashboard!F89&gt;0), U174/Dashboard!F89, "")</f>
        <v/>
      </c>
      <c r="W174" s="45"/>
      <c r="X174" s="48" t="str">
        <f>IF(AND(NOT(ISBLANK(W174)),Dashboard!F90&gt;0), W174/Dashboard!F90, "")</f>
        <v/>
      </c>
    </row>
    <row r="179" spans="2:22" ht="21" x14ac:dyDescent="0.5">
      <c r="B179" s="42" t="s">
        <v>879</v>
      </c>
      <c r="P179" s="59" t="s">
        <v>880</v>
      </c>
    </row>
    <row r="181" spans="2:22" ht="45" customHeight="1" x14ac:dyDescent="0.35">
      <c r="B181" s="300" t="s">
        <v>881</v>
      </c>
      <c r="C181" s="293"/>
      <c r="D181" s="293"/>
      <c r="E181" s="293"/>
      <c r="F181" s="293"/>
      <c r="P181" s="300" t="s">
        <v>882</v>
      </c>
      <c r="Q181" s="293"/>
      <c r="R181" s="293"/>
      <c r="S181" s="293"/>
      <c r="T181" s="293"/>
      <c r="U181" s="293"/>
    </row>
    <row r="182" spans="2:22" ht="35" customHeight="1" x14ac:dyDescent="0.35">
      <c r="P182" s="297" t="s">
        <v>883</v>
      </c>
      <c r="Q182" s="297"/>
      <c r="R182" s="297" t="s">
        <v>884</v>
      </c>
      <c r="S182" s="297"/>
      <c r="T182" s="297"/>
    </row>
    <row r="183" spans="2:22" ht="30" customHeight="1" x14ac:dyDescent="0.35">
      <c r="P183" s="301">
        <v>0</v>
      </c>
      <c r="Q183" s="302"/>
      <c r="R183" s="303" t="s">
        <v>885</v>
      </c>
      <c r="S183" s="304"/>
      <c r="T183" s="304"/>
    </row>
    <row r="186" spans="2:22" ht="25" customHeight="1" x14ac:dyDescent="0.35">
      <c r="P186" s="68" t="s">
        <v>868</v>
      </c>
      <c r="Q186" s="68" t="s">
        <v>886</v>
      </c>
      <c r="R186" s="68" t="s">
        <v>887</v>
      </c>
      <c r="S186" s="305" t="s">
        <v>8</v>
      </c>
      <c r="T186" s="305"/>
      <c r="U186" s="305"/>
      <c r="V186" s="293"/>
    </row>
    <row r="187" spans="2:22" ht="20" customHeight="1" x14ac:dyDescent="0.35">
      <c r="P187" s="70"/>
      <c r="Q187" s="71"/>
      <c r="R187" s="72" t="str">
        <f>IF(AND(NOT(ISBLANK(Q187)), Dashboard!$P183&gt;0), Q187/Dashboard!$P183, "")</f>
        <v/>
      </c>
      <c r="S187" s="306"/>
      <c r="T187" s="307"/>
      <c r="U187" s="307"/>
      <c r="V187" s="307"/>
    </row>
    <row r="188" spans="2:22" ht="20" customHeight="1" x14ac:dyDescent="0.35">
      <c r="P188" s="70"/>
      <c r="Q188" s="71"/>
      <c r="R188" s="72" t="str">
        <f>IF(AND(NOT(ISBLANK(Q188)), Dashboard!$P183&gt;0), Q188/Dashboard!$P183, "")</f>
        <v/>
      </c>
      <c r="S188" s="306"/>
      <c r="T188" s="307"/>
      <c r="U188" s="307"/>
      <c r="V188" s="307"/>
    </row>
    <row r="189" spans="2:22" ht="20" customHeight="1" x14ac:dyDescent="0.35">
      <c r="P189" s="70"/>
      <c r="Q189" s="71"/>
      <c r="R189" s="72" t="str">
        <f>IF(AND(NOT(ISBLANK(Q189)), Dashboard!$P183&gt;0), Q189/Dashboard!$P183, "")</f>
        <v/>
      </c>
      <c r="S189" s="306"/>
      <c r="T189" s="307"/>
      <c r="U189" s="307"/>
      <c r="V189" s="307"/>
    </row>
    <row r="190" spans="2:22" ht="20" customHeight="1" x14ac:dyDescent="0.35">
      <c r="P190" s="70"/>
      <c r="Q190" s="71"/>
      <c r="R190" s="72" t="str">
        <f>IF(AND(NOT(ISBLANK(Q190)), Dashboard!$P183&gt;0), Q190/Dashboard!$P183, "")</f>
        <v/>
      </c>
      <c r="S190" s="306"/>
      <c r="T190" s="307"/>
      <c r="U190" s="307"/>
      <c r="V190" s="307"/>
    </row>
    <row r="191" spans="2:22" ht="20" customHeight="1" x14ac:dyDescent="0.35">
      <c r="P191" s="70"/>
      <c r="Q191" s="71"/>
      <c r="R191" s="72" t="str">
        <f>IF(AND(NOT(ISBLANK(Q191)), Dashboard!$P183&gt;0), Q191/Dashboard!$P183, "")</f>
        <v/>
      </c>
      <c r="S191" s="306"/>
      <c r="T191" s="307"/>
      <c r="U191" s="307"/>
      <c r="V191" s="307"/>
    </row>
    <row r="192" spans="2:22" ht="20" customHeight="1" x14ac:dyDescent="0.35">
      <c r="P192" s="70"/>
      <c r="Q192" s="71"/>
      <c r="R192" s="72" t="str">
        <f>IF(AND(NOT(ISBLANK(Q192)), Dashboard!$P183&gt;0), Q192/Dashboard!$P183, "")</f>
        <v/>
      </c>
      <c r="S192" s="306"/>
      <c r="T192" s="307"/>
      <c r="U192" s="307"/>
      <c r="V192" s="307"/>
    </row>
    <row r="193" spans="16:22" ht="20" customHeight="1" x14ac:dyDescent="0.35">
      <c r="P193" s="70"/>
      <c r="Q193" s="71"/>
      <c r="R193" s="72" t="str">
        <f>IF(AND(NOT(ISBLANK(Q193)), Dashboard!$P183&gt;0), Q193/Dashboard!$P183, "")</f>
        <v/>
      </c>
      <c r="S193" s="306"/>
      <c r="T193" s="307"/>
      <c r="U193" s="307"/>
      <c r="V193" s="307"/>
    </row>
    <row r="194" spans="16:22" ht="20" customHeight="1" x14ac:dyDescent="0.35">
      <c r="P194" s="70"/>
      <c r="Q194" s="71"/>
      <c r="R194" s="72" t="str">
        <f>IF(AND(NOT(ISBLANK(Q194)), Dashboard!$P183&gt;0), Q194/Dashboard!$P183, "")</f>
        <v/>
      </c>
      <c r="S194" s="306"/>
      <c r="T194" s="307"/>
      <c r="U194" s="307"/>
      <c r="V194" s="307"/>
    </row>
    <row r="195" spans="16:22" ht="20" customHeight="1" x14ac:dyDescent="0.35">
      <c r="P195" s="70"/>
      <c r="Q195" s="71"/>
      <c r="R195" s="72" t="str">
        <f>IF(AND(NOT(ISBLANK(Q195)), Dashboard!$P183&gt;0), Q195/Dashboard!$P183, "")</f>
        <v/>
      </c>
      <c r="S195" s="306"/>
      <c r="T195" s="307"/>
      <c r="U195" s="307"/>
      <c r="V195" s="307"/>
    </row>
    <row r="196" spans="16:22" ht="20" customHeight="1" x14ac:dyDescent="0.35">
      <c r="P196" s="70"/>
      <c r="Q196" s="71"/>
      <c r="R196" s="72" t="str">
        <f>IF(AND(NOT(ISBLANK(Q196)), Dashboard!$P183&gt;0), Q196/Dashboard!$P183, "")</f>
        <v/>
      </c>
      <c r="S196" s="306"/>
      <c r="T196" s="307"/>
      <c r="U196" s="307"/>
      <c r="V196" s="307"/>
    </row>
    <row r="197" spans="16:22" ht="20" customHeight="1" x14ac:dyDescent="0.35">
      <c r="P197" s="70"/>
      <c r="Q197" s="71"/>
      <c r="R197" s="72" t="str">
        <f>IF(AND(NOT(ISBLANK(Q197)), Dashboard!$P183&gt;0), Q197/Dashboard!$P183, "")</f>
        <v/>
      </c>
      <c r="S197" s="306"/>
      <c r="T197" s="307"/>
      <c r="U197" s="307"/>
      <c r="V197" s="307"/>
    </row>
    <row r="198" spans="16:22" ht="20" customHeight="1" x14ac:dyDescent="0.35">
      <c r="P198" s="70"/>
      <c r="Q198" s="71"/>
      <c r="R198" s="72" t="str">
        <f>IF(AND(NOT(ISBLANK(Q198)), Dashboard!$P183&gt;0), Q198/Dashboard!$P183, "")</f>
        <v/>
      </c>
      <c r="S198" s="306"/>
      <c r="T198" s="307"/>
      <c r="U198" s="307"/>
      <c r="V198" s="307"/>
    </row>
    <row r="199" spans="16:22" ht="20" customHeight="1" x14ac:dyDescent="0.35">
      <c r="P199" s="70"/>
      <c r="Q199" s="71"/>
      <c r="R199" s="72" t="str">
        <f>IF(AND(NOT(ISBLANK(Q199)), Dashboard!$P183&gt;0), Q199/Dashboard!$P183, "")</f>
        <v/>
      </c>
      <c r="S199" s="306"/>
      <c r="T199" s="307"/>
      <c r="U199" s="307"/>
      <c r="V199" s="307"/>
    </row>
    <row r="200" spans="16:22" ht="20" customHeight="1" x14ac:dyDescent="0.35">
      <c r="P200" s="70"/>
      <c r="Q200" s="71"/>
      <c r="R200" s="72" t="str">
        <f>IF(AND(NOT(ISBLANK(Q200)), Dashboard!$P183&gt;0), Q200/Dashboard!$P183, "")</f>
        <v/>
      </c>
      <c r="S200" s="306"/>
      <c r="T200" s="307"/>
      <c r="U200" s="307"/>
      <c r="V200" s="307"/>
    </row>
    <row r="201" spans="16:22" ht="20" customHeight="1" x14ac:dyDescent="0.35">
      <c r="P201" s="70"/>
      <c r="Q201" s="71"/>
      <c r="R201" s="72" t="str">
        <f>IF(AND(NOT(ISBLANK(Q201)), Dashboard!$P183&gt;0), Q201/Dashboard!$P183, "")</f>
        <v/>
      </c>
      <c r="S201" s="306"/>
      <c r="T201" s="307"/>
      <c r="U201" s="307"/>
      <c r="V201" s="307"/>
    </row>
    <row r="202" spans="16:22" ht="20" customHeight="1" x14ac:dyDescent="0.35">
      <c r="P202" s="70"/>
      <c r="Q202" s="71"/>
      <c r="R202" s="72" t="str">
        <f>IF(AND(NOT(ISBLANK(Q202)), Dashboard!$P183&gt;0), Q202/Dashboard!$P183, "")</f>
        <v/>
      </c>
      <c r="S202" s="306"/>
      <c r="T202" s="307"/>
      <c r="U202" s="307"/>
      <c r="V202" s="307"/>
    </row>
    <row r="203" spans="16:22" ht="20" customHeight="1" x14ac:dyDescent="0.35">
      <c r="P203" s="70"/>
      <c r="Q203" s="71"/>
      <c r="R203" s="72" t="str">
        <f>IF(AND(NOT(ISBLANK(Q203)), Dashboard!$P183&gt;0), Q203/Dashboard!$P183, "")</f>
        <v/>
      </c>
      <c r="S203" s="306"/>
      <c r="T203" s="307"/>
      <c r="U203" s="307"/>
      <c r="V203" s="307"/>
    </row>
    <row r="204" spans="16:22" ht="20" customHeight="1" x14ac:dyDescent="0.35">
      <c r="P204" s="70"/>
      <c r="Q204" s="71"/>
      <c r="R204" s="72" t="str">
        <f>IF(AND(NOT(ISBLANK(Q204)), Dashboard!$P183&gt;0), Q204/Dashboard!$P183, "")</f>
        <v/>
      </c>
      <c r="S204" s="306"/>
      <c r="T204" s="307"/>
      <c r="U204" s="307"/>
      <c r="V204" s="307"/>
    </row>
    <row r="205" spans="16:22" ht="20" customHeight="1" x14ac:dyDescent="0.35">
      <c r="P205" s="70"/>
      <c r="Q205" s="71"/>
      <c r="R205" s="72" t="str">
        <f>IF(AND(NOT(ISBLANK(Q205)), Dashboard!$P183&gt;0), Q205/Dashboard!$P183, "")</f>
        <v/>
      </c>
      <c r="S205" s="306"/>
      <c r="T205" s="307"/>
      <c r="U205" s="307"/>
      <c r="V205" s="307"/>
    </row>
    <row r="206" spans="16:22" ht="20" customHeight="1" x14ac:dyDescent="0.35">
      <c r="P206" s="70"/>
      <c r="Q206" s="71"/>
      <c r="R206" s="72" t="str">
        <f>IF(AND(NOT(ISBLANK(Q206)), Dashboard!$P183&gt;0), Q206/Dashboard!$P183, "")</f>
        <v/>
      </c>
      <c r="S206" s="306"/>
      <c r="T206" s="307"/>
      <c r="U206" s="307"/>
      <c r="V206" s="307"/>
    </row>
    <row r="210" spans="2:9" ht="32" customHeight="1" x14ac:dyDescent="0.35">
      <c r="B210" s="291" t="s">
        <v>733</v>
      </c>
      <c r="C210" s="291"/>
      <c r="D210" s="291"/>
      <c r="E210" s="291"/>
      <c r="F210" s="291"/>
      <c r="G210" s="291"/>
      <c r="H210" s="291"/>
      <c r="I210" s="291"/>
    </row>
  </sheetData>
  <mergeCells count="55">
    <mergeCell ref="B210:I210"/>
    <mergeCell ref="S202:V202"/>
    <mergeCell ref="S203:V203"/>
    <mergeCell ref="S204:V204"/>
    <mergeCell ref="S205:V205"/>
    <mergeCell ref="S206:V206"/>
    <mergeCell ref="S197:V197"/>
    <mergeCell ref="S198:V198"/>
    <mergeCell ref="S199:V199"/>
    <mergeCell ref="S200:V200"/>
    <mergeCell ref="S201:V201"/>
    <mergeCell ref="S192:V192"/>
    <mergeCell ref="S193:V193"/>
    <mergeCell ref="S194:V194"/>
    <mergeCell ref="S195:V195"/>
    <mergeCell ref="S196:V196"/>
    <mergeCell ref="S187:V187"/>
    <mergeCell ref="S188:V188"/>
    <mergeCell ref="S189:V189"/>
    <mergeCell ref="S190:V190"/>
    <mergeCell ref="S191:V191"/>
    <mergeCell ref="P182:Q182"/>
    <mergeCell ref="R182:T182"/>
    <mergeCell ref="P183:Q183"/>
    <mergeCell ref="R183:T183"/>
    <mergeCell ref="S186:V186"/>
    <mergeCell ref="C131:D131"/>
    <mergeCell ref="G131:H131"/>
    <mergeCell ref="B140:F140"/>
    <mergeCell ref="P140:W140"/>
    <mergeCell ref="B181:F181"/>
    <mergeCell ref="P181:U181"/>
    <mergeCell ref="C128:D128"/>
    <mergeCell ref="G128:H128"/>
    <mergeCell ref="C129:D129"/>
    <mergeCell ref="G129:H129"/>
    <mergeCell ref="C130:D130"/>
    <mergeCell ref="G130:H130"/>
    <mergeCell ref="C125:D125"/>
    <mergeCell ref="G125:H125"/>
    <mergeCell ref="C126:D126"/>
    <mergeCell ref="G126:H126"/>
    <mergeCell ref="C127:D127"/>
    <mergeCell ref="G127:H127"/>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6:H131">
    <cfRule type="expression" dxfId="80" priority="4">
      <formula>$G126&gt;=0.8</formula>
    </cfRule>
    <cfRule type="expression" dxfId="79" priority="5">
      <formula>AND($G126&gt;=0.5,$G126&lt;0.8)</formula>
    </cfRule>
    <cfRule type="expression" dxfId="78" priority="6">
      <formula>$G126&lt;0.5</formula>
    </cfRule>
  </conditionalFormatting>
  <conditionalFormatting sqref="K126:K131">
    <cfRule type="cellIs" dxfId="77" priority="7" operator="greaterThan">
      <formula>0</formula>
    </cfRule>
  </conditionalFormatting>
  <conditionalFormatting sqref="L126:L131">
    <cfRule type="cellIs" dxfId="76" priority="8" operator="greaterThan">
      <formula>0</formula>
    </cfRule>
  </conditionalFormatting>
  <conditionalFormatting sqref="M126:M131">
    <cfRule type="cellIs" dxfId="75" priority="9" operator="greaterThan">
      <formula>0</formula>
    </cfRule>
  </conditionalFormatting>
  <conditionalFormatting sqref="N126:N131">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5" xr:uid="{00000000-0002-0000-0100-000000000000}">
      <formula1>0</formula1>
      <formula2>C16</formula2>
    </dataValidation>
    <dataValidation type="whole" allowBlank="1" showErrorMessage="1" errorTitle="Invalid count" error="Value must be between 0 and the current implemented total." sqref="S145" xr:uid="{00000000-0002-0000-0100-000001000000}">
      <formula1>0</formula1>
      <formula2>C88</formula2>
    </dataValidation>
    <dataValidation type="whole" allowBlank="1" showErrorMessage="1" errorTitle="Invalid count" error="Value must be between 0 and the current implemented total." sqref="U145" xr:uid="{00000000-0002-0000-0100-000002000000}">
      <formula1>0</formula1>
      <formula2>C89</formula2>
    </dataValidation>
    <dataValidation type="whole" allowBlank="1" showErrorMessage="1" errorTitle="Invalid count" error="Value must be between 0 and the current implemented total." sqref="W145" xr:uid="{00000000-0002-0000-0100-000003000000}">
      <formula1>0</formula1>
      <formula2>C90</formula2>
    </dataValidation>
    <dataValidation type="whole" allowBlank="1" showErrorMessage="1" errorTitle="Invalid overall count" error="Overall count must be between 0 and the current implemented total." sqref="Q146" xr:uid="{00000000-0002-0000-0100-000004000000}">
      <formula1>0</formula1>
      <formula2>C16</formula2>
    </dataValidation>
    <dataValidation type="whole" allowBlank="1" showErrorMessage="1" errorTitle="Invalid count" error="Value must be between 0 and the current implemented total." sqref="S146" xr:uid="{00000000-0002-0000-0100-000005000000}">
      <formula1>0</formula1>
      <formula2>C88</formula2>
    </dataValidation>
    <dataValidation type="whole" allowBlank="1" showErrorMessage="1" errorTitle="Invalid count" error="Value must be between 0 and the current implemented total." sqref="U146" xr:uid="{00000000-0002-0000-0100-000006000000}">
      <formula1>0</formula1>
      <formula2>C89</formula2>
    </dataValidation>
    <dataValidation type="whole" allowBlank="1" showErrorMessage="1" errorTitle="Invalid count" error="Value must be between 0 and the current implemented total." sqref="W146" xr:uid="{00000000-0002-0000-0100-000007000000}">
      <formula1>0</formula1>
      <formula2>C90</formula2>
    </dataValidation>
    <dataValidation type="whole" allowBlank="1" showErrorMessage="1" errorTitle="Invalid overall count" error="Overall count must be between 0 and the current implemented total." sqref="Q147" xr:uid="{00000000-0002-0000-0100-000008000000}">
      <formula1>0</formula1>
      <formula2>C16</formula2>
    </dataValidation>
    <dataValidation type="whole" allowBlank="1" showErrorMessage="1" errorTitle="Invalid count" error="Value must be between 0 and the current implemented total." sqref="S147" xr:uid="{00000000-0002-0000-0100-000009000000}">
      <formula1>0</formula1>
      <formula2>C88</formula2>
    </dataValidation>
    <dataValidation type="whole" allowBlank="1" showErrorMessage="1" errorTitle="Invalid count" error="Value must be between 0 and the current implemented total." sqref="U147" xr:uid="{00000000-0002-0000-0100-00000A000000}">
      <formula1>0</formula1>
      <formula2>C89</formula2>
    </dataValidation>
    <dataValidation type="whole" allowBlank="1" showErrorMessage="1" errorTitle="Invalid count" error="Value must be between 0 and the current implemented total." sqref="W147" xr:uid="{00000000-0002-0000-0100-00000B000000}">
      <formula1>0</formula1>
      <formula2>C90</formula2>
    </dataValidation>
    <dataValidation type="whole" allowBlank="1" showErrorMessage="1" errorTitle="Invalid overall count" error="Overall count must be between 0 and the current implemented total." sqref="Q148" xr:uid="{00000000-0002-0000-0100-00000C000000}">
      <formula1>0</formula1>
      <formula2>C16</formula2>
    </dataValidation>
    <dataValidation type="whole" allowBlank="1" showErrorMessage="1" errorTitle="Invalid count" error="Value must be between 0 and the current implemented total." sqref="S148" xr:uid="{00000000-0002-0000-0100-00000D000000}">
      <formula1>0</formula1>
      <formula2>C88</formula2>
    </dataValidation>
    <dataValidation type="whole" allowBlank="1" showErrorMessage="1" errorTitle="Invalid count" error="Value must be between 0 and the current implemented total." sqref="U148" xr:uid="{00000000-0002-0000-0100-00000E000000}">
      <formula1>0</formula1>
      <formula2>C89</formula2>
    </dataValidation>
    <dataValidation type="whole" allowBlank="1" showErrorMessage="1" errorTitle="Invalid count" error="Value must be between 0 and the current implemented total." sqref="W148" xr:uid="{00000000-0002-0000-0100-00000F000000}">
      <formula1>0</formula1>
      <formula2>C90</formula2>
    </dataValidation>
    <dataValidation type="whole" allowBlank="1" showErrorMessage="1" errorTitle="Invalid overall count" error="Overall count must be between 0 and the current implemented total." sqref="Q149" xr:uid="{00000000-0002-0000-0100-000010000000}">
      <formula1>0</formula1>
      <formula2>C16</formula2>
    </dataValidation>
    <dataValidation type="whole" allowBlank="1" showErrorMessage="1" errorTitle="Invalid count" error="Value must be between 0 and the current implemented total." sqref="S149" xr:uid="{00000000-0002-0000-0100-000011000000}">
      <formula1>0</formula1>
      <formula2>C88</formula2>
    </dataValidation>
    <dataValidation type="whole" allowBlank="1" showErrorMessage="1" errorTitle="Invalid count" error="Value must be between 0 and the current implemented total." sqref="U149" xr:uid="{00000000-0002-0000-0100-000012000000}">
      <formula1>0</formula1>
      <formula2>C89</formula2>
    </dataValidation>
    <dataValidation type="whole" allowBlank="1" showErrorMessage="1" errorTitle="Invalid count" error="Value must be between 0 and the current implemented total." sqref="W149" xr:uid="{00000000-0002-0000-0100-000013000000}">
      <formula1>0</formula1>
      <formula2>C90</formula2>
    </dataValidation>
    <dataValidation type="whole" allowBlank="1" showErrorMessage="1" errorTitle="Invalid overall count" error="Overall count must be between 0 and the current implemented total." sqref="Q150" xr:uid="{00000000-0002-0000-0100-000014000000}">
      <formula1>0</formula1>
      <formula2>C16</formula2>
    </dataValidation>
    <dataValidation type="whole" allowBlank="1" showErrorMessage="1" errorTitle="Invalid count" error="Value must be between 0 and the current implemented total." sqref="S150" xr:uid="{00000000-0002-0000-0100-000015000000}">
      <formula1>0</formula1>
      <formula2>C88</formula2>
    </dataValidation>
    <dataValidation type="whole" allowBlank="1" showErrorMessage="1" errorTitle="Invalid count" error="Value must be between 0 and the current implemented total." sqref="U150" xr:uid="{00000000-0002-0000-0100-000016000000}">
      <formula1>0</formula1>
      <formula2>C89</formula2>
    </dataValidation>
    <dataValidation type="whole" allowBlank="1" showErrorMessage="1" errorTitle="Invalid count" error="Value must be between 0 and the current implemented total." sqref="W150" xr:uid="{00000000-0002-0000-0100-000017000000}">
      <formula1>0</formula1>
      <formula2>C90</formula2>
    </dataValidation>
    <dataValidation type="whole" allowBlank="1" showErrorMessage="1" errorTitle="Invalid overall count" error="Overall count must be between 0 and the current implemented total." sqref="Q151" xr:uid="{00000000-0002-0000-0100-000018000000}">
      <formula1>0</formula1>
      <formula2>C16</formula2>
    </dataValidation>
    <dataValidation type="whole" allowBlank="1" showErrorMessage="1" errorTitle="Invalid count" error="Value must be between 0 and the current implemented total." sqref="S151" xr:uid="{00000000-0002-0000-0100-000019000000}">
      <formula1>0</formula1>
      <formula2>C88</formula2>
    </dataValidation>
    <dataValidation type="whole" allowBlank="1" showErrorMessage="1" errorTitle="Invalid count" error="Value must be between 0 and the current implemented total." sqref="U151" xr:uid="{00000000-0002-0000-0100-00001A000000}">
      <formula1>0</formula1>
      <formula2>C89</formula2>
    </dataValidation>
    <dataValidation type="whole" allowBlank="1" showErrorMessage="1" errorTitle="Invalid count" error="Value must be between 0 and the current implemented total." sqref="W151" xr:uid="{00000000-0002-0000-0100-00001B000000}">
      <formula1>0</formula1>
      <formula2>C90</formula2>
    </dataValidation>
    <dataValidation type="whole" allowBlank="1" showErrorMessage="1" errorTitle="Invalid overall count" error="Overall count must be between 0 and the current implemented total." sqref="Q152" xr:uid="{00000000-0002-0000-0100-00001C000000}">
      <formula1>0</formula1>
      <formula2>C16</formula2>
    </dataValidation>
    <dataValidation type="whole" allowBlank="1" showErrorMessage="1" errorTitle="Invalid count" error="Value must be between 0 and the current implemented total." sqref="S152" xr:uid="{00000000-0002-0000-0100-00001D000000}">
      <formula1>0</formula1>
      <formula2>C88</formula2>
    </dataValidation>
    <dataValidation type="whole" allowBlank="1" showErrorMessage="1" errorTitle="Invalid count" error="Value must be between 0 and the current implemented total." sqref="U152" xr:uid="{00000000-0002-0000-0100-00001E000000}">
      <formula1>0</formula1>
      <formula2>C89</formula2>
    </dataValidation>
    <dataValidation type="whole" allowBlank="1" showErrorMessage="1" errorTitle="Invalid count" error="Value must be between 0 and the current implemented total." sqref="W152" xr:uid="{00000000-0002-0000-0100-00001F000000}">
      <formula1>0</formula1>
      <formula2>C90</formula2>
    </dataValidation>
    <dataValidation type="whole" allowBlank="1" showErrorMessage="1" errorTitle="Invalid overall count" error="Overall count must be between 0 and the current implemented total." sqref="Q153" xr:uid="{00000000-0002-0000-0100-000020000000}">
      <formula1>0</formula1>
      <formula2>C16</formula2>
    </dataValidation>
    <dataValidation type="whole" allowBlank="1" showErrorMessage="1" errorTitle="Invalid count" error="Value must be between 0 and the current implemented total." sqref="S153" xr:uid="{00000000-0002-0000-0100-000021000000}">
      <formula1>0</formula1>
      <formula2>C88</formula2>
    </dataValidation>
    <dataValidation type="whole" allowBlank="1" showErrorMessage="1" errorTitle="Invalid count" error="Value must be between 0 and the current implemented total." sqref="U153" xr:uid="{00000000-0002-0000-0100-000022000000}">
      <formula1>0</formula1>
      <formula2>C89</formula2>
    </dataValidation>
    <dataValidation type="whole" allowBlank="1" showErrorMessage="1" errorTitle="Invalid count" error="Value must be between 0 and the current implemented total." sqref="W153" xr:uid="{00000000-0002-0000-0100-000023000000}">
      <formula1>0</formula1>
      <formula2>C90</formula2>
    </dataValidation>
    <dataValidation type="whole" allowBlank="1" showErrorMessage="1" errorTitle="Invalid overall count" error="Overall count must be between 0 and the current implemented total." sqref="Q154" xr:uid="{00000000-0002-0000-0100-000024000000}">
      <formula1>0</formula1>
      <formula2>C16</formula2>
    </dataValidation>
    <dataValidation type="whole" allowBlank="1" showErrorMessage="1" errorTitle="Invalid count" error="Value must be between 0 and the current implemented total." sqref="S154" xr:uid="{00000000-0002-0000-0100-000025000000}">
      <formula1>0</formula1>
      <formula2>C88</formula2>
    </dataValidation>
    <dataValidation type="whole" allowBlank="1" showErrorMessage="1" errorTitle="Invalid count" error="Value must be between 0 and the current implemented total." sqref="U154" xr:uid="{00000000-0002-0000-0100-000026000000}">
      <formula1>0</formula1>
      <formula2>C89</formula2>
    </dataValidation>
    <dataValidation type="whole" allowBlank="1" showErrorMessage="1" errorTitle="Invalid count" error="Value must be between 0 and the current implemented total." sqref="W154" xr:uid="{00000000-0002-0000-0100-000027000000}">
      <formula1>0</formula1>
      <formula2>C90</formula2>
    </dataValidation>
    <dataValidation type="whole" allowBlank="1" showErrorMessage="1" errorTitle="Invalid overall count" error="Overall count must be between 0 and the current implemented total." sqref="Q155" xr:uid="{00000000-0002-0000-0100-000028000000}">
      <formula1>0</formula1>
      <formula2>C16</formula2>
    </dataValidation>
    <dataValidation type="whole" allowBlank="1" showErrorMessage="1" errorTitle="Invalid count" error="Value must be between 0 and the current implemented total." sqref="S155" xr:uid="{00000000-0002-0000-0100-000029000000}">
      <formula1>0</formula1>
      <formula2>C88</formula2>
    </dataValidation>
    <dataValidation type="whole" allowBlank="1" showErrorMessage="1" errorTitle="Invalid count" error="Value must be between 0 and the current implemented total." sqref="U155" xr:uid="{00000000-0002-0000-0100-00002A000000}">
      <formula1>0</formula1>
      <formula2>C89</formula2>
    </dataValidation>
    <dataValidation type="whole" allowBlank="1" showErrorMessage="1" errorTitle="Invalid count" error="Value must be between 0 and the current implemented total." sqref="W155" xr:uid="{00000000-0002-0000-0100-00002B000000}">
      <formula1>0</formula1>
      <formula2>C90</formula2>
    </dataValidation>
    <dataValidation type="whole" allowBlank="1" showErrorMessage="1" errorTitle="Invalid overall count" error="Overall count must be between 0 and the current implemented total." sqref="Q156" xr:uid="{00000000-0002-0000-0100-00002C000000}">
      <formula1>0</formula1>
      <formula2>C16</formula2>
    </dataValidation>
    <dataValidation type="whole" allowBlank="1" showErrorMessage="1" errorTitle="Invalid count" error="Value must be between 0 and the current implemented total." sqref="S156" xr:uid="{00000000-0002-0000-0100-00002D000000}">
      <formula1>0</formula1>
      <formula2>C88</formula2>
    </dataValidation>
    <dataValidation type="whole" allowBlank="1" showErrorMessage="1" errorTitle="Invalid count" error="Value must be between 0 and the current implemented total." sqref="U156" xr:uid="{00000000-0002-0000-0100-00002E000000}">
      <formula1>0</formula1>
      <formula2>C89</formula2>
    </dataValidation>
    <dataValidation type="whole" allowBlank="1" showErrorMessage="1" errorTitle="Invalid count" error="Value must be between 0 and the current implemented total." sqref="W156" xr:uid="{00000000-0002-0000-0100-00002F000000}">
      <formula1>0</formula1>
      <formula2>C90</formula2>
    </dataValidation>
    <dataValidation type="whole" allowBlank="1" showErrorMessage="1" errorTitle="Invalid overall count" error="Overall count must be between 0 and the current implemented total." sqref="Q157" xr:uid="{00000000-0002-0000-0100-000030000000}">
      <formula1>0</formula1>
      <formula2>C16</formula2>
    </dataValidation>
    <dataValidation type="whole" allowBlank="1" showErrorMessage="1" errorTitle="Invalid count" error="Value must be between 0 and the current implemented total." sqref="S157" xr:uid="{00000000-0002-0000-0100-000031000000}">
      <formula1>0</formula1>
      <formula2>C88</formula2>
    </dataValidation>
    <dataValidation type="whole" allowBlank="1" showErrorMessage="1" errorTitle="Invalid count" error="Value must be between 0 and the current implemented total." sqref="U157" xr:uid="{00000000-0002-0000-0100-000032000000}">
      <formula1>0</formula1>
      <formula2>C89</formula2>
    </dataValidation>
    <dataValidation type="whole" allowBlank="1" showErrorMessage="1" errorTitle="Invalid count" error="Value must be between 0 and the current implemented total." sqref="W157" xr:uid="{00000000-0002-0000-0100-000033000000}">
      <formula1>0</formula1>
      <formula2>C90</formula2>
    </dataValidation>
    <dataValidation type="whole" allowBlank="1" showErrorMessage="1" errorTitle="Invalid overall count" error="Overall count must be between 0 and the current implemented total." sqref="Q158" xr:uid="{00000000-0002-0000-0100-000034000000}">
      <formula1>0</formula1>
      <formula2>C16</formula2>
    </dataValidation>
    <dataValidation type="whole" allowBlank="1" showErrorMessage="1" errorTitle="Invalid count" error="Value must be between 0 and the current implemented total." sqref="S158" xr:uid="{00000000-0002-0000-0100-000035000000}">
      <formula1>0</formula1>
      <formula2>C88</formula2>
    </dataValidation>
    <dataValidation type="whole" allowBlank="1" showErrorMessage="1" errorTitle="Invalid count" error="Value must be between 0 and the current implemented total." sqref="U158" xr:uid="{00000000-0002-0000-0100-000036000000}">
      <formula1>0</formula1>
      <formula2>C89</formula2>
    </dataValidation>
    <dataValidation type="whole" allowBlank="1" showErrorMessage="1" errorTitle="Invalid count" error="Value must be between 0 and the current implemented total." sqref="W158" xr:uid="{00000000-0002-0000-0100-000037000000}">
      <formula1>0</formula1>
      <formula2>C90</formula2>
    </dataValidation>
    <dataValidation type="whole" allowBlank="1" showErrorMessage="1" errorTitle="Invalid overall count" error="Overall count must be between 0 and the current implemented total." sqref="Q159" xr:uid="{00000000-0002-0000-0100-000038000000}">
      <formula1>0</formula1>
      <formula2>C16</formula2>
    </dataValidation>
    <dataValidation type="whole" allowBlank="1" showErrorMessage="1" errorTitle="Invalid count" error="Value must be between 0 and the current implemented total." sqref="S159" xr:uid="{00000000-0002-0000-0100-000039000000}">
      <formula1>0</formula1>
      <formula2>C88</formula2>
    </dataValidation>
    <dataValidation type="whole" allowBlank="1" showErrorMessage="1" errorTitle="Invalid count" error="Value must be between 0 and the current implemented total." sqref="U159" xr:uid="{00000000-0002-0000-0100-00003A000000}">
      <formula1>0</formula1>
      <formula2>C89</formula2>
    </dataValidation>
    <dataValidation type="whole" allowBlank="1" showErrorMessage="1" errorTitle="Invalid count" error="Value must be between 0 and the current implemented total." sqref="W159" xr:uid="{00000000-0002-0000-0100-00003B000000}">
      <formula1>0</formula1>
      <formula2>C90</formula2>
    </dataValidation>
    <dataValidation type="whole" allowBlank="1" showErrorMessage="1" errorTitle="Invalid overall count" error="Overall count must be between 0 and the current implemented total." sqref="Q160" xr:uid="{00000000-0002-0000-0100-00003C000000}">
      <formula1>0</formula1>
      <formula2>C16</formula2>
    </dataValidation>
    <dataValidation type="whole" allowBlank="1" showErrorMessage="1" errorTitle="Invalid count" error="Value must be between 0 and the current implemented total." sqref="S160" xr:uid="{00000000-0002-0000-0100-00003D000000}">
      <formula1>0</formula1>
      <formula2>C88</formula2>
    </dataValidation>
    <dataValidation type="whole" allowBlank="1" showErrorMessage="1" errorTitle="Invalid count" error="Value must be between 0 and the current implemented total." sqref="U160" xr:uid="{00000000-0002-0000-0100-00003E000000}">
      <formula1>0</formula1>
      <formula2>C89</formula2>
    </dataValidation>
    <dataValidation type="whole" allowBlank="1" showErrorMessage="1" errorTitle="Invalid count" error="Value must be between 0 and the current implemented total." sqref="W160" xr:uid="{00000000-0002-0000-0100-00003F000000}">
      <formula1>0</formula1>
      <formula2>C90</formula2>
    </dataValidation>
    <dataValidation type="whole" allowBlank="1" showErrorMessage="1" errorTitle="Invalid overall count" error="Overall count must be between 0 and the current implemented total." sqref="Q161" xr:uid="{00000000-0002-0000-0100-000040000000}">
      <formula1>0</formula1>
      <formula2>C16</formula2>
    </dataValidation>
    <dataValidation type="whole" allowBlank="1" showErrorMessage="1" errorTitle="Invalid count" error="Value must be between 0 and the current implemented total." sqref="S161" xr:uid="{00000000-0002-0000-0100-000041000000}">
      <formula1>0</formula1>
      <formula2>C88</formula2>
    </dataValidation>
    <dataValidation type="whole" allowBlank="1" showErrorMessage="1" errorTitle="Invalid count" error="Value must be between 0 and the current implemented total." sqref="U161" xr:uid="{00000000-0002-0000-0100-000042000000}">
      <formula1>0</formula1>
      <formula2>C89</formula2>
    </dataValidation>
    <dataValidation type="whole" allowBlank="1" showErrorMessage="1" errorTitle="Invalid count" error="Value must be between 0 and the current implemented total." sqref="W161" xr:uid="{00000000-0002-0000-0100-000043000000}">
      <formula1>0</formula1>
      <formula2>C90</formula2>
    </dataValidation>
    <dataValidation type="whole" allowBlank="1" showErrorMessage="1" errorTitle="Invalid overall count" error="Overall count must be between 0 and the current implemented total." sqref="Q162" xr:uid="{00000000-0002-0000-0100-000044000000}">
      <formula1>0</formula1>
      <formula2>C16</formula2>
    </dataValidation>
    <dataValidation type="whole" allowBlank="1" showErrorMessage="1" errorTitle="Invalid count" error="Value must be between 0 and the current implemented total." sqref="S162" xr:uid="{00000000-0002-0000-0100-000045000000}">
      <formula1>0</formula1>
      <formula2>C88</formula2>
    </dataValidation>
    <dataValidation type="whole" allowBlank="1" showErrorMessage="1" errorTitle="Invalid count" error="Value must be between 0 and the current implemented total." sqref="U162" xr:uid="{00000000-0002-0000-0100-000046000000}">
      <formula1>0</formula1>
      <formula2>C89</formula2>
    </dataValidation>
    <dataValidation type="whole" allowBlank="1" showErrorMessage="1" errorTitle="Invalid count" error="Value must be between 0 and the current implemented total." sqref="W162" xr:uid="{00000000-0002-0000-0100-000047000000}">
      <formula1>0</formula1>
      <formula2>C90</formula2>
    </dataValidation>
    <dataValidation type="whole" allowBlank="1" showErrorMessage="1" errorTitle="Invalid overall count" error="Overall count must be between 0 and the current implemented total." sqref="Q163" xr:uid="{00000000-0002-0000-0100-000048000000}">
      <formula1>0</formula1>
      <formula2>C16</formula2>
    </dataValidation>
    <dataValidation type="whole" allowBlank="1" showErrorMessage="1" errorTitle="Invalid count" error="Value must be between 0 and the current implemented total." sqref="S163" xr:uid="{00000000-0002-0000-0100-000049000000}">
      <formula1>0</formula1>
      <formula2>C88</formula2>
    </dataValidation>
    <dataValidation type="whole" allowBlank="1" showErrorMessage="1" errorTitle="Invalid count" error="Value must be between 0 and the current implemented total." sqref="U163" xr:uid="{00000000-0002-0000-0100-00004A000000}">
      <formula1>0</formula1>
      <formula2>C89</formula2>
    </dataValidation>
    <dataValidation type="whole" allowBlank="1" showErrorMessage="1" errorTitle="Invalid count" error="Value must be between 0 and the current implemented total." sqref="W163" xr:uid="{00000000-0002-0000-0100-00004B000000}">
      <formula1>0</formula1>
      <formula2>C90</formula2>
    </dataValidation>
    <dataValidation type="whole" allowBlank="1" showErrorMessage="1" errorTitle="Invalid overall count" error="Overall count must be between 0 and the current implemented total." sqref="Q164" xr:uid="{00000000-0002-0000-0100-00004C000000}">
      <formula1>0</formula1>
      <formula2>C16</formula2>
    </dataValidation>
    <dataValidation type="whole" allowBlank="1" showErrorMessage="1" errorTitle="Invalid count" error="Value must be between 0 and the current implemented total." sqref="S164" xr:uid="{00000000-0002-0000-0100-00004D000000}">
      <formula1>0</formula1>
      <formula2>C88</formula2>
    </dataValidation>
    <dataValidation type="whole" allowBlank="1" showErrorMessage="1" errorTitle="Invalid count" error="Value must be between 0 and the current implemented total." sqref="U164" xr:uid="{00000000-0002-0000-0100-00004E000000}">
      <formula1>0</formula1>
      <formula2>C89</formula2>
    </dataValidation>
    <dataValidation type="whole" allowBlank="1" showErrorMessage="1" errorTitle="Invalid count" error="Value must be between 0 and the current implemented total." sqref="W164" xr:uid="{00000000-0002-0000-0100-00004F000000}">
      <formula1>0</formula1>
      <formula2>C90</formula2>
    </dataValidation>
    <dataValidation type="whole" allowBlank="1" showErrorMessage="1" errorTitle="Invalid overall count" error="Overall count must be between 0 and the current implemented total." sqref="Q165" xr:uid="{00000000-0002-0000-0100-000050000000}">
      <formula1>0</formula1>
      <formula2>C16</formula2>
    </dataValidation>
    <dataValidation type="whole" allowBlank="1" showErrorMessage="1" errorTitle="Invalid count" error="Value must be between 0 and the current implemented total." sqref="S165" xr:uid="{00000000-0002-0000-0100-000051000000}">
      <formula1>0</formula1>
      <formula2>C88</formula2>
    </dataValidation>
    <dataValidation type="whole" allowBlank="1" showErrorMessage="1" errorTitle="Invalid count" error="Value must be between 0 and the current implemented total." sqref="U165" xr:uid="{00000000-0002-0000-0100-000052000000}">
      <formula1>0</formula1>
      <formula2>C89</formula2>
    </dataValidation>
    <dataValidation type="whole" allowBlank="1" showErrorMessage="1" errorTitle="Invalid count" error="Value must be between 0 and the current implemented total." sqref="W165" xr:uid="{00000000-0002-0000-0100-000053000000}">
      <formula1>0</formula1>
      <formula2>C90</formula2>
    </dataValidation>
    <dataValidation type="whole" allowBlank="1" showErrorMessage="1" errorTitle="Invalid overall count" error="Overall count must be between 0 and the current implemented total." sqref="Q166" xr:uid="{00000000-0002-0000-0100-000054000000}">
      <formula1>0</formula1>
      <formula2>C16</formula2>
    </dataValidation>
    <dataValidation type="whole" allowBlank="1" showErrorMessage="1" errorTitle="Invalid count" error="Value must be between 0 and the current implemented total." sqref="S166" xr:uid="{00000000-0002-0000-0100-000055000000}">
      <formula1>0</formula1>
      <formula2>C88</formula2>
    </dataValidation>
    <dataValidation type="whole" allowBlank="1" showErrorMessage="1" errorTitle="Invalid count" error="Value must be between 0 and the current implemented total." sqref="U166" xr:uid="{00000000-0002-0000-0100-000056000000}">
      <formula1>0</formula1>
      <formula2>C89</formula2>
    </dataValidation>
    <dataValidation type="whole" allowBlank="1" showErrorMessage="1" errorTitle="Invalid count" error="Value must be between 0 and the current implemented total." sqref="W166" xr:uid="{00000000-0002-0000-0100-000057000000}">
      <formula1>0</formula1>
      <formula2>C90</formula2>
    </dataValidation>
    <dataValidation type="whole" allowBlank="1" showErrorMessage="1" errorTitle="Invalid overall count" error="Overall count must be between 0 and the current implemented total." sqref="Q167" xr:uid="{00000000-0002-0000-0100-000058000000}">
      <formula1>0</formula1>
      <formula2>C16</formula2>
    </dataValidation>
    <dataValidation type="whole" allowBlank="1" showErrorMessage="1" errorTitle="Invalid count" error="Value must be between 0 and the current implemented total." sqref="S167" xr:uid="{00000000-0002-0000-0100-000059000000}">
      <formula1>0</formula1>
      <formula2>C88</formula2>
    </dataValidation>
    <dataValidation type="whole" allowBlank="1" showErrorMessage="1" errorTitle="Invalid count" error="Value must be between 0 and the current implemented total." sqref="U167" xr:uid="{00000000-0002-0000-0100-00005A000000}">
      <formula1>0</formula1>
      <formula2>C89</formula2>
    </dataValidation>
    <dataValidation type="whole" allowBlank="1" showErrorMessage="1" errorTitle="Invalid count" error="Value must be between 0 and the current implemented total." sqref="W167" xr:uid="{00000000-0002-0000-0100-00005B000000}">
      <formula1>0</formula1>
      <formula2>C90</formula2>
    </dataValidation>
    <dataValidation type="whole" allowBlank="1" showErrorMessage="1" errorTitle="Invalid overall count" error="Overall count must be between 0 and the current implemented total." sqref="Q168" xr:uid="{00000000-0002-0000-0100-00005C000000}">
      <formula1>0</formula1>
      <formula2>C16</formula2>
    </dataValidation>
    <dataValidation type="whole" allowBlank="1" showErrorMessage="1" errorTitle="Invalid count" error="Value must be between 0 and the current implemented total." sqref="S168" xr:uid="{00000000-0002-0000-0100-00005D000000}">
      <formula1>0</formula1>
      <formula2>C88</formula2>
    </dataValidation>
    <dataValidation type="whole" allowBlank="1" showErrorMessage="1" errorTitle="Invalid count" error="Value must be between 0 and the current implemented total." sqref="U168" xr:uid="{00000000-0002-0000-0100-00005E000000}">
      <formula1>0</formula1>
      <formula2>C89</formula2>
    </dataValidation>
    <dataValidation type="whole" allowBlank="1" showErrorMessage="1" errorTitle="Invalid count" error="Value must be between 0 and the current implemented total." sqref="W168" xr:uid="{00000000-0002-0000-0100-00005F000000}">
      <formula1>0</formula1>
      <formula2>C90</formula2>
    </dataValidation>
    <dataValidation type="whole" allowBlank="1" showErrorMessage="1" errorTitle="Invalid overall count" error="Overall count must be between 0 and the current implemented total." sqref="Q169" xr:uid="{00000000-0002-0000-0100-000060000000}">
      <formula1>0</formula1>
      <formula2>C16</formula2>
    </dataValidation>
    <dataValidation type="whole" allowBlank="1" showErrorMessage="1" errorTitle="Invalid count" error="Value must be between 0 and the current implemented total." sqref="S169" xr:uid="{00000000-0002-0000-0100-000061000000}">
      <formula1>0</formula1>
      <formula2>C88</formula2>
    </dataValidation>
    <dataValidation type="whole" allowBlank="1" showErrorMessage="1" errorTitle="Invalid count" error="Value must be between 0 and the current implemented total." sqref="U169" xr:uid="{00000000-0002-0000-0100-000062000000}">
      <formula1>0</formula1>
      <formula2>C89</formula2>
    </dataValidation>
    <dataValidation type="whole" allowBlank="1" showErrorMessage="1" errorTitle="Invalid count" error="Value must be between 0 and the current implemented total." sqref="W169" xr:uid="{00000000-0002-0000-0100-000063000000}">
      <formula1>0</formula1>
      <formula2>C90</formula2>
    </dataValidation>
    <dataValidation type="whole" allowBlank="1" showErrorMessage="1" errorTitle="Invalid overall count" error="Overall count must be between 0 and the current implemented total." sqref="Q170" xr:uid="{00000000-0002-0000-0100-000064000000}">
      <formula1>0</formula1>
      <formula2>C16</formula2>
    </dataValidation>
    <dataValidation type="whole" allowBlank="1" showErrorMessage="1" errorTitle="Invalid count" error="Value must be between 0 and the current implemented total." sqref="S170" xr:uid="{00000000-0002-0000-0100-000065000000}">
      <formula1>0</formula1>
      <formula2>C88</formula2>
    </dataValidation>
    <dataValidation type="whole" allowBlank="1" showErrorMessage="1" errorTitle="Invalid count" error="Value must be between 0 and the current implemented total." sqref="U170" xr:uid="{00000000-0002-0000-0100-000066000000}">
      <formula1>0</formula1>
      <formula2>C89</formula2>
    </dataValidation>
    <dataValidation type="whole" allowBlank="1" showErrorMessage="1" errorTitle="Invalid count" error="Value must be between 0 and the current implemented total." sqref="W170" xr:uid="{00000000-0002-0000-0100-000067000000}">
      <formula1>0</formula1>
      <formula2>C90</formula2>
    </dataValidation>
    <dataValidation type="whole" allowBlank="1" showErrorMessage="1" errorTitle="Invalid overall count" error="Overall count must be between 0 and the current implemented total." sqref="Q171" xr:uid="{00000000-0002-0000-0100-000068000000}">
      <formula1>0</formula1>
      <formula2>C16</formula2>
    </dataValidation>
    <dataValidation type="whole" allowBlank="1" showErrorMessage="1" errorTitle="Invalid count" error="Value must be between 0 and the current implemented total." sqref="S171" xr:uid="{00000000-0002-0000-0100-000069000000}">
      <formula1>0</formula1>
      <formula2>C88</formula2>
    </dataValidation>
    <dataValidation type="whole" allowBlank="1" showErrorMessage="1" errorTitle="Invalid count" error="Value must be between 0 and the current implemented total." sqref="U171" xr:uid="{00000000-0002-0000-0100-00006A000000}">
      <formula1>0</formula1>
      <formula2>C89</formula2>
    </dataValidation>
    <dataValidation type="whole" allowBlank="1" showErrorMessage="1" errorTitle="Invalid count" error="Value must be between 0 and the current implemented total." sqref="W171" xr:uid="{00000000-0002-0000-0100-00006B000000}">
      <formula1>0</formula1>
      <formula2>C90</formula2>
    </dataValidation>
    <dataValidation type="whole" allowBlank="1" showErrorMessage="1" errorTitle="Invalid overall count" error="Overall count must be between 0 and the current implemented total." sqref="Q172" xr:uid="{00000000-0002-0000-0100-00006C000000}">
      <formula1>0</formula1>
      <formula2>C16</formula2>
    </dataValidation>
    <dataValidation type="whole" allowBlank="1" showErrorMessage="1" errorTitle="Invalid count" error="Value must be between 0 and the current implemented total." sqref="S172" xr:uid="{00000000-0002-0000-0100-00006D000000}">
      <formula1>0</formula1>
      <formula2>C88</formula2>
    </dataValidation>
    <dataValidation type="whole" allowBlank="1" showErrorMessage="1" errorTitle="Invalid count" error="Value must be between 0 and the current implemented total." sqref="U172" xr:uid="{00000000-0002-0000-0100-00006E000000}">
      <formula1>0</formula1>
      <formula2>C89</formula2>
    </dataValidation>
    <dataValidation type="whole" allowBlank="1" showErrorMessage="1" errorTitle="Invalid count" error="Value must be between 0 and the current implemented total." sqref="W172" xr:uid="{00000000-0002-0000-0100-00006F000000}">
      <formula1>0</formula1>
      <formula2>C90</formula2>
    </dataValidation>
    <dataValidation type="whole" allowBlank="1" showErrorMessage="1" errorTitle="Invalid overall count" error="Overall count must be between 0 and the current implemented total." sqref="Q173" xr:uid="{00000000-0002-0000-0100-000070000000}">
      <formula1>0</formula1>
      <formula2>C16</formula2>
    </dataValidation>
    <dataValidation type="whole" allowBlank="1" showErrorMessage="1" errorTitle="Invalid count" error="Value must be between 0 and the current implemented total." sqref="S173" xr:uid="{00000000-0002-0000-0100-000071000000}">
      <formula1>0</formula1>
      <formula2>C88</formula2>
    </dataValidation>
    <dataValidation type="whole" allowBlank="1" showErrorMessage="1" errorTitle="Invalid count" error="Value must be between 0 and the current implemented total." sqref="U173" xr:uid="{00000000-0002-0000-0100-000072000000}">
      <formula1>0</formula1>
      <formula2>C89</formula2>
    </dataValidation>
    <dataValidation type="whole" allowBlank="1" showErrorMessage="1" errorTitle="Invalid count" error="Value must be between 0 and the current implemented total." sqref="W173" xr:uid="{00000000-0002-0000-0100-000073000000}">
      <formula1>0</formula1>
      <formula2>C90</formula2>
    </dataValidation>
    <dataValidation type="whole" allowBlank="1" showErrorMessage="1" errorTitle="Invalid overall count" error="Overall count must be between 0 and the current implemented total." sqref="Q174" xr:uid="{00000000-0002-0000-0100-000074000000}">
      <formula1>0</formula1>
      <formula2>C16</formula2>
    </dataValidation>
    <dataValidation type="whole" allowBlank="1" showErrorMessage="1" errorTitle="Invalid count" error="Value must be between 0 and the current implemented total." sqref="S174" xr:uid="{00000000-0002-0000-0100-000075000000}">
      <formula1>0</formula1>
      <formula2>C88</formula2>
    </dataValidation>
    <dataValidation type="whole" allowBlank="1" showErrorMessage="1" errorTitle="Invalid count" error="Value must be between 0 and the current implemented total." sqref="U174" xr:uid="{00000000-0002-0000-0100-000076000000}">
      <formula1>0</formula1>
      <formula2>C89</formula2>
    </dataValidation>
    <dataValidation type="whole" allowBlank="1" showErrorMessage="1" errorTitle="Invalid count" error="Value must be between 0 and the current implemented total." sqref="W174" xr:uid="{00000000-0002-0000-0100-000077000000}">
      <formula1>0</formula1>
      <formula2>C90</formula2>
    </dataValidation>
    <dataValidation type="whole" allowBlank="1" showErrorMessage="1" errorTitle="Invalid Asset Count" error="Value must be between 0 and the Total Asset Numbers above." sqref="Q187" xr:uid="{00000000-0002-0000-0100-000078000000}">
      <formula1>0</formula1>
      <formula2>$P183</formula2>
    </dataValidation>
    <dataValidation type="whole" allowBlank="1" showErrorMessage="1" errorTitle="Invalid Asset Count" error="Value must be between 0 and the Total Asset Numbers above." sqref="Q188" xr:uid="{00000000-0002-0000-0100-000079000000}">
      <formula1>0</formula1>
      <formula2>$P183</formula2>
    </dataValidation>
    <dataValidation type="whole" allowBlank="1" showErrorMessage="1" errorTitle="Invalid Asset Count" error="Value must be between 0 and the Total Asset Numbers above." sqref="Q189" xr:uid="{00000000-0002-0000-0100-00007A000000}">
      <formula1>0</formula1>
      <formula2>$P183</formula2>
    </dataValidation>
    <dataValidation type="whole" allowBlank="1" showErrorMessage="1" errorTitle="Invalid Asset Count" error="Value must be between 0 and the Total Asset Numbers above." sqref="Q190" xr:uid="{00000000-0002-0000-0100-00007B000000}">
      <formula1>0</formula1>
      <formula2>$P183</formula2>
    </dataValidation>
    <dataValidation type="whole" allowBlank="1" showErrorMessage="1" errorTitle="Invalid Asset Count" error="Value must be between 0 and the Total Asset Numbers above." sqref="Q191" xr:uid="{00000000-0002-0000-0100-00007C000000}">
      <formula1>0</formula1>
      <formula2>$P183</formula2>
    </dataValidation>
    <dataValidation type="whole" allowBlank="1" showErrorMessage="1" errorTitle="Invalid Asset Count" error="Value must be between 0 and the Total Asset Numbers above." sqref="Q192" xr:uid="{00000000-0002-0000-0100-00007D000000}">
      <formula1>0</formula1>
      <formula2>$P183</formula2>
    </dataValidation>
    <dataValidation type="whole" allowBlank="1" showErrorMessage="1" errorTitle="Invalid Asset Count" error="Value must be between 0 and the Total Asset Numbers above." sqref="Q193" xr:uid="{00000000-0002-0000-0100-00007E000000}">
      <formula1>0</formula1>
      <formula2>$P183</formula2>
    </dataValidation>
    <dataValidation type="whole" allowBlank="1" showErrorMessage="1" errorTitle="Invalid Asset Count" error="Value must be between 0 and the Total Asset Numbers above." sqref="Q194" xr:uid="{00000000-0002-0000-0100-00007F000000}">
      <formula1>0</formula1>
      <formula2>$P183</formula2>
    </dataValidation>
    <dataValidation type="whole" allowBlank="1" showErrorMessage="1" errorTitle="Invalid Asset Count" error="Value must be between 0 and the Total Asset Numbers above." sqref="Q195" xr:uid="{00000000-0002-0000-0100-000080000000}">
      <formula1>0</formula1>
      <formula2>$P183</formula2>
    </dataValidation>
    <dataValidation type="whole" allowBlank="1" showErrorMessage="1" errorTitle="Invalid Asset Count" error="Value must be between 0 and the Total Asset Numbers above." sqref="Q196" xr:uid="{00000000-0002-0000-0100-000081000000}">
      <formula1>0</formula1>
      <formula2>$P183</formula2>
    </dataValidation>
    <dataValidation type="whole" allowBlank="1" showErrorMessage="1" errorTitle="Invalid Asset Count" error="Value must be between 0 and the Total Asset Numbers above." sqref="Q197" xr:uid="{00000000-0002-0000-0100-000082000000}">
      <formula1>0</formula1>
      <formula2>$P183</formula2>
    </dataValidation>
    <dataValidation type="whole" allowBlank="1" showErrorMessage="1" errorTitle="Invalid Asset Count" error="Value must be between 0 and the Total Asset Numbers above." sqref="Q198" xr:uid="{00000000-0002-0000-0100-000083000000}">
      <formula1>0</formula1>
      <formula2>$P183</formula2>
    </dataValidation>
    <dataValidation type="whole" allowBlank="1" showErrorMessage="1" errorTitle="Invalid Asset Count" error="Value must be between 0 and the Total Asset Numbers above." sqref="Q199" xr:uid="{00000000-0002-0000-0100-000084000000}">
      <formula1>0</formula1>
      <formula2>$P183</formula2>
    </dataValidation>
    <dataValidation type="whole" allowBlank="1" showErrorMessage="1" errorTitle="Invalid Asset Count" error="Value must be between 0 and the Total Asset Numbers above." sqref="Q200" xr:uid="{00000000-0002-0000-0100-000085000000}">
      <formula1>0</formula1>
      <formula2>$P183</formula2>
    </dataValidation>
    <dataValidation type="whole" allowBlank="1" showErrorMessage="1" errorTitle="Invalid Asset Count" error="Value must be between 0 and the Total Asset Numbers above." sqref="Q201" xr:uid="{00000000-0002-0000-0100-000086000000}">
      <formula1>0</formula1>
      <formula2>$P183</formula2>
    </dataValidation>
    <dataValidation type="whole" allowBlank="1" showErrorMessage="1" errorTitle="Invalid Asset Count" error="Value must be between 0 and the Total Asset Numbers above." sqref="Q202" xr:uid="{00000000-0002-0000-0100-000087000000}">
      <formula1>0</formula1>
      <formula2>$P183</formula2>
    </dataValidation>
    <dataValidation type="whole" allowBlank="1" showErrorMessage="1" errorTitle="Invalid Asset Count" error="Value must be between 0 and the Total Asset Numbers above." sqref="Q203" xr:uid="{00000000-0002-0000-0100-000088000000}">
      <formula1>0</formula1>
      <formula2>$P183</formula2>
    </dataValidation>
    <dataValidation type="whole" allowBlank="1" showErrorMessage="1" errorTitle="Invalid Asset Count" error="Value must be between 0 and the Total Asset Numbers above." sqref="Q204" xr:uid="{00000000-0002-0000-0100-000089000000}">
      <formula1>0</formula1>
      <formula2>$P183</formula2>
    </dataValidation>
    <dataValidation type="whole" allowBlank="1" showErrorMessage="1" errorTitle="Invalid Asset Count" error="Value must be between 0 and the Total Asset Numbers above." sqref="Q205" xr:uid="{00000000-0002-0000-0100-00008A000000}">
      <formula1>0</formula1>
      <formula2>$P183</formula2>
    </dataValidation>
    <dataValidation type="whole" allowBlank="1" showErrorMessage="1" errorTitle="Invalid Asset Count" error="Value must be between 0 and the Total Asset Numbers above." sqref="Q206" xr:uid="{00000000-0002-0000-0100-00008B000000}">
      <formula1>0</formula1>
      <formula2>$P183</formula2>
    </dataValidation>
  </dataValidations>
  <hyperlinks>
    <hyperlink ref="B210"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3"/>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49"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29</v>
      </c>
      <c r="M4" s="4" t="str">
        <f t="shared" si="0"/>
        <v>Outstanding</v>
      </c>
      <c r="N4" s="13" t="s">
        <v>21</v>
      </c>
    </row>
    <row r="5" spans="1:14" ht="60" customHeight="1" x14ac:dyDescent="0.35">
      <c r="A5" s="11" t="s">
        <v>34</v>
      </c>
      <c r="B5" s="1" t="s">
        <v>35</v>
      </c>
      <c r="C5" s="2" t="s">
        <v>16</v>
      </c>
      <c r="D5" s="3" t="s">
        <v>17</v>
      </c>
      <c r="E5" s="4" t="s">
        <v>18</v>
      </c>
      <c r="F5" s="4" t="s">
        <v>19</v>
      </c>
      <c r="G5" s="4" t="s">
        <v>20</v>
      </c>
      <c r="H5" s="4" t="s">
        <v>21</v>
      </c>
      <c r="I5" s="5" t="s">
        <v>21</v>
      </c>
      <c r="J5" s="1" t="s">
        <v>36</v>
      </c>
      <c r="K5" s="1" t="s">
        <v>37</v>
      </c>
      <c r="L5" s="1" t="s">
        <v>38</v>
      </c>
      <c r="M5" s="4" t="str">
        <f t="shared" si="0"/>
        <v>Outstanding</v>
      </c>
      <c r="N5" s="13" t="s">
        <v>21</v>
      </c>
    </row>
    <row r="6" spans="1:14" ht="60" customHeight="1" x14ac:dyDescent="0.35">
      <c r="A6" s="11" t="s">
        <v>39</v>
      </c>
      <c r="B6" s="1" t="s">
        <v>40</v>
      </c>
      <c r="C6" s="2" t="s">
        <v>16</v>
      </c>
      <c r="D6" s="3" t="s">
        <v>17</v>
      </c>
      <c r="E6" s="4" t="s">
        <v>18</v>
      </c>
      <c r="F6" s="4" t="s">
        <v>19</v>
      </c>
      <c r="G6" s="4" t="s">
        <v>20</v>
      </c>
      <c r="H6" s="4" t="s">
        <v>21</v>
      </c>
      <c r="I6" s="5" t="s">
        <v>21</v>
      </c>
      <c r="J6" s="1" t="s">
        <v>41</v>
      </c>
      <c r="K6" s="1" t="s">
        <v>42</v>
      </c>
      <c r="L6" s="1" t="s">
        <v>43</v>
      </c>
      <c r="M6" s="4" t="str">
        <f t="shared" si="0"/>
        <v>Outstanding</v>
      </c>
      <c r="N6" s="13" t="s">
        <v>21</v>
      </c>
    </row>
    <row r="7" spans="1:14" ht="60" customHeight="1" x14ac:dyDescent="0.35">
      <c r="A7" s="11" t="s">
        <v>44</v>
      </c>
      <c r="B7" s="1" t="s">
        <v>45</v>
      </c>
      <c r="C7" s="2" t="s">
        <v>16</v>
      </c>
      <c r="D7" s="3" t="s">
        <v>17</v>
      </c>
      <c r="E7" s="4" t="s">
        <v>18</v>
      </c>
      <c r="F7" s="4" t="s">
        <v>19</v>
      </c>
      <c r="G7" s="4" t="s">
        <v>20</v>
      </c>
      <c r="H7" s="4" t="s">
        <v>21</v>
      </c>
      <c r="I7" s="5" t="s">
        <v>21</v>
      </c>
      <c r="J7" s="1" t="s">
        <v>46</v>
      </c>
      <c r="K7" s="1" t="s">
        <v>47</v>
      </c>
      <c r="L7" s="1" t="s">
        <v>48</v>
      </c>
      <c r="M7" s="4" t="str">
        <f t="shared" si="0"/>
        <v>Outstanding</v>
      </c>
      <c r="N7" s="13" t="s">
        <v>21</v>
      </c>
    </row>
    <row r="8" spans="1:14" ht="60" customHeight="1" x14ac:dyDescent="0.35">
      <c r="A8" s="11" t="s">
        <v>49</v>
      </c>
      <c r="B8" s="1" t="s">
        <v>50</v>
      </c>
      <c r="C8" s="2" t="s">
        <v>16</v>
      </c>
      <c r="D8" s="3" t="s">
        <v>17</v>
      </c>
      <c r="E8" s="4" t="s">
        <v>18</v>
      </c>
      <c r="F8" s="4" t="s">
        <v>19</v>
      </c>
      <c r="G8" s="4" t="s">
        <v>20</v>
      </c>
      <c r="H8" s="4" t="s">
        <v>21</v>
      </c>
      <c r="I8" s="5" t="s">
        <v>21</v>
      </c>
      <c r="J8" s="1" t="s">
        <v>51</v>
      </c>
      <c r="K8" s="1" t="s">
        <v>52</v>
      </c>
      <c r="L8" s="1" t="s">
        <v>53</v>
      </c>
      <c r="M8" s="4" t="str">
        <f t="shared" si="0"/>
        <v>Outstanding</v>
      </c>
      <c r="N8" s="13" t="s">
        <v>21</v>
      </c>
    </row>
    <row r="9" spans="1:14" ht="60" customHeight="1" x14ac:dyDescent="0.35">
      <c r="A9" s="11" t="s">
        <v>54</v>
      </c>
      <c r="B9" s="1" t="s">
        <v>55</v>
      </c>
      <c r="C9" s="2" t="s">
        <v>16</v>
      </c>
      <c r="D9" s="3" t="s">
        <v>17</v>
      </c>
      <c r="E9" s="4" t="s">
        <v>18</v>
      </c>
      <c r="F9" s="4" t="s">
        <v>19</v>
      </c>
      <c r="G9" s="4" t="s">
        <v>20</v>
      </c>
      <c r="H9" s="4" t="s">
        <v>21</v>
      </c>
      <c r="I9" s="5" t="s">
        <v>21</v>
      </c>
      <c r="J9" s="1" t="s">
        <v>56</v>
      </c>
      <c r="K9" s="1" t="s">
        <v>52</v>
      </c>
      <c r="L9" s="1" t="s">
        <v>57</v>
      </c>
      <c r="M9" s="4" t="str">
        <f t="shared" si="0"/>
        <v>Outstanding</v>
      </c>
      <c r="N9" s="13" t="s">
        <v>21</v>
      </c>
    </row>
    <row r="10" spans="1:14" ht="60" customHeight="1" x14ac:dyDescent="0.35">
      <c r="A10" s="11" t="s">
        <v>58</v>
      </c>
      <c r="B10" s="1" t="s">
        <v>59</v>
      </c>
      <c r="C10" s="2" t="s">
        <v>16</v>
      </c>
      <c r="D10" s="3" t="s">
        <v>17</v>
      </c>
      <c r="E10" s="4" t="s">
        <v>18</v>
      </c>
      <c r="F10" s="4" t="s">
        <v>19</v>
      </c>
      <c r="G10" s="4" t="s">
        <v>20</v>
      </c>
      <c r="H10" s="4" t="s">
        <v>21</v>
      </c>
      <c r="I10" s="5" t="s">
        <v>21</v>
      </c>
      <c r="J10" s="1" t="s">
        <v>60</v>
      </c>
      <c r="K10" s="1" t="s">
        <v>52</v>
      </c>
      <c r="L10" s="1" t="s">
        <v>61</v>
      </c>
      <c r="M10" s="4" t="str">
        <f t="shared" si="0"/>
        <v>Outstanding</v>
      </c>
      <c r="N10" s="13" t="s">
        <v>21</v>
      </c>
    </row>
    <row r="11" spans="1:14" ht="60" customHeight="1" x14ac:dyDescent="0.35">
      <c r="A11" s="11" t="s">
        <v>62</v>
      </c>
      <c r="B11" s="1" t="s">
        <v>63</v>
      </c>
      <c r="C11" s="2" t="s">
        <v>16</v>
      </c>
      <c r="D11" s="3" t="s">
        <v>17</v>
      </c>
      <c r="E11" s="4" t="s">
        <v>18</v>
      </c>
      <c r="F11" s="4" t="s">
        <v>19</v>
      </c>
      <c r="G11" s="4" t="s">
        <v>20</v>
      </c>
      <c r="H11" s="4" t="s">
        <v>21</v>
      </c>
      <c r="I11" s="5" t="s">
        <v>21</v>
      </c>
      <c r="J11" s="1" t="s">
        <v>64</v>
      </c>
      <c r="K11" s="1" t="s">
        <v>65</v>
      </c>
      <c r="L11" s="1" t="s">
        <v>66</v>
      </c>
      <c r="M11" s="4" t="str">
        <f t="shared" si="0"/>
        <v>Outstanding</v>
      </c>
      <c r="N11" s="13" t="s">
        <v>21</v>
      </c>
    </row>
    <row r="12" spans="1:14" ht="60" customHeight="1" x14ac:dyDescent="0.35">
      <c r="A12" s="11" t="s">
        <v>67</v>
      </c>
      <c r="B12" s="1" t="s">
        <v>68</v>
      </c>
      <c r="C12" s="2" t="s">
        <v>16</v>
      </c>
      <c r="D12" s="3" t="s">
        <v>17</v>
      </c>
      <c r="E12" s="4" t="s">
        <v>18</v>
      </c>
      <c r="F12" s="4" t="s">
        <v>19</v>
      </c>
      <c r="G12" s="4" t="s">
        <v>20</v>
      </c>
      <c r="H12" s="4" t="s">
        <v>21</v>
      </c>
      <c r="I12" s="5" t="s">
        <v>21</v>
      </c>
      <c r="J12" s="1" t="s">
        <v>69</v>
      </c>
      <c r="K12" s="1" t="s">
        <v>70</v>
      </c>
      <c r="L12" s="1" t="s">
        <v>71</v>
      </c>
      <c r="M12" s="4" t="str">
        <f t="shared" si="0"/>
        <v>Outstanding</v>
      </c>
      <c r="N12" s="13" t="s">
        <v>21</v>
      </c>
    </row>
    <row r="13" spans="1:14" ht="60" customHeight="1" x14ac:dyDescent="0.35">
      <c r="A13" s="11" t="s">
        <v>72</v>
      </c>
      <c r="B13" s="1" t="s">
        <v>73</v>
      </c>
      <c r="C13" s="2" t="s">
        <v>74</v>
      </c>
      <c r="D13" s="3" t="s">
        <v>17</v>
      </c>
      <c r="E13" s="4" t="s">
        <v>18</v>
      </c>
      <c r="F13" s="4" t="s">
        <v>19</v>
      </c>
      <c r="G13" s="4" t="s">
        <v>20</v>
      </c>
      <c r="H13" s="4" t="s">
        <v>21</v>
      </c>
      <c r="I13" s="5" t="s">
        <v>21</v>
      </c>
      <c r="J13" s="1" t="s">
        <v>75</v>
      </c>
      <c r="K13" s="1" t="s">
        <v>76</v>
      </c>
      <c r="L13" s="1" t="s">
        <v>77</v>
      </c>
      <c r="M13" s="4" t="str">
        <f t="shared" si="0"/>
        <v>Outstanding</v>
      </c>
      <c r="N13" s="13" t="s">
        <v>21</v>
      </c>
    </row>
    <row r="14" spans="1:14" ht="60" customHeight="1" x14ac:dyDescent="0.35">
      <c r="A14" s="11" t="s">
        <v>78</v>
      </c>
      <c r="B14" s="1" t="s">
        <v>79</v>
      </c>
      <c r="C14" s="2" t="s">
        <v>16</v>
      </c>
      <c r="D14" s="3" t="s">
        <v>17</v>
      </c>
      <c r="E14" s="4" t="s">
        <v>18</v>
      </c>
      <c r="F14" s="4" t="s">
        <v>19</v>
      </c>
      <c r="G14" s="4" t="s">
        <v>20</v>
      </c>
      <c r="H14" s="4" t="s">
        <v>21</v>
      </c>
      <c r="I14" s="5" t="s">
        <v>21</v>
      </c>
      <c r="J14" s="1" t="s">
        <v>80</v>
      </c>
      <c r="K14" s="1" t="s">
        <v>81</v>
      </c>
      <c r="L14" s="1" t="s">
        <v>82</v>
      </c>
      <c r="M14" s="4" t="str">
        <f t="shared" si="0"/>
        <v>Outstanding</v>
      </c>
      <c r="N14" s="13" t="s">
        <v>21</v>
      </c>
    </row>
    <row r="15" spans="1:14" ht="60" customHeight="1" x14ac:dyDescent="0.35">
      <c r="A15" s="11" t="s">
        <v>83</v>
      </c>
      <c r="B15" s="1" t="s">
        <v>84</v>
      </c>
      <c r="C15" s="2" t="s">
        <v>74</v>
      </c>
      <c r="D15" s="3" t="s">
        <v>17</v>
      </c>
      <c r="E15" s="4" t="s">
        <v>18</v>
      </c>
      <c r="F15" s="4" t="s">
        <v>19</v>
      </c>
      <c r="G15" s="4" t="s">
        <v>20</v>
      </c>
      <c r="H15" s="4" t="s">
        <v>21</v>
      </c>
      <c r="I15" s="5" t="s">
        <v>21</v>
      </c>
      <c r="J15" s="1" t="s">
        <v>85</v>
      </c>
      <c r="K15" s="1" t="s">
        <v>86</v>
      </c>
      <c r="L15" s="1" t="s">
        <v>77</v>
      </c>
      <c r="M15" s="4" t="str">
        <f t="shared" si="0"/>
        <v>Outstanding</v>
      </c>
      <c r="N15" s="13" t="s">
        <v>21</v>
      </c>
    </row>
    <row r="16" spans="1:14" ht="60" customHeight="1" x14ac:dyDescent="0.35">
      <c r="A16" s="11" t="s">
        <v>87</v>
      </c>
      <c r="B16" s="1" t="s">
        <v>88</v>
      </c>
      <c r="C16" s="2" t="s">
        <v>16</v>
      </c>
      <c r="D16" s="3" t="s">
        <v>17</v>
      </c>
      <c r="E16" s="4" t="s">
        <v>18</v>
      </c>
      <c r="F16" s="4" t="s">
        <v>19</v>
      </c>
      <c r="G16" s="4" t="s">
        <v>20</v>
      </c>
      <c r="H16" s="4" t="s">
        <v>21</v>
      </c>
      <c r="I16" s="5" t="s">
        <v>21</v>
      </c>
      <c r="J16" s="1" t="s">
        <v>89</v>
      </c>
      <c r="K16" s="1" t="s">
        <v>90</v>
      </c>
      <c r="L16" s="1" t="s">
        <v>91</v>
      </c>
      <c r="M16" s="4" t="str">
        <f t="shared" si="0"/>
        <v>Outstanding</v>
      </c>
      <c r="N16" s="13" t="s">
        <v>21</v>
      </c>
    </row>
    <row r="17" spans="1:14" ht="60" customHeight="1" x14ac:dyDescent="0.35">
      <c r="A17" s="11" t="s">
        <v>92</v>
      </c>
      <c r="B17" s="1" t="s">
        <v>93</v>
      </c>
      <c r="C17" s="2" t="s">
        <v>16</v>
      </c>
      <c r="D17" s="3" t="s">
        <v>17</v>
      </c>
      <c r="E17" s="4" t="s">
        <v>18</v>
      </c>
      <c r="F17" s="4" t="s">
        <v>19</v>
      </c>
      <c r="G17" s="4" t="s">
        <v>20</v>
      </c>
      <c r="H17" s="4" t="s">
        <v>21</v>
      </c>
      <c r="I17" s="5" t="s">
        <v>21</v>
      </c>
      <c r="J17" s="1" t="s">
        <v>94</v>
      </c>
      <c r="K17" s="1" t="s">
        <v>95</v>
      </c>
      <c r="L17" s="1" t="s">
        <v>96</v>
      </c>
      <c r="M17" s="4" t="str">
        <f t="shared" si="0"/>
        <v>Outstanding</v>
      </c>
      <c r="N17" s="13" t="s">
        <v>21</v>
      </c>
    </row>
    <row r="18" spans="1:14" ht="60" customHeight="1" x14ac:dyDescent="0.35">
      <c r="A18" s="11" t="s">
        <v>97</v>
      </c>
      <c r="B18" s="1" t="s">
        <v>98</v>
      </c>
      <c r="C18" s="2" t="s">
        <v>16</v>
      </c>
      <c r="D18" s="3" t="s">
        <v>17</v>
      </c>
      <c r="E18" s="4" t="s">
        <v>18</v>
      </c>
      <c r="F18" s="4" t="s">
        <v>19</v>
      </c>
      <c r="G18" s="4" t="s">
        <v>20</v>
      </c>
      <c r="H18" s="4" t="s">
        <v>21</v>
      </c>
      <c r="I18" s="5" t="s">
        <v>21</v>
      </c>
      <c r="J18" s="1" t="s">
        <v>99</v>
      </c>
      <c r="K18" s="1" t="s">
        <v>100</v>
      </c>
      <c r="L18" s="1" t="s">
        <v>101</v>
      </c>
      <c r="M18" s="4" t="str">
        <f t="shared" si="0"/>
        <v>Outstanding</v>
      </c>
      <c r="N18" s="13" t="s">
        <v>21</v>
      </c>
    </row>
    <row r="19" spans="1:14" ht="60" customHeight="1" x14ac:dyDescent="0.35">
      <c r="A19" s="11" t="s">
        <v>102</v>
      </c>
      <c r="B19" s="1" t="s">
        <v>103</v>
      </c>
      <c r="C19" s="2" t="s">
        <v>16</v>
      </c>
      <c r="D19" s="3" t="s">
        <v>17</v>
      </c>
      <c r="E19" s="4" t="s">
        <v>18</v>
      </c>
      <c r="F19" s="4" t="s">
        <v>19</v>
      </c>
      <c r="G19" s="4" t="s">
        <v>20</v>
      </c>
      <c r="H19" s="4" t="s">
        <v>21</v>
      </c>
      <c r="I19" s="5" t="s">
        <v>21</v>
      </c>
      <c r="J19" s="1" t="s">
        <v>104</v>
      </c>
      <c r="K19" s="1" t="s">
        <v>105</v>
      </c>
      <c r="L19" s="1" t="s">
        <v>106</v>
      </c>
      <c r="M19" s="4" t="str">
        <f t="shared" si="0"/>
        <v>Outstanding</v>
      </c>
      <c r="N19" s="13" t="s">
        <v>21</v>
      </c>
    </row>
    <row r="20" spans="1:14" ht="60" customHeight="1" x14ac:dyDescent="0.35">
      <c r="A20" s="11" t="s">
        <v>107</v>
      </c>
      <c r="B20" s="1" t="s">
        <v>108</v>
      </c>
      <c r="C20" s="2" t="s">
        <v>16</v>
      </c>
      <c r="D20" s="3" t="s">
        <v>17</v>
      </c>
      <c r="E20" s="4" t="s">
        <v>18</v>
      </c>
      <c r="F20" s="4" t="s">
        <v>19</v>
      </c>
      <c r="G20" s="4" t="s">
        <v>20</v>
      </c>
      <c r="H20" s="4" t="s">
        <v>21</v>
      </c>
      <c r="I20" s="5" t="s">
        <v>21</v>
      </c>
      <c r="J20" s="1" t="s">
        <v>109</v>
      </c>
      <c r="K20" s="1" t="s">
        <v>110</v>
      </c>
      <c r="L20" s="1" t="s">
        <v>111</v>
      </c>
      <c r="M20" s="4" t="str">
        <f t="shared" si="0"/>
        <v>Outstanding</v>
      </c>
      <c r="N20" s="13" t="s">
        <v>21</v>
      </c>
    </row>
    <row r="21" spans="1:14" ht="60" customHeight="1" x14ac:dyDescent="0.35">
      <c r="A21" s="11" t="s">
        <v>112</v>
      </c>
      <c r="B21" s="1" t="s">
        <v>113</v>
      </c>
      <c r="C21" s="2" t="s">
        <v>74</v>
      </c>
      <c r="D21" s="3" t="s">
        <v>17</v>
      </c>
      <c r="E21" s="4" t="s">
        <v>18</v>
      </c>
      <c r="F21" s="4" t="s">
        <v>19</v>
      </c>
      <c r="G21" s="4" t="s">
        <v>20</v>
      </c>
      <c r="H21" s="4" t="s">
        <v>21</v>
      </c>
      <c r="I21" s="5" t="s">
        <v>21</v>
      </c>
      <c r="J21" s="1" t="s">
        <v>114</v>
      </c>
      <c r="K21" s="1" t="s">
        <v>115</v>
      </c>
      <c r="L21" s="1" t="s">
        <v>116</v>
      </c>
      <c r="M21" s="4" t="str">
        <f t="shared" si="0"/>
        <v>Outstanding</v>
      </c>
      <c r="N21" s="13" t="s">
        <v>21</v>
      </c>
    </row>
    <row r="22" spans="1:14" ht="60" customHeight="1" x14ac:dyDescent="0.35">
      <c r="A22" s="11" t="s">
        <v>117</v>
      </c>
      <c r="B22" s="1" t="s">
        <v>118</v>
      </c>
      <c r="C22" s="2" t="s">
        <v>74</v>
      </c>
      <c r="D22" s="3" t="s">
        <v>17</v>
      </c>
      <c r="E22" s="4" t="s">
        <v>18</v>
      </c>
      <c r="F22" s="4" t="s">
        <v>19</v>
      </c>
      <c r="G22" s="4" t="s">
        <v>20</v>
      </c>
      <c r="H22" s="4" t="s">
        <v>21</v>
      </c>
      <c r="I22" s="5" t="s">
        <v>21</v>
      </c>
      <c r="J22" s="1" t="s">
        <v>119</v>
      </c>
      <c r="K22" s="1" t="s">
        <v>120</v>
      </c>
      <c r="L22" s="1" t="s">
        <v>121</v>
      </c>
      <c r="M22" s="4" t="str">
        <f t="shared" si="0"/>
        <v>Outstanding</v>
      </c>
      <c r="N22" s="13" t="s">
        <v>21</v>
      </c>
    </row>
    <row r="23" spans="1:14" ht="60" customHeight="1" x14ac:dyDescent="0.35">
      <c r="A23" s="11" t="s">
        <v>122</v>
      </c>
      <c r="B23" s="1" t="s">
        <v>123</v>
      </c>
      <c r="C23" s="2" t="s">
        <v>16</v>
      </c>
      <c r="D23" s="3" t="s">
        <v>17</v>
      </c>
      <c r="E23" s="4" t="s">
        <v>18</v>
      </c>
      <c r="F23" s="4" t="s">
        <v>19</v>
      </c>
      <c r="G23" s="4" t="s">
        <v>20</v>
      </c>
      <c r="H23" s="4" t="s">
        <v>21</v>
      </c>
      <c r="I23" s="5" t="s">
        <v>21</v>
      </c>
      <c r="J23" s="1" t="s">
        <v>124</v>
      </c>
      <c r="K23" s="1" t="s">
        <v>125</v>
      </c>
      <c r="L23" s="1" t="s">
        <v>126</v>
      </c>
      <c r="M23" s="4" t="str">
        <f t="shared" si="0"/>
        <v>Outstanding</v>
      </c>
      <c r="N23" s="13" t="s">
        <v>21</v>
      </c>
    </row>
    <row r="24" spans="1:14" ht="60" customHeight="1" x14ac:dyDescent="0.35">
      <c r="A24" s="11" t="s">
        <v>127</v>
      </c>
      <c r="B24" s="1" t="s">
        <v>128</v>
      </c>
      <c r="C24" s="2" t="s">
        <v>16</v>
      </c>
      <c r="D24" s="3" t="s">
        <v>17</v>
      </c>
      <c r="E24" s="4" t="s">
        <v>18</v>
      </c>
      <c r="F24" s="4" t="s">
        <v>19</v>
      </c>
      <c r="G24" s="4" t="s">
        <v>20</v>
      </c>
      <c r="H24" s="4" t="s">
        <v>21</v>
      </c>
      <c r="I24" s="5" t="s">
        <v>21</v>
      </c>
      <c r="J24" s="1" t="s">
        <v>129</v>
      </c>
      <c r="K24" s="1" t="s">
        <v>130</v>
      </c>
      <c r="L24" s="1" t="s">
        <v>131</v>
      </c>
      <c r="M24" s="4" t="str">
        <f t="shared" si="0"/>
        <v>Outstanding</v>
      </c>
      <c r="N24" s="13" t="s">
        <v>21</v>
      </c>
    </row>
    <row r="25" spans="1:14" ht="60" customHeight="1" x14ac:dyDescent="0.35">
      <c r="A25" s="11" t="s">
        <v>132</v>
      </c>
      <c r="B25" s="1" t="s">
        <v>133</v>
      </c>
      <c r="C25" s="2" t="s">
        <v>16</v>
      </c>
      <c r="D25" s="3" t="s">
        <v>17</v>
      </c>
      <c r="E25" s="4" t="s">
        <v>18</v>
      </c>
      <c r="F25" s="4" t="s">
        <v>19</v>
      </c>
      <c r="G25" s="4" t="s">
        <v>20</v>
      </c>
      <c r="H25" s="4" t="s">
        <v>21</v>
      </c>
      <c r="I25" s="5" t="s">
        <v>21</v>
      </c>
      <c r="J25" s="1" t="s">
        <v>134</v>
      </c>
      <c r="K25" s="1" t="s">
        <v>135</v>
      </c>
      <c r="L25" s="1" t="s">
        <v>136</v>
      </c>
      <c r="M25" s="4" t="str">
        <f t="shared" si="0"/>
        <v>Outstanding</v>
      </c>
      <c r="N25" s="13" t="s">
        <v>21</v>
      </c>
    </row>
    <row r="26" spans="1:14" ht="60" customHeight="1" x14ac:dyDescent="0.35">
      <c r="A26" s="11" t="s">
        <v>137</v>
      </c>
      <c r="B26" s="1" t="s">
        <v>138</v>
      </c>
      <c r="C26" s="2" t="s">
        <v>16</v>
      </c>
      <c r="D26" s="3" t="s">
        <v>139</v>
      </c>
      <c r="E26" s="4" t="s">
        <v>18</v>
      </c>
      <c r="F26" s="4" t="s">
        <v>19</v>
      </c>
      <c r="G26" s="4" t="s">
        <v>20</v>
      </c>
      <c r="H26" s="4" t="s">
        <v>21</v>
      </c>
      <c r="I26" s="5" t="s">
        <v>21</v>
      </c>
      <c r="J26" s="1" t="s">
        <v>140</v>
      </c>
      <c r="K26" s="1" t="s">
        <v>141</v>
      </c>
      <c r="L26" s="1" t="s">
        <v>142</v>
      </c>
      <c r="M26" s="4" t="str">
        <f t="shared" si="0"/>
        <v>Outstanding</v>
      </c>
      <c r="N26" s="13" t="s">
        <v>21</v>
      </c>
    </row>
    <row r="27" spans="1:14" ht="60" customHeight="1" x14ac:dyDescent="0.35">
      <c r="A27" s="11" t="s">
        <v>143</v>
      </c>
      <c r="B27" s="1" t="s">
        <v>144</v>
      </c>
      <c r="C27" s="2" t="s">
        <v>16</v>
      </c>
      <c r="D27" s="3" t="s">
        <v>139</v>
      </c>
      <c r="E27" s="4" t="s">
        <v>18</v>
      </c>
      <c r="F27" s="4" t="s">
        <v>19</v>
      </c>
      <c r="G27" s="4" t="s">
        <v>20</v>
      </c>
      <c r="H27" s="4" t="s">
        <v>21</v>
      </c>
      <c r="I27" s="5" t="s">
        <v>21</v>
      </c>
      <c r="J27" s="1" t="s">
        <v>145</v>
      </c>
      <c r="K27" s="1" t="s">
        <v>146</v>
      </c>
      <c r="L27" s="1" t="s">
        <v>147</v>
      </c>
      <c r="M27" s="4" t="str">
        <f t="shared" si="0"/>
        <v>Outstanding</v>
      </c>
      <c r="N27" s="13" t="s">
        <v>21</v>
      </c>
    </row>
    <row r="28" spans="1:14" ht="60" customHeight="1" x14ac:dyDescent="0.35">
      <c r="A28" s="11" t="s">
        <v>148</v>
      </c>
      <c r="B28" s="1" t="s">
        <v>149</v>
      </c>
      <c r="C28" s="2" t="s">
        <v>16</v>
      </c>
      <c r="D28" s="3" t="s">
        <v>139</v>
      </c>
      <c r="E28" s="4" t="s">
        <v>18</v>
      </c>
      <c r="F28" s="4" t="s">
        <v>19</v>
      </c>
      <c r="G28" s="4" t="s">
        <v>20</v>
      </c>
      <c r="H28" s="4" t="s">
        <v>21</v>
      </c>
      <c r="I28" s="5" t="s">
        <v>21</v>
      </c>
      <c r="J28" s="1" t="s">
        <v>150</v>
      </c>
      <c r="K28" s="1" t="s">
        <v>151</v>
      </c>
      <c r="L28" s="1" t="s">
        <v>152</v>
      </c>
      <c r="M28" s="4" t="str">
        <f t="shared" si="0"/>
        <v>Outstanding</v>
      </c>
      <c r="N28" s="13" t="s">
        <v>21</v>
      </c>
    </row>
    <row r="29" spans="1:14" ht="60" customHeight="1" x14ac:dyDescent="0.35">
      <c r="A29" s="11" t="s">
        <v>153</v>
      </c>
      <c r="B29" s="1" t="s">
        <v>154</v>
      </c>
      <c r="C29" s="2" t="s">
        <v>16</v>
      </c>
      <c r="D29" s="3" t="s">
        <v>139</v>
      </c>
      <c r="E29" s="4" t="s">
        <v>18</v>
      </c>
      <c r="F29" s="4" t="s">
        <v>19</v>
      </c>
      <c r="G29" s="4" t="s">
        <v>20</v>
      </c>
      <c r="H29" s="4" t="s">
        <v>21</v>
      </c>
      <c r="I29" s="5" t="s">
        <v>21</v>
      </c>
      <c r="J29" s="1" t="s">
        <v>155</v>
      </c>
      <c r="K29" s="1" t="s">
        <v>156</v>
      </c>
      <c r="L29" s="1" t="s">
        <v>157</v>
      </c>
      <c r="M29" s="4" t="str">
        <f t="shared" si="0"/>
        <v>Outstanding</v>
      </c>
      <c r="N29" s="13" t="s">
        <v>21</v>
      </c>
    </row>
    <row r="30" spans="1:14" ht="60" customHeight="1" x14ac:dyDescent="0.35">
      <c r="A30" s="11" t="s">
        <v>158</v>
      </c>
      <c r="B30" s="1" t="s">
        <v>159</v>
      </c>
      <c r="C30" s="2" t="s">
        <v>16</v>
      </c>
      <c r="D30" s="3" t="s">
        <v>139</v>
      </c>
      <c r="E30" s="4" t="s">
        <v>18</v>
      </c>
      <c r="F30" s="4" t="s">
        <v>19</v>
      </c>
      <c r="G30" s="4" t="s">
        <v>20</v>
      </c>
      <c r="H30" s="4" t="s">
        <v>21</v>
      </c>
      <c r="I30" s="5" t="s">
        <v>21</v>
      </c>
      <c r="J30" s="1" t="s">
        <v>160</v>
      </c>
      <c r="K30" s="1" t="s">
        <v>161</v>
      </c>
      <c r="L30" s="1" t="s">
        <v>162</v>
      </c>
      <c r="M30" s="4" t="str">
        <f t="shared" si="0"/>
        <v>Outstanding</v>
      </c>
      <c r="N30" s="13" t="s">
        <v>21</v>
      </c>
    </row>
    <row r="31" spans="1:14" ht="60" customHeight="1" x14ac:dyDescent="0.35">
      <c r="A31" s="11" t="s">
        <v>163</v>
      </c>
      <c r="B31" s="1" t="s">
        <v>164</v>
      </c>
      <c r="C31" s="2" t="s">
        <v>16</v>
      </c>
      <c r="D31" s="3" t="s">
        <v>139</v>
      </c>
      <c r="E31" s="4" t="s">
        <v>18</v>
      </c>
      <c r="F31" s="4" t="s">
        <v>19</v>
      </c>
      <c r="G31" s="4" t="s">
        <v>20</v>
      </c>
      <c r="H31" s="4" t="s">
        <v>21</v>
      </c>
      <c r="I31" s="5" t="s">
        <v>21</v>
      </c>
      <c r="J31" s="1" t="s">
        <v>165</v>
      </c>
      <c r="K31" s="1" t="s">
        <v>166</v>
      </c>
      <c r="L31" s="1" t="s">
        <v>167</v>
      </c>
      <c r="M31" s="4" t="str">
        <f t="shared" si="0"/>
        <v>Outstanding</v>
      </c>
      <c r="N31" s="13" t="s">
        <v>21</v>
      </c>
    </row>
    <row r="32" spans="1:14" ht="60" customHeight="1" x14ac:dyDescent="0.35">
      <c r="A32" s="11" t="s">
        <v>168</v>
      </c>
      <c r="B32" s="1" t="s">
        <v>169</v>
      </c>
      <c r="C32" s="2" t="s">
        <v>16</v>
      </c>
      <c r="D32" s="3" t="s">
        <v>139</v>
      </c>
      <c r="E32" s="4" t="s">
        <v>18</v>
      </c>
      <c r="F32" s="4" t="s">
        <v>19</v>
      </c>
      <c r="G32" s="4" t="s">
        <v>20</v>
      </c>
      <c r="H32" s="4" t="s">
        <v>21</v>
      </c>
      <c r="I32" s="5" t="s">
        <v>21</v>
      </c>
      <c r="J32" s="1" t="s">
        <v>170</v>
      </c>
      <c r="K32" s="1" t="s">
        <v>171</v>
      </c>
      <c r="L32" s="1" t="s">
        <v>172</v>
      </c>
      <c r="M32" s="4" t="str">
        <f t="shared" si="0"/>
        <v>Outstanding</v>
      </c>
      <c r="N32" s="13" t="s">
        <v>21</v>
      </c>
    </row>
    <row r="33" spans="1:14" ht="60" customHeight="1" x14ac:dyDescent="0.35">
      <c r="A33" s="11" t="s">
        <v>173</v>
      </c>
      <c r="B33" s="1" t="s">
        <v>174</v>
      </c>
      <c r="C33" s="2" t="s">
        <v>16</v>
      </c>
      <c r="D33" s="3" t="s">
        <v>139</v>
      </c>
      <c r="E33" s="4" t="s">
        <v>18</v>
      </c>
      <c r="F33" s="4" t="s">
        <v>19</v>
      </c>
      <c r="G33" s="4" t="s">
        <v>20</v>
      </c>
      <c r="H33" s="4" t="s">
        <v>21</v>
      </c>
      <c r="I33" s="5" t="s">
        <v>21</v>
      </c>
      <c r="J33" s="1" t="s">
        <v>175</v>
      </c>
      <c r="K33" s="1" t="s">
        <v>176</v>
      </c>
      <c r="L33" s="1" t="s">
        <v>177</v>
      </c>
      <c r="M33" s="4" t="str">
        <f t="shared" si="0"/>
        <v>Outstanding</v>
      </c>
      <c r="N33" s="13" t="s">
        <v>21</v>
      </c>
    </row>
    <row r="34" spans="1:14" ht="60" customHeight="1" x14ac:dyDescent="0.35">
      <c r="A34" s="11" t="s">
        <v>178</v>
      </c>
      <c r="B34" s="1" t="s">
        <v>179</v>
      </c>
      <c r="C34" s="2" t="s">
        <v>16</v>
      </c>
      <c r="D34" s="3" t="s">
        <v>139</v>
      </c>
      <c r="E34" s="4" t="s">
        <v>18</v>
      </c>
      <c r="F34" s="4" t="s">
        <v>19</v>
      </c>
      <c r="G34" s="4" t="s">
        <v>20</v>
      </c>
      <c r="H34" s="4" t="s">
        <v>21</v>
      </c>
      <c r="I34" s="5" t="s">
        <v>21</v>
      </c>
      <c r="J34" s="1" t="s">
        <v>180</v>
      </c>
      <c r="K34" s="1" t="s">
        <v>181</v>
      </c>
      <c r="L34" s="1" t="s">
        <v>182</v>
      </c>
      <c r="M34" s="4" t="str">
        <f t="shared" si="0"/>
        <v>Outstanding</v>
      </c>
      <c r="N34" s="13" t="s">
        <v>21</v>
      </c>
    </row>
    <row r="35" spans="1:14" ht="60" customHeight="1" x14ac:dyDescent="0.35">
      <c r="A35" s="11" t="s">
        <v>183</v>
      </c>
      <c r="B35" s="1" t="s">
        <v>184</v>
      </c>
      <c r="C35" s="2" t="s">
        <v>74</v>
      </c>
      <c r="D35" s="3" t="s">
        <v>139</v>
      </c>
      <c r="E35" s="4" t="s">
        <v>18</v>
      </c>
      <c r="F35" s="4" t="s">
        <v>19</v>
      </c>
      <c r="G35" s="4" t="s">
        <v>20</v>
      </c>
      <c r="H35" s="4" t="s">
        <v>21</v>
      </c>
      <c r="I35" s="5" t="s">
        <v>21</v>
      </c>
      <c r="J35" s="1" t="s">
        <v>185</v>
      </c>
      <c r="K35" s="1" t="s">
        <v>186</v>
      </c>
      <c r="L35" s="1" t="s">
        <v>187</v>
      </c>
      <c r="M35" s="4" t="str">
        <f t="shared" si="0"/>
        <v>Outstanding</v>
      </c>
      <c r="N35" s="13" t="s">
        <v>21</v>
      </c>
    </row>
    <row r="36" spans="1:14" ht="60" customHeight="1" x14ac:dyDescent="0.35">
      <c r="A36" s="11" t="s">
        <v>188</v>
      </c>
      <c r="B36" s="1" t="s">
        <v>189</v>
      </c>
      <c r="C36" s="2" t="s">
        <v>16</v>
      </c>
      <c r="D36" s="3" t="s">
        <v>139</v>
      </c>
      <c r="E36" s="4" t="s">
        <v>18</v>
      </c>
      <c r="F36" s="4" t="s">
        <v>19</v>
      </c>
      <c r="G36" s="4" t="s">
        <v>20</v>
      </c>
      <c r="H36" s="4" t="s">
        <v>21</v>
      </c>
      <c r="I36" s="5" t="s">
        <v>21</v>
      </c>
      <c r="J36" s="1" t="s">
        <v>190</v>
      </c>
      <c r="K36" s="1" t="s">
        <v>191</v>
      </c>
      <c r="L36" s="1" t="s">
        <v>192</v>
      </c>
      <c r="M36" s="4" t="str">
        <f t="shared" si="0"/>
        <v>Outstanding</v>
      </c>
      <c r="N36" s="13" t="s">
        <v>21</v>
      </c>
    </row>
    <row r="37" spans="1:14" ht="60" customHeight="1" x14ac:dyDescent="0.35">
      <c r="A37" s="11" t="s">
        <v>193</v>
      </c>
      <c r="B37" s="1" t="s">
        <v>194</v>
      </c>
      <c r="C37" s="2" t="s">
        <v>16</v>
      </c>
      <c r="D37" s="3" t="s">
        <v>139</v>
      </c>
      <c r="E37" s="4" t="s">
        <v>18</v>
      </c>
      <c r="F37" s="4" t="s">
        <v>19</v>
      </c>
      <c r="G37" s="4" t="s">
        <v>20</v>
      </c>
      <c r="H37" s="4" t="s">
        <v>21</v>
      </c>
      <c r="I37" s="5" t="s">
        <v>21</v>
      </c>
      <c r="J37" s="1" t="s">
        <v>190</v>
      </c>
      <c r="K37" s="1" t="s">
        <v>195</v>
      </c>
      <c r="L37" s="1" t="s">
        <v>196</v>
      </c>
      <c r="M37" s="4" t="str">
        <f t="shared" si="0"/>
        <v>Outstanding</v>
      </c>
      <c r="N37" s="13" t="s">
        <v>21</v>
      </c>
    </row>
    <row r="38" spans="1:14" ht="60" customHeight="1" x14ac:dyDescent="0.35">
      <c r="A38" s="11" t="s">
        <v>197</v>
      </c>
      <c r="B38" s="1" t="s">
        <v>198</v>
      </c>
      <c r="C38" s="2" t="s">
        <v>16</v>
      </c>
      <c r="D38" s="3" t="s">
        <v>139</v>
      </c>
      <c r="E38" s="4" t="s">
        <v>18</v>
      </c>
      <c r="F38" s="4" t="s">
        <v>19</v>
      </c>
      <c r="G38" s="4" t="s">
        <v>20</v>
      </c>
      <c r="H38" s="4" t="s">
        <v>21</v>
      </c>
      <c r="I38" s="5" t="s">
        <v>21</v>
      </c>
      <c r="J38" s="1" t="s">
        <v>199</v>
      </c>
      <c r="K38" s="1" t="s">
        <v>200</v>
      </c>
      <c r="L38" s="1" t="s">
        <v>201</v>
      </c>
      <c r="M38" s="4" t="str">
        <f t="shared" si="0"/>
        <v>Outstanding</v>
      </c>
      <c r="N38" s="13" t="s">
        <v>21</v>
      </c>
    </row>
    <row r="39" spans="1:14" ht="60" customHeight="1" x14ac:dyDescent="0.35">
      <c r="A39" s="11" t="s">
        <v>202</v>
      </c>
      <c r="B39" s="1" t="s">
        <v>203</v>
      </c>
      <c r="C39" s="2" t="s">
        <v>16</v>
      </c>
      <c r="D39" s="3" t="s">
        <v>139</v>
      </c>
      <c r="E39" s="4" t="s">
        <v>18</v>
      </c>
      <c r="F39" s="4" t="s">
        <v>19</v>
      </c>
      <c r="G39" s="4" t="s">
        <v>20</v>
      </c>
      <c r="H39" s="4" t="s">
        <v>21</v>
      </c>
      <c r="I39" s="5" t="s">
        <v>21</v>
      </c>
      <c r="J39" s="1" t="s">
        <v>204</v>
      </c>
      <c r="K39" s="1" t="s">
        <v>205</v>
      </c>
      <c r="L39" s="1" t="s">
        <v>206</v>
      </c>
      <c r="M39" s="4" t="str">
        <f t="shared" si="0"/>
        <v>Outstanding</v>
      </c>
      <c r="N39" s="13" t="s">
        <v>21</v>
      </c>
    </row>
    <row r="40" spans="1:14" ht="60" customHeight="1" x14ac:dyDescent="0.35">
      <c r="A40" s="11" t="s">
        <v>207</v>
      </c>
      <c r="B40" s="1" t="s">
        <v>208</v>
      </c>
      <c r="C40" s="2" t="s">
        <v>16</v>
      </c>
      <c r="D40" s="3" t="s">
        <v>139</v>
      </c>
      <c r="E40" s="4" t="s">
        <v>18</v>
      </c>
      <c r="F40" s="4" t="s">
        <v>19</v>
      </c>
      <c r="G40" s="4" t="s">
        <v>20</v>
      </c>
      <c r="H40" s="4" t="s">
        <v>21</v>
      </c>
      <c r="I40" s="5" t="s">
        <v>21</v>
      </c>
      <c r="J40" s="1" t="s">
        <v>209</v>
      </c>
      <c r="K40" s="1" t="s">
        <v>210</v>
      </c>
      <c r="L40" s="1" t="s">
        <v>211</v>
      </c>
      <c r="M40" s="4" t="str">
        <f t="shared" si="0"/>
        <v>Outstanding</v>
      </c>
      <c r="N40" s="13" t="s">
        <v>21</v>
      </c>
    </row>
    <row r="41" spans="1:14" ht="60" customHeight="1" x14ac:dyDescent="0.35">
      <c r="A41" s="11" t="s">
        <v>212</v>
      </c>
      <c r="B41" s="1" t="s">
        <v>213</v>
      </c>
      <c r="C41" s="2" t="s">
        <v>16</v>
      </c>
      <c r="D41" s="3" t="s">
        <v>139</v>
      </c>
      <c r="E41" s="4" t="s">
        <v>18</v>
      </c>
      <c r="F41" s="4" t="s">
        <v>19</v>
      </c>
      <c r="G41" s="4" t="s">
        <v>20</v>
      </c>
      <c r="H41" s="4" t="s">
        <v>21</v>
      </c>
      <c r="I41" s="5" t="s">
        <v>21</v>
      </c>
      <c r="J41" s="1" t="s">
        <v>214</v>
      </c>
      <c r="K41" s="1" t="s">
        <v>215</v>
      </c>
      <c r="L41" s="1" t="s">
        <v>216</v>
      </c>
      <c r="M41" s="4" t="str">
        <f t="shared" si="0"/>
        <v>Outstanding</v>
      </c>
      <c r="N41" s="13" t="s">
        <v>21</v>
      </c>
    </row>
    <row r="42" spans="1:14" ht="60" customHeight="1" x14ac:dyDescent="0.35">
      <c r="A42" s="11" t="s">
        <v>217</v>
      </c>
      <c r="B42" s="1" t="s">
        <v>218</v>
      </c>
      <c r="C42" s="2" t="s">
        <v>16</v>
      </c>
      <c r="D42" s="3" t="s">
        <v>139</v>
      </c>
      <c r="E42" s="4" t="s">
        <v>18</v>
      </c>
      <c r="F42" s="4" t="s">
        <v>19</v>
      </c>
      <c r="G42" s="4" t="s">
        <v>20</v>
      </c>
      <c r="H42" s="4" t="s">
        <v>21</v>
      </c>
      <c r="I42" s="5" t="s">
        <v>21</v>
      </c>
      <c r="J42" s="1" t="s">
        <v>219</v>
      </c>
      <c r="K42" s="1" t="s">
        <v>220</v>
      </c>
      <c r="L42" s="1" t="s">
        <v>221</v>
      </c>
      <c r="M42" s="4" t="str">
        <f t="shared" si="0"/>
        <v>Outstanding</v>
      </c>
      <c r="N42" s="13" t="s">
        <v>21</v>
      </c>
    </row>
    <row r="43" spans="1:14" ht="60" customHeight="1" x14ac:dyDescent="0.35">
      <c r="A43" s="11" t="s">
        <v>222</v>
      </c>
      <c r="B43" s="1" t="s">
        <v>223</v>
      </c>
      <c r="C43" s="2" t="s">
        <v>16</v>
      </c>
      <c r="D43" s="3" t="s">
        <v>139</v>
      </c>
      <c r="E43" s="4" t="s">
        <v>18</v>
      </c>
      <c r="F43" s="4" t="s">
        <v>19</v>
      </c>
      <c r="G43" s="4" t="s">
        <v>20</v>
      </c>
      <c r="H43" s="4" t="s">
        <v>21</v>
      </c>
      <c r="I43" s="5" t="s">
        <v>21</v>
      </c>
      <c r="J43" s="1" t="s">
        <v>219</v>
      </c>
      <c r="K43" s="1" t="s">
        <v>224</v>
      </c>
      <c r="L43" s="1" t="s">
        <v>225</v>
      </c>
      <c r="M43" s="4" t="str">
        <f t="shared" si="0"/>
        <v>Outstanding</v>
      </c>
      <c r="N43" s="13" t="s">
        <v>21</v>
      </c>
    </row>
    <row r="44" spans="1:14" ht="60" customHeight="1" x14ac:dyDescent="0.35">
      <c r="A44" s="11" t="s">
        <v>226</v>
      </c>
      <c r="B44" s="1" t="s">
        <v>227</v>
      </c>
      <c r="C44" s="2" t="s">
        <v>16</v>
      </c>
      <c r="D44" s="3" t="s">
        <v>139</v>
      </c>
      <c r="E44" s="4" t="s">
        <v>18</v>
      </c>
      <c r="F44" s="4" t="s">
        <v>19</v>
      </c>
      <c r="G44" s="4" t="s">
        <v>20</v>
      </c>
      <c r="H44" s="4" t="s">
        <v>21</v>
      </c>
      <c r="I44" s="5" t="s">
        <v>21</v>
      </c>
      <c r="J44" s="1" t="s">
        <v>228</v>
      </c>
      <c r="K44" s="1" t="s">
        <v>229</v>
      </c>
      <c r="L44" s="1" t="s">
        <v>230</v>
      </c>
      <c r="M44" s="4" t="str">
        <f t="shared" si="0"/>
        <v>Outstanding</v>
      </c>
      <c r="N44" s="13" t="s">
        <v>21</v>
      </c>
    </row>
    <row r="45" spans="1:14" ht="60" customHeight="1" x14ac:dyDescent="0.35">
      <c r="A45" s="11" t="s">
        <v>231</v>
      </c>
      <c r="B45" s="1" t="s">
        <v>232</v>
      </c>
      <c r="C45" s="2" t="s">
        <v>16</v>
      </c>
      <c r="D45" s="3" t="s">
        <v>139</v>
      </c>
      <c r="E45" s="4" t="s">
        <v>18</v>
      </c>
      <c r="F45" s="4" t="s">
        <v>19</v>
      </c>
      <c r="G45" s="4" t="s">
        <v>20</v>
      </c>
      <c r="H45" s="4" t="s">
        <v>21</v>
      </c>
      <c r="I45" s="5" t="s">
        <v>21</v>
      </c>
      <c r="J45" s="1" t="s">
        <v>233</v>
      </c>
      <c r="K45" s="1" t="s">
        <v>234</v>
      </c>
      <c r="L45" s="1" t="s">
        <v>235</v>
      </c>
      <c r="M45" s="4" t="str">
        <f t="shared" si="0"/>
        <v>Outstanding</v>
      </c>
      <c r="N45" s="13" t="s">
        <v>21</v>
      </c>
    </row>
    <row r="46" spans="1:14" ht="60" customHeight="1" x14ac:dyDescent="0.35">
      <c r="A46" s="11" t="s">
        <v>236</v>
      </c>
      <c r="B46" s="1" t="s">
        <v>237</v>
      </c>
      <c r="C46" s="2" t="s">
        <v>16</v>
      </c>
      <c r="D46" s="3" t="s">
        <v>139</v>
      </c>
      <c r="E46" s="4" t="s">
        <v>18</v>
      </c>
      <c r="F46" s="4" t="s">
        <v>19</v>
      </c>
      <c r="G46" s="4" t="s">
        <v>20</v>
      </c>
      <c r="H46" s="4" t="s">
        <v>21</v>
      </c>
      <c r="I46" s="5" t="s">
        <v>21</v>
      </c>
      <c r="J46" s="1" t="s">
        <v>238</v>
      </c>
      <c r="K46" s="1" t="s">
        <v>239</v>
      </c>
      <c r="L46" s="1" t="s">
        <v>240</v>
      </c>
      <c r="M46" s="4" t="str">
        <f t="shared" si="0"/>
        <v>Outstanding</v>
      </c>
      <c r="N46" s="13" t="s">
        <v>21</v>
      </c>
    </row>
    <row r="47" spans="1:14" ht="60" customHeight="1" x14ac:dyDescent="0.35">
      <c r="A47" s="11" t="s">
        <v>241</v>
      </c>
      <c r="B47" s="1" t="s">
        <v>242</v>
      </c>
      <c r="C47" s="2" t="s">
        <v>16</v>
      </c>
      <c r="D47" s="3" t="s">
        <v>139</v>
      </c>
      <c r="E47" s="4" t="s">
        <v>18</v>
      </c>
      <c r="F47" s="4" t="s">
        <v>19</v>
      </c>
      <c r="G47" s="4" t="s">
        <v>20</v>
      </c>
      <c r="H47" s="4" t="s">
        <v>21</v>
      </c>
      <c r="I47" s="5" t="s">
        <v>21</v>
      </c>
      <c r="J47" s="1" t="s">
        <v>243</v>
      </c>
      <c r="K47" s="1" t="s">
        <v>239</v>
      </c>
      <c r="L47" s="1" t="s">
        <v>244</v>
      </c>
      <c r="M47" s="4" t="str">
        <f t="shared" si="0"/>
        <v>Outstanding</v>
      </c>
      <c r="N47" s="13" t="s">
        <v>21</v>
      </c>
    </row>
    <row r="48" spans="1:14" ht="60" customHeight="1" x14ac:dyDescent="0.35">
      <c r="A48" s="11" t="s">
        <v>245</v>
      </c>
      <c r="B48" s="1" t="s">
        <v>246</v>
      </c>
      <c r="C48" s="2" t="s">
        <v>16</v>
      </c>
      <c r="D48" s="3" t="s">
        <v>139</v>
      </c>
      <c r="E48" s="4" t="s">
        <v>18</v>
      </c>
      <c r="F48" s="4" t="s">
        <v>19</v>
      </c>
      <c r="G48" s="4" t="s">
        <v>20</v>
      </c>
      <c r="H48" s="4" t="s">
        <v>21</v>
      </c>
      <c r="I48" s="5" t="s">
        <v>21</v>
      </c>
      <c r="J48" s="1" t="s">
        <v>247</v>
      </c>
      <c r="K48" s="1" t="s">
        <v>248</v>
      </c>
      <c r="L48" s="1" t="s">
        <v>249</v>
      </c>
      <c r="M48" s="4" t="str">
        <f t="shared" si="0"/>
        <v>Outstanding</v>
      </c>
      <c r="N48" s="13" t="s">
        <v>21</v>
      </c>
    </row>
    <row r="49" spans="1:14" ht="60" customHeight="1" x14ac:dyDescent="0.35">
      <c r="A49" s="11" t="s">
        <v>250</v>
      </c>
      <c r="B49" s="1" t="s">
        <v>251</v>
      </c>
      <c r="C49" s="2" t="s">
        <v>16</v>
      </c>
      <c r="D49" s="3" t="s">
        <v>139</v>
      </c>
      <c r="E49" s="4" t="s">
        <v>18</v>
      </c>
      <c r="F49" s="4" t="s">
        <v>19</v>
      </c>
      <c r="G49" s="4" t="s">
        <v>20</v>
      </c>
      <c r="H49" s="4" t="s">
        <v>21</v>
      </c>
      <c r="I49" s="5" t="s">
        <v>21</v>
      </c>
      <c r="J49" s="1" t="s">
        <v>252</v>
      </c>
      <c r="K49" s="1" t="s">
        <v>253</v>
      </c>
      <c r="L49" s="1" t="s">
        <v>254</v>
      </c>
      <c r="M49" s="4" t="str">
        <f t="shared" si="0"/>
        <v>Outstanding</v>
      </c>
      <c r="N49" s="13" t="s">
        <v>21</v>
      </c>
    </row>
    <row r="50" spans="1:14" ht="60" customHeight="1" x14ac:dyDescent="0.35">
      <c r="A50" s="11" t="s">
        <v>255</v>
      </c>
      <c r="B50" s="1" t="s">
        <v>256</v>
      </c>
      <c r="C50" s="2" t="s">
        <v>16</v>
      </c>
      <c r="D50" s="3" t="s">
        <v>139</v>
      </c>
      <c r="E50" s="4" t="s">
        <v>18</v>
      </c>
      <c r="F50" s="4" t="s">
        <v>19</v>
      </c>
      <c r="G50" s="4" t="s">
        <v>20</v>
      </c>
      <c r="H50" s="4" t="s">
        <v>21</v>
      </c>
      <c r="I50" s="5" t="s">
        <v>21</v>
      </c>
      <c r="J50" s="1" t="s">
        <v>257</v>
      </c>
      <c r="K50" s="1" t="s">
        <v>258</v>
      </c>
      <c r="L50" s="1" t="s">
        <v>259</v>
      </c>
      <c r="M50" s="4" t="str">
        <f t="shared" si="0"/>
        <v>Outstanding</v>
      </c>
      <c r="N50" s="13" t="s">
        <v>21</v>
      </c>
    </row>
    <row r="51" spans="1:14" ht="60" customHeight="1" x14ac:dyDescent="0.35">
      <c r="A51" s="11" t="s">
        <v>260</v>
      </c>
      <c r="B51" s="1" t="s">
        <v>261</v>
      </c>
      <c r="C51" s="2" t="s">
        <v>16</v>
      </c>
      <c r="D51" s="3" t="s">
        <v>139</v>
      </c>
      <c r="E51" s="4" t="s">
        <v>18</v>
      </c>
      <c r="F51" s="4" t="s">
        <v>19</v>
      </c>
      <c r="G51" s="4" t="s">
        <v>20</v>
      </c>
      <c r="H51" s="4" t="s">
        <v>21</v>
      </c>
      <c r="I51" s="5" t="s">
        <v>21</v>
      </c>
      <c r="J51" s="1" t="s">
        <v>262</v>
      </c>
      <c r="K51" s="1" t="s">
        <v>263</v>
      </c>
      <c r="L51" s="1" t="s">
        <v>264</v>
      </c>
      <c r="M51" s="4" t="str">
        <f t="shared" si="0"/>
        <v>Outstanding</v>
      </c>
      <c r="N51" s="13" t="s">
        <v>21</v>
      </c>
    </row>
    <row r="52" spans="1:14" ht="60" customHeight="1" x14ac:dyDescent="0.35">
      <c r="A52" s="11" t="s">
        <v>265</v>
      </c>
      <c r="B52" s="1" t="s">
        <v>266</v>
      </c>
      <c r="C52" s="2" t="s">
        <v>16</v>
      </c>
      <c r="D52" s="3" t="s">
        <v>139</v>
      </c>
      <c r="E52" s="4" t="s">
        <v>18</v>
      </c>
      <c r="F52" s="4" t="s">
        <v>19</v>
      </c>
      <c r="G52" s="4" t="s">
        <v>20</v>
      </c>
      <c r="H52" s="4" t="s">
        <v>21</v>
      </c>
      <c r="I52" s="5" t="s">
        <v>21</v>
      </c>
      <c r="J52" s="1" t="s">
        <v>267</v>
      </c>
      <c r="K52" s="1" t="s">
        <v>268</v>
      </c>
      <c r="L52" s="1" t="s">
        <v>269</v>
      </c>
      <c r="M52" s="4" t="str">
        <f t="shared" si="0"/>
        <v>Outstanding</v>
      </c>
      <c r="N52" s="13" t="s">
        <v>21</v>
      </c>
    </row>
    <row r="53" spans="1:14" ht="60" customHeight="1" x14ac:dyDescent="0.35">
      <c r="A53" s="11" t="s">
        <v>270</v>
      </c>
      <c r="B53" s="1" t="s">
        <v>271</v>
      </c>
      <c r="C53" s="2" t="s">
        <v>16</v>
      </c>
      <c r="D53" s="3" t="s">
        <v>139</v>
      </c>
      <c r="E53" s="4" t="s">
        <v>18</v>
      </c>
      <c r="F53" s="4" t="s">
        <v>19</v>
      </c>
      <c r="G53" s="4" t="s">
        <v>20</v>
      </c>
      <c r="H53" s="4" t="s">
        <v>21</v>
      </c>
      <c r="I53" s="5" t="s">
        <v>21</v>
      </c>
      <c r="J53" s="1" t="s">
        <v>272</v>
      </c>
      <c r="K53" s="1" t="s">
        <v>273</v>
      </c>
      <c r="L53" s="1" t="s">
        <v>274</v>
      </c>
      <c r="M53" s="4" t="str">
        <f t="shared" si="0"/>
        <v>Outstanding</v>
      </c>
      <c r="N53" s="13" t="s">
        <v>21</v>
      </c>
    </row>
    <row r="54" spans="1:14" ht="60" customHeight="1" x14ac:dyDescent="0.35">
      <c r="A54" s="11" t="s">
        <v>275</v>
      </c>
      <c r="B54" s="1" t="s">
        <v>276</v>
      </c>
      <c r="C54" s="2" t="s">
        <v>16</v>
      </c>
      <c r="D54" s="3" t="s">
        <v>277</v>
      </c>
      <c r="E54" s="4" t="s">
        <v>18</v>
      </c>
      <c r="F54" s="4" t="s">
        <v>19</v>
      </c>
      <c r="G54" s="4" t="s">
        <v>20</v>
      </c>
      <c r="H54" s="4" t="s">
        <v>21</v>
      </c>
      <c r="I54" s="5" t="s">
        <v>21</v>
      </c>
      <c r="J54" s="1" t="s">
        <v>278</v>
      </c>
      <c r="K54" s="1" t="s">
        <v>279</v>
      </c>
      <c r="L54" s="1" t="s">
        <v>280</v>
      </c>
      <c r="M54" s="4" t="str">
        <f t="shared" si="0"/>
        <v>Outstanding</v>
      </c>
      <c r="N54" s="13" t="s">
        <v>21</v>
      </c>
    </row>
    <row r="55" spans="1:14" ht="60" customHeight="1" x14ac:dyDescent="0.35">
      <c r="A55" s="11" t="s">
        <v>281</v>
      </c>
      <c r="B55" s="1" t="s">
        <v>282</v>
      </c>
      <c r="C55" s="2" t="s">
        <v>16</v>
      </c>
      <c r="D55" s="3" t="s">
        <v>277</v>
      </c>
      <c r="E55" s="4" t="s">
        <v>18</v>
      </c>
      <c r="F55" s="4" t="s">
        <v>19</v>
      </c>
      <c r="G55" s="4" t="s">
        <v>20</v>
      </c>
      <c r="H55" s="4" t="s">
        <v>21</v>
      </c>
      <c r="I55" s="5" t="s">
        <v>21</v>
      </c>
      <c r="J55" s="1" t="s">
        <v>283</v>
      </c>
      <c r="K55" s="1" t="s">
        <v>284</v>
      </c>
      <c r="L55" s="1" t="s">
        <v>285</v>
      </c>
      <c r="M55" s="4" t="str">
        <f t="shared" si="0"/>
        <v>Outstanding</v>
      </c>
      <c r="N55" s="13" t="s">
        <v>21</v>
      </c>
    </row>
    <row r="56" spans="1:14" ht="60" customHeight="1" x14ac:dyDescent="0.35">
      <c r="A56" s="11" t="s">
        <v>286</v>
      </c>
      <c r="B56" s="1" t="s">
        <v>287</v>
      </c>
      <c r="C56" s="2" t="s">
        <v>16</v>
      </c>
      <c r="D56" s="3" t="s">
        <v>277</v>
      </c>
      <c r="E56" s="4" t="s">
        <v>18</v>
      </c>
      <c r="F56" s="4" t="s">
        <v>19</v>
      </c>
      <c r="G56" s="4" t="s">
        <v>20</v>
      </c>
      <c r="H56" s="4" t="s">
        <v>21</v>
      </c>
      <c r="I56" s="5" t="s">
        <v>21</v>
      </c>
      <c r="J56" s="1" t="s">
        <v>288</v>
      </c>
      <c r="K56" s="1" t="s">
        <v>289</v>
      </c>
      <c r="L56" s="1" t="s">
        <v>290</v>
      </c>
      <c r="M56" s="4" t="str">
        <f t="shared" si="0"/>
        <v>Outstanding</v>
      </c>
      <c r="N56" s="13" t="s">
        <v>21</v>
      </c>
    </row>
    <row r="57" spans="1:14" ht="60" customHeight="1" x14ac:dyDescent="0.35">
      <c r="A57" s="11" t="s">
        <v>291</v>
      </c>
      <c r="B57" s="1" t="s">
        <v>292</v>
      </c>
      <c r="C57" s="2" t="s">
        <v>16</v>
      </c>
      <c r="D57" s="3" t="s">
        <v>277</v>
      </c>
      <c r="E57" s="4" t="s">
        <v>18</v>
      </c>
      <c r="F57" s="4" t="s">
        <v>19</v>
      </c>
      <c r="G57" s="4" t="s">
        <v>20</v>
      </c>
      <c r="H57" s="4" t="s">
        <v>21</v>
      </c>
      <c r="I57" s="5" t="s">
        <v>21</v>
      </c>
      <c r="J57" s="1" t="s">
        <v>293</v>
      </c>
      <c r="K57" s="1" t="s">
        <v>294</v>
      </c>
      <c r="L57" s="1" t="s">
        <v>295</v>
      </c>
      <c r="M57" s="4" t="str">
        <f t="shared" si="0"/>
        <v>Outstanding</v>
      </c>
      <c r="N57" s="13" t="s">
        <v>21</v>
      </c>
    </row>
    <row r="58" spans="1:14" ht="60" customHeight="1" x14ac:dyDescent="0.35">
      <c r="A58" s="11" t="s">
        <v>296</v>
      </c>
      <c r="B58" s="1" t="s">
        <v>297</v>
      </c>
      <c r="C58" s="2" t="s">
        <v>74</v>
      </c>
      <c r="D58" s="3" t="s">
        <v>277</v>
      </c>
      <c r="E58" s="4" t="s">
        <v>18</v>
      </c>
      <c r="F58" s="4" t="s">
        <v>19</v>
      </c>
      <c r="G58" s="4" t="s">
        <v>20</v>
      </c>
      <c r="H58" s="4" t="s">
        <v>21</v>
      </c>
      <c r="I58" s="5" t="s">
        <v>21</v>
      </c>
      <c r="J58" s="1" t="s">
        <v>298</v>
      </c>
      <c r="K58" s="1" t="s">
        <v>299</v>
      </c>
      <c r="L58" s="1" t="s">
        <v>300</v>
      </c>
      <c r="M58" s="4" t="str">
        <f t="shared" si="0"/>
        <v>Outstanding</v>
      </c>
      <c r="N58" s="13" t="s">
        <v>21</v>
      </c>
    </row>
    <row r="59" spans="1:14" ht="60" customHeight="1" x14ac:dyDescent="0.35">
      <c r="A59" s="11" t="s">
        <v>301</v>
      </c>
      <c r="B59" s="1" t="s">
        <v>302</v>
      </c>
      <c r="C59" s="2" t="s">
        <v>74</v>
      </c>
      <c r="D59" s="3" t="s">
        <v>277</v>
      </c>
      <c r="E59" s="4" t="s">
        <v>18</v>
      </c>
      <c r="F59" s="4" t="s">
        <v>19</v>
      </c>
      <c r="G59" s="4" t="s">
        <v>20</v>
      </c>
      <c r="H59" s="4" t="s">
        <v>21</v>
      </c>
      <c r="I59" s="5" t="s">
        <v>21</v>
      </c>
      <c r="J59" s="1" t="s">
        <v>303</v>
      </c>
      <c r="K59" s="1" t="s">
        <v>304</v>
      </c>
      <c r="L59" s="1" t="s">
        <v>305</v>
      </c>
      <c r="M59" s="4" t="str">
        <f t="shared" si="0"/>
        <v>Outstanding</v>
      </c>
      <c r="N59" s="13" t="s">
        <v>21</v>
      </c>
    </row>
    <row r="60" spans="1:14" ht="60" customHeight="1" x14ac:dyDescent="0.35">
      <c r="A60" s="11" t="s">
        <v>306</v>
      </c>
      <c r="B60" s="1" t="s">
        <v>307</v>
      </c>
      <c r="C60" s="2" t="s">
        <v>74</v>
      </c>
      <c r="D60" s="3" t="s">
        <v>277</v>
      </c>
      <c r="E60" s="4" t="s">
        <v>18</v>
      </c>
      <c r="F60" s="4" t="s">
        <v>19</v>
      </c>
      <c r="G60" s="4" t="s">
        <v>20</v>
      </c>
      <c r="H60" s="4" t="s">
        <v>21</v>
      </c>
      <c r="I60" s="5" t="s">
        <v>21</v>
      </c>
      <c r="J60" s="1" t="s">
        <v>308</v>
      </c>
      <c r="K60" s="1" t="s">
        <v>309</v>
      </c>
      <c r="L60" s="1" t="s">
        <v>310</v>
      </c>
      <c r="M60" s="4" t="str">
        <f t="shared" si="0"/>
        <v>Outstanding</v>
      </c>
      <c r="N60" s="13" t="s">
        <v>21</v>
      </c>
    </row>
    <row r="61" spans="1:14" ht="60" customHeight="1" x14ac:dyDescent="0.35">
      <c r="A61" s="11" t="s">
        <v>311</v>
      </c>
      <c r="B61" s="1" t="s">
        <v>312</v>
      </c>
      <c r="C61" s="2" t="s">
        <v>16</v>
      </c>
      <c r="D61" s="3" t="s">
        <v>277</v>
      </c>
      <c r="E61" s="4" t="s">
        <v>18</v>
      </c>
      <c r="F61" s="4" t="s">
        <v>19</v>
      </c>
      <c r="G61" s="4" t="s">
        <v>20</v>
      </c>
      <c r="H61" s="4" t="s">
        <v>21</v>
      </c>
      <c r="I61" s="5" t="s">
        <v>21</v>
      </c>
      <c r="J61" s="1" t="s">
        <v>313</v>
      </c>
      <c r="K61" s="1" t="s">
        <v>314</v>
      </c>
      <c r="L61" s="1" t="s">
        <v>315</v>
      </c>
      <c r="M61" s="4" t="str">
        <f t="shared" si="0"/>
        <v>Outstanding</v>
      </c>
      <c r="N61" s="13" t="s">
        <v>21</v>
      </c>
    </row>
    <row r="62" spans="1:14" ht="60" customHeight="1" x14ac:dyDescent="0.35">
      <c r="A62" s="11" t="s">
        <v>316</v>
      </c>
      <c r="B62" s="1" t="s">
        <v>317</v>
      </c>
      <c r="C62" s="2" t="s">
        <v>16</v>
      </c>
      <c r="D62" s="3" t="s">
        <v>277</v>
      </c>
      <c r="E62" s="4" t="s">
        <v>18</v>
      </c>
      <c r="F62" s="4" t="s">
        <v>19</v>
      </c>
      <c r="G62" s="4" t="s">
        <v>20</v>
      </c>
      <c r="H62" s="4" t="s">
        <v>21</v>
      </c>
      <c r="I62" s="5" t="s">
        <v>21</v>
      </c>
      <c r="J62" s="1" t="s">
        <v>318</v>
      </c>
      <c r="K62" s="1" t="s">
        <v>319</v>
      </c>
      <c r="L62" s="1" t="s">
        <v>320</v>
      </c>
      <c r="M62" s="4" t="str">
        <f t="shared" si="0"/>
        <v>Outstanding</v>
      </c>
      <c r="N62" s="13" t="s">
        <v>21</v>
      </c>
    </row>
    <row r="63" spans="1:14" ht="60" customHeight="1" x14ac:dyDescent="0.35">
      <c r="A63" s="11" t="s">
        <v>321</v>
      </c>
      <c r="B63" s="1" t="s">
        <v>322</v>
      </c>
      <c r="C63" s="2" t="s">
        <v>74</v>
      </c>
      <c r="D63" s="3" t="s">
        <v>277</v>
      </c>
      <c r="E63" s="4" t="s">
        <v>18</v>
      </c>
      <c r="F63" s="4" t="s">
        <v>19</v>
      </c>
      <c r="G63" s="4" t="s">
        <v>20</v>
      </c>
      <c r="H63" s="4" t="s">
        <v>21</v>
      </c>
      <c r="I63" s="5" t="s">
        <v>21</v>
      </c>
      <c r="J63" s="1" t="s">
        <v>323</v>
      </c>
      <c r="K63" s="1" t="s">
        <v>324</v>
      </c>
      <c r="L63" s="1" t="s">
        <v>325</v>
      </c>
      <c r="M63" s="4" t="str">
        <f t="shared" si="0"/>
        <v>Outstanding</v>
      </c>
      <c r="N63" s="13" t="s">
        <v>21</v>
      </c>
    </row>
    <row r="64" spans="1:14" ht="60" customHeight="1" x14ac:dyDescent="0.35">
      <c r="A64" s="11" t="s">
        <v>326</v>
      </c>
      <c r="B64" s="1" t="s">
        <v>327</v>
      </c>
      <c r="C64" s="2" t="s">
        <v>16</v>
      </c>
      <c r="D64" s="3" t="s">
        <v>277</v>
      </c>
      <c r="E64" s="4" t="s">
        <v>18</v>
      </c>
      <c r="F64" s="4" t="s">
        <v>19</v>
      </c>
      <c r="G64" s="4" t="s">
        <v>20</v>
      </c>
      <c r="H64" s="4" t="s">
        <v>21</v>
      </c>
      <c r="I64" s="5" t="s">
        <v>21</v>
      </c>
      <c r="J64" s="1" t="s">
        <v>328</v>
      </c>
      <c r="K64" s="1" t="s">
        <v>294</v>
      </c>
      <c r="L64" s="1" t="s">
        <v>329</v>
      </c>
      <c r="M64" s="4" t="str">
        <f t="shared" si="0"/>
        <v>Outstanding</v>
      </c>
      <c r="N64" s="13" t="s">
        <v>21</v>
      </c>
    </row>
    <row r="65" spans="1:14" ht="60" customHeight="1" x14ac:dyDescent="0.35">
      <c r="A65" s="11" t="s">
        <v>330</v>
      </c>
      <c r="B65" s="1" t="s">
        <v>331</v>
      </c>
      <c r="C65" s="2" t="s">
        <v>74</v>
      </c>
      <c r="D65" s="3" t="s">
        <v>277</v>
      </c>
      <c r="E65" s="4" t="s">
        <v>18</v>
      </c>
      <c r="F65" s="4" t="s">
        <v>19</v>
      </c>
      <c r="G65" s="4" t="s">
        <v>20</v>
      </c>
      <c r="H65" s="4" t="s">
        <v>21</v>
      </c>
      <c r="I65" s="5" t="s">
        <v>21</v>
      </c>
      <c r="J65" s="1" t="s">
        <v>332</v>
      </c>
      <c r="K65" s="1" t="s">
        <v>333</v>
      </c>
      <c r="L65" s="1" t="s">
        <v>334</v>
      </c>
      <c r="M65" s="4" t="str">
        <f t="shared" si="0"/>
        <v>Outstanding</v>
      </c>
      <c r="N65" s="13" t="s">
        <v>21</v>
      </c>
    </row>
    <row r="66" spans="1:14" ht="60" customHeight="1" x14ac:dyDescent="0.35">
      <c r="A66" s="11" t="s">
        <v>335</v>
      </c>
      <c r="B66" s="1" t="s">
        <v>336</v>
      </c>
      <c r="C66" s="2" t="s">
        <v>16</v>
      </c>
      <c r="D66" s="3" t="s">
        <v>277</v>
      </c>
      <c r="E66" s="4" t="s">
        <v>18</v>
      </c>
      <c r="F66" s="4" t="s">
        <v>19</v>
      </c>
      <c r="G66" s="4" t="s">
        <v>20</v>
      </c>
      <c r="H66" s="4" t="s">
        <v>21</v>
      </c>
      <c r="I66" s="5" t="s">
        <v>21</v>
      </c>
      <c r="J66" s="1" t="s">
        <v>337</v>
      </c>
      <c r="K66" s="1" t="s">
        <v>338</v>
      </c>
      <c r="L66" s="1" t="s">
        <v>339</v>
      </c>
      <c r="M66" s="4" t="str">
        <f t="shared" si="0"/>
        <v>Outstanding</v>
      </c>
      <c r="N66" s="13" t="s">
        <v>21</v>
      </c>
    </row>
    <row r="67" spans="1:14" ht="60" customHeight="1" x14ac:dyDescent="0.35">
      <c r="A67" s="11" t="s">
        <v>340</v>
      </c>
      <c r="B67" s="1" t="s">
        <v>341</v>
      </c>
      <c r="C67" s="2" t="s">
        <v>16</v>
      </c>
      <c r="D67" s="3" t="s">
        <v>277</v>
      </c>
      <c r="E67" s="4" t="s">
        <v>18</v>
      </c>
      <c r="F67" s="4" t="s">
        <v>19</v>
      </c>
      <c r="G67" s="4" t="s">
        <v>20</v>
      </c>
      <c r="H67" s="4" t="s">
        <v>21</v>
      </c>
      <c r="I67" s="5" t="s">
        <v>21</v>
      </c>
      <c r="J67" s="1" t="s">
        <v>342</v>
      </c>
      <c r="K67" s="1" t="s">
        <v>343</v>
      </c>
      <c r="L67" s="1" t="s">
        <v>344</v>
      </c>
      <c r="M67" s="4" t="str">
        <f t="shared" si="0"/>
        <v>Outstanding</v>
      </c>
      <c r="N67" s="13" t="s">
        <v>21</v>
      </c>
    </row>
    <row r="68" spans="1:14" ht="60" customHeight="1" x14ac:dyDescent="0.35">
      <c r="A68" s="11" t="s">
        <v>345</v>
      </c>
      <c r="B68" s="1" t="s">
        <v>346</v>
      </c>
      <c r="C68" s="2" t="s">
        <v>16</v>
      </c>
      <c r="D68" s="3" t="s">
        <v>277</v>
      </c>
      <c r="E68" s="4" t="s">
        <v>18</v>
      </c>
      <c r="F68" s="4" t="s">
        <v>19</v>
      </c>
      <c r="G68" s="4" t="s">
        <v>20</v>
      </c>
      <c r="H68" s="4" t="s">
        <v>21</v>
      </c>
      <c r="I68" s="5" t="s">
        <v>21</v>
      </c>
      <c r="J68" s="1" t="s">
        <v>347</v>
      </c>
      <c r="K68" s="1" t="s">
        <v>47</v>
      </c>
      <c r="L68" s="1" t="s">
        <v>48</v>
      </c>
      <c r="M68" s="4" t="str">
        <f t="shared" si="0"/>
        <v>Outstanding</v>
      </c>
      <c r="N68" s="13" t="s">
        <v>21</v>
      </c>
    </row>
    <row r="69" spans="1:14" ht="60" customHeight="1" x14ac:dyDescent="0.35">
      <c r="A69" s="11" t="s">
        <v>348</v>
      </c>
      <c r="B69" s="1" t="s">
        <v>349</v>
      </c>
      <c r="C69" s="2" t="s">
        <v>16</v>
      </c>
      <c r="D69" s="3" t="s">
        <v>277</v>
      </c>
      <c r="E69" s="4" t="s">
        <v>18</v>
      </c>
      <c r="F69" s="4" t="s">
        <v>19</v>
      </c>
      <c r="G69" s="4" t="s">
        <v>20</v>
      </c>
      <c r="H69" s="4" t="s">
        <v>21</v>
      </c>
      <c r="I69" s="5" t="s">
        <v>21</v>
      </c>
      <c r="J69" s="1" t="s">
        <v>350</v>
      </c>
      <c r="K69" s="1" t="s">
        <v>351</v>
      </c>
      <c r="L69" s="1" t="s">
        <v>352</v>
      </c>
      <c r="M69" s="4" t="str">
        <f t="shared" si="0"/>
        <v>Outstanding</v>
      </c>
      <c r="N69" s="13" t="s">
        <v>21</v>
      </c>
    </row>
    <row r="70" spans="1:14" ht="60" customHeight="1" x14ac:dyDescent="0.35">
      <c r="A70" s="11" t="s">
        <v>353</v>
      </c>
      <c r="B70" s="1" t="s">
        <v>354</v>
      </c>
      <c r="C70" s="2" t="s">
        <v>16</v>
      </c>
      <c r="D70" s="3" t="s">
        <v>277</v>
      </c>
      <c r="E70" s="4" t="s">
        <v>18</v>
      </c>
      <c r="F70" s="4" t="s">
        <v>19</v>
      </c>
      <c r="G70" s="4" t="s">
        <v>20</v>
      </c>
      <c r="H70" s="4" t="s">
        <v>21</v>
      </c>
      <c r="I70" s="5" t="s">
        <v>21</v>
      </c>
      <c r="J70" s="1" t="s">
        <v>355</v>
      </c>
      <c r="K70" s="1" t="s">
        <v>65</v>
      </c>
      <c r="L70" s="1" t="s">
        <v>66</v>
      </c>
      <c r="M70" s="4" t="str">
        <f t="shared" si="0"/>
        <v>Outstanding</v>
      </c>
      <c r="N70" s="13" t="s">
        <v>21</v>
      </c>
    </row>
    <row r="71" spans="1:14" ht="60" customHeight="1" x14ac:dyDescent="0.35">
      <c r="A71" s="11" t="s">
        <v>356</v>
      </c>
      <c r="B71" s="1" t="s">
        <v>357</v>
      </c>
      <c r="C71" s="2" t="s">
        <v>16</v>
      </c>
      <c r="D71" s="3" t="s">
        <v>277</v>
      </c>
      <c r="E71" s="4" t="s">
        <v>18</v>
      </c>
      <c r="F71" s="4" t="s">
        <v>19</v>
      </c>
      <c r="G71" s="4" t="s">
        <v>20</v>
      </c>
      <c r="H71" s="4" t="s">
        <v>21</v>
      </c>
      <c r="I71" s="5" t="s">
        <v>21</v>
      </c>
      <c r="J71" s="1" t="s">
        <v>358</v>
      </c>
      <c r="K71" s="1" t="s">
        <v>359</v>
      </c>
      <c r="L71" s="1" t="s">
        <v>360</v>
      </c>
      <c r="M71" s="4" t="str">
        <f t="shared" si="0"/>
        <v>Outstanding</v>
      </c>
      <c r="N71" s="13" t="s">
        <v>21</v>
      </c>
    </row>
    <row r="72" spans="1:14" ht="60" customHeight="1" x14ac:dyDescent="0.35">
      <c r="A72" s="11" t="s">
        <v>361</v>
      </c>
      <c r="B72" s="1" t="s">
        <v>362</v>
      </c>
      <c r="C72" s="2" t="s">
        <v>74</v>
      </c>
      <c r="D72" s="3" t="s">
        <v>277</v>
      </c>
      <c r="E72" s="4" t="s">
        <v>18</v>
      </c>
      <c r="F72" s="4" t="s">
        <v>19</v>
      </c>
      <c r="G72" s="4" t="s">
        <v>20</v>
      </c>
      <c r="H72" s="4" t="s">
        <v>21</v>
      </c>
      <c r="I72" s="5" t="s">
        <v>21</v>
      </c>
      <c r="J72" s="1" t="s">
        <v>363</v>
      </c>
      <c r="K72" s="1" t="s">
        <v>364</v>
      </c>
      <c r="L72" s="1" t="s">
        <v>365</v>
      </c>
      <c r="M72" s="4" t="str">
        <f t="shared" si="0"/>
        <v>Outstanding</v>
      </c>
      <c r="N72" s="13" t="s">
        <v>21</v>
      </c>
    </row>
    <row r="73" spans="1:14" ht="60" customHeight="1" x14ac:dyDescent="0.35">
      <c r="A73" s="11" t="s">
        <v>366</v>
      </c>
      <c r="B73" s="1" t="s">
        <v>367</v>
      </c>
      <c r="C73" s="2" t="s">
        <v>16</v>
      </c>
      <c r="D73" s="3" t="s">
        <v>277</v>
      </c>
      <c r="E73" s="4" t="s">
        <v>18</v>
      </c>
      <c r="F73" s="4" t="s">
        <v>19</v>
      </c>
      <c r="G73" s="4" t="s">
        <v>20</v>
      </c>
      <c r="H73" s="4" t="s">
        <v>21</v>
      </c>
      <c r="I73" s="5" t="s">
        <v>21</v>
      </c>
      <c r="J73" s="1" t="s">
        <v>368</v>
      </c>
      <c r="K73" s="1" t="s">
        <v>369</v>
      </c>
      <c r="L73" s="1" t="s">
        <v>370</v>
      </c>
      <c r="M73" s="4" t="str">
        <f t="shared" si="0"/>
        <v>Outstanding</v>
      </c>
      <c r="N73" s="13" t="s">
        <v>21</v>
      </c>
    </row>
    <row r="74" spans="1:14" ht="60" customHeight="1" x14ac:dyDescent="0.35">
      <c r="A74" s="11" t="s">
        <v>371</v>
      </c>
      <c r="B74" s="1" t="s">
        <v>372</v>
      </c>
      <c r="C74" s="2" t="s">
        <v>16</v>
      </c>
      <c r="D74" s="3" t="s">
        <v>277</v>
      </c>
      <c r="E74" s="4" t="s">
        <v>18</v>
      </c>
      <c r="F74" s="4" t="s">
        <v>19</v>
      </c>
      <c r="G74" s="4" t="s">
        <v>20</v>
      </c>
      <c r="H74" s="4" t="s">
        <v>21</v>
      </c>
      <c r="I74" s="5" t="s">
        <v>21</v>
      </c>
      <c r="J74" s="1" t="s">
        <v>373</v>
      </c>
      <c r="K74" s="1" t="s">
        <v>374</v>
      </c>
      <c r="L74" s="1" t="s">
        <v>375</v>
      </c>
      <c r="M74" s="4" t="str">
        <f t="shared" si="0"/>
        <v>Outstanding</v>
      </c>
      <c r="N74" s="13" t="s">
        <v>21</v>
      </c>
    </row>
    <row r="75" spans="1:14" ht="60" customHeight="1" x14ac:dyDescent="0.35">
      <c r="A75" s="11" t="s">
        <v>376</v>
      </c>
      <c r="B75" s="1" t="s">
        <v>377</v>
      </c>
      <c r="C75" s="2" t="s">
        <v>74</v>
      </c>
      <c r="D75" s="3" t="s">
        <v>277</v>
      </c>
      <c r="E75" s="4" t="s">
        <v>18</v>
      </c>
      <c r="F75" s="4" t="s">
        <v>19</v>
      </c>
      <c r="G75" s="4" t="s">
        <v>20</v>
      </c>
      <c r="H75" s="4" t="s">
        <v>21</v>
      </c>
      <c r="I75" s="5" t="s">
        <v>21</v>
      </c>
      <c r="J75" s="1" t="s">
        <v>378</v>
      </c>
      <c r="K75" s="1" t="s">
        <v>379</v>
      </c>
      <c r="L75" s="1" t="s">
        <v>380</v>
      </c>
      <c r="M75" s="4" t="str">
        <f t="shared" si="0"/>
        <v>Outstanding</v>
      </c>
      <c r="N75" s="13" t="s">
        <v>21</v>
      </c>
    </row>
    <row r="76" spans="1:14" ht="60" customHeight="1" x14ac:dyDescent="0.35">
      <c r="A76" s="11" t="s">
        <v>381</v>
      </c>
      <c r="B76" s="1" t="s">
        <v>382</v>
      </c>
      <c r="C76" s="2" t="s">
        <v>16</v>
      </c>
      <c r="D76" s="3" t="s">
        <v>277</v>
      </c>
      <c r="E76" s="4" t="s">
        <v>18</v>
      </c>
      <c r="F76" s="4" t="s">
        <v>19</v>
      </c>
      <c r="G76" s="4" t="s">
        <v>20</v>
      </c>
      <c r="H76" s="4" t="s">
        <v>21</v>
      </c>
      <c r="I76" s="5" t="s">
        <v>21</v>
      </c>
      <c r="J76" s="1" t="s">
        <v>383</v>
      </c>
      <c r="K76" s="1" t="s">
        <v>384</v>
      </c>
      <c r="L76" s="1" t="s">
        <v>385</v>
      </c>
      <c r="M76" s="4" t="str">
        <f t="shared" si="0"/>
        <v>Outstanding</v>
      </c>
      <c r="N76" s="13" t="s">
        <v>21</v>
      </c>
    </row>
    <row r="77" spans="1:14" ht="60" customHeight="1" x14ac:dyDescent="0.35">
      <c r="A77" s="11" t="s">
        <v>386</v>
      </c>
      <c r="B77" s="1" t="s">
        <v>387</v>
      </c>
      <c r="C77" s="2" t="s">
        <v>74</v>
      </c>
      <c r="D77" s="3" t="s">
        <v>277</v>
      </c>
      <c r="E77" s="4" t="s">
        <v>18</v>
      </c>
      <c r="F77" s="4" t="s">
        <v>19</v>
      </c>
      <c r="G77" s="4" t="s">
        <v>20</v>
      </c>
      <c r="H77" s="4" t="s">
        <v>21</v>
      </c>
      <c r="I77" s="5" t="s">
        <v>21</v>
      </c>
      <c r="J77" s="1" t="s">
        <v>388</v>
      </c>
      <c r="K77" s="1" t="s">
        <v>389</v>
      </c>
      <c r="L77" s="1" t="s">
        <v>390</v>
      </c>
      <c r="M77" s="4" t="str">
        <f t="shared" si="0"/>
        <v>Outstanding</v>
      </c>
      <c r="N77" s="13" t="s">
        <v>21</v>
      </c>
    </row>
    <row r="78" spans="1:14" ht="60" customHeight="1" x14ac:dyDescent="0.35">
      <c r="A78" s="11" t="s">
        <v>391</v>
      </c>
      <c r="B78" s="1" t="s">
        <v>392</v>
      </c>
      <c r="C78" s="2" t="s">
        <v>16</v>
      </c>
      <c r="D78" s="3" t="s">
        <v>277</v>
      </c>
      <c r="E78" s="4" t="s">
        <v>18</v>
      </c>
      <c r="F78" s="4" t="s">
        <v>19</v>
      </c>
      <c r="G78" s="4" t="s">
        <v>20</v>
      </c>
      <c r="H78" s="4" t="s">
        <v>21</v>
      </c>
      <c r="I78" s="5" t="s">
        <v>21</v>
      </c>
      <c r="J78" s="1" t="s">
        <v>393</v>
      </c>
      <c r="K78" s="1" t="s">
        <v>394</v>
      </c>
      <c r="L78" s="1" t="s">
        <v>395</v>
      </c>
      <c r="M78" s="4" t="str">
        <f t="shared" si="0"/>
        <v>Outstanding</v>
      </c>
      <c r="N78" s="13" t="s">
        <v>21</v>
      </c>
    </row>
    <row r="79" spans="1:14" ht="60" customHeight="1" x14ac:dyDescent="0.35">
      <c r="A79" s="11" t="s">
        <v>396</v>
      </c>
      <c r="B79" s="1" t="s">
        <v>397</v>
      </c>
      <c r="C79" s="2" t="s">
        <v>16</v>
      </c>
      <c r="D79" s="3" t="s">
        <v>277</v>
      </c>
      <c r="E79" s="4" t="s">
        <v>18</v>
      </c>
      <c r="F79" s="4" t="s">
        <v>19</v>
      </c>
      <c r="G79" s="4" t="s">
        <v>20</v>
      </c>
      <c r="H79" s="4" t="s">
        <v>21</v>
      </c>
      <c r="I79" s="5" t="s">
        <v>21</v>
      </c>
      <c r="J79" s="1" t="s">
        <v>398</v>
      </c>
      <c r="K79" s="1" t="s">
        <v>399</v>
      </c>
      <c r="L79" s="1" t="s">
        <v>400</v>
      </c>
      <c r="M79" s="4" t="str">
        <f t="shared" si="0"/>
        <v>Outstanding</v>
      </c>
      <c r="N79" s="13" t="s">
        <v>21</v>
      </c>
    </row>
    <row r="80" spans="1:14" ht="60" customHeight="1" x14ac:dyDescent="0.35">
      <c r="A80" s="11" t="s">
        <v>401</v>
      </c>
      <c r="B80" s="1" t="s">
        <v>402</v>
      </c>
      <c r="C80" s="2" t="s">
        <v>16</v>
      </c>
      <c r="D80" s="3" t="s">
        <v>277</v>
      </c>
      <c r="E80" s="4" t="s">
        <v>18</v>
      </c>
      <c r="F80" s="4" t="s">
        <v>19</v>
      </c>
      <c r="G80" s="4" t="s">
        <v>20</v>
      </c>
      <c r="H80" s="4" t="s">
        <v>21</v>
      </c>
      <c r="I80" s="5" t="s">
        <v>21</v>
      </c>
      <c r="J80" s="1" t="s">
        <v>403</v>
      </c>
      <c r="K80" s="1" t="s">
        <v>404</v>
      </c>
      <c r="L80" s="1" t="s">
        <v>405</v>
      </c>
      <c r="M80" s="4" t="str">
        <f t="shared" si="0"/>
        <v>Outstanding</v>
      </c>
      <c r="N80" s="13" t="s">
        <v>21</v>
      </c>
    </row>
    <row r="81" spans="1:14" ht="60" customHeight="1" x14ac:dyDescent="0.35">
      <c r="A81" s="11" t="s">
        <v>406</v>
      </c>
      <c r="B81" s="1" t="s">
        <v>407</v>
      </c>
      <c r="C81" s="2" t="s">
        <v>16</v>
      </c>
      <c r="D81" s="3" t="s">
        <v>277</v>
      </c>
      <c r="E81" s="4" t="s">
        <v>18</v>
      </c>
      <c r="F81" s="4" t="s">
        <v>19</v>
      </c>
      <c r="G81" s="4" t="s">
        <v>20</v>
      </c>
      <c r="H81" s="4" t="s">
        <v>21</v>
      </c>
      <c r="I81" s="5" t="s">
        <v>21</v>
      </c>
      <c r="J81" s="1" t="s">
        <v>408</v>
      </c>
      <c r="K81" s="1" t="s">
        <v>409</v>
      </c>
      <c r="L81" s="1" t="s">
        <v>410</v>
      </c>
      <c r="M81" s="4" t="str">
        <f t="shared" si="0"/>
        <v>Outstanding</v>
      </c>
      <c r="N81" s="13" t="s">
        <v>21</v>
      </c>
    </row>
    <row r="82" spans="1:14" ht="60" customHeight="1" x14ac:dyDescent="0.35">
      <c r="A82" s="11" t="s">
        <v>411</v>
      </c>
      <c r="B82" s="1" t="s">
        <v>412</v>
      </c>
      <c r="C82" s="2" t="s">
        <v>413</v>
      </c>
      <c r="D82" s="3" t="s">
        <v>414</v>
      </c>
      <c r="E82" s="4" t="s">
        <v>18</v>
      </c>
      <c r="F82" s="4" t="s">
        <v>19</v>
      </c>
      <c r="G82" s="4" t="s">
        <v>20</v>
      </c>
      <c r="H82" s="4" t="s">
        <v>21</v>
      </c>
      <c r="I82" s="5" t="s">
        <v>21</v>
      </c>
      <c r="J82" s="1" t="s">
        <v>415</v>
      </c>
      <c r="K82" s="1" t="s">
        <v>416</v>
      </c>
      <c r="L82" s="1" t="s">
        <v>417</v>
      </c>
      <c r="M82" s="4" t="str">
        <f t="shared" si="0"/>
        <v>Outstanding</v>
      </c>
      <c r="N82" s="13" t="s">
        <v>21</v>
      </c>
    </row>
    <row r="83" spans="1:14" ht="60" customHeight="1" x14ac:dyDescent="0.35">
      <c r="A83" s="11" t="s">
        <v>418</v>
      </c>
      <c r="B83" s="1" t="s">
        <v>419</v>
      </c>
      <c r="C83" s="2" t="s">
        <v>16</v>
      </c>
      <c r="D83" s="3" t="s">
        <v>414</v>
      </c>
      <c r="E83" s="4" t="s">
        <v>18</v>
      </c>
      <c r="F83" s="4" t="s">
        <v>19</v>
      </c>
      <c r="G83" s="4" t="s">
        <v>20</v>
      </c>
      <c r="H83" s="4" t="s">
        <v>21</v>
      </c>
      <c r="I83" s="5" t="s">
        <v>21</v>
      </c>
      <c r="J83" s="1" t="s">
        <v>420</v>
      </c>
      <c r="K83" s="1" t="s">
        <v>421</v>
      </c>
      <c r="L83" s="1" t="s">
        <v>422</v>
      </c>
      <c r="M83" s="4" t="str">
        <f t="shared" si="0"/>
        <v>Outstanding</v>
      </c>
      <c r="N83" s="13" t="s">
        <v>21</v>
      </c>
    </row>
    <row r="84" spans="1:14" ht="60" customHeight="1" x14ac:dyDescent="0.35">
      <c r="A84" s="11" t="s">
        <v>423</v>
      </c>
      <c r="B84" s="1" t="s">
        <v>424</v>
      </c>
      <c r="C84" s="2" t="s">
        <v>16</v>
      </c>
      <c r="D84" s="3" t="s">
        <v>414</v>
      </c>
      <c r="E84" s="4" t="s">
        <v>18</v>
      </c>
      <c r="F84" s="4" t="s">
        <v>19</v>
      </c>
      <c r="G84" s="4" t="s">
        <v>20</v>
      </c>
      <c r="H84" s="4" t="s">
        <v>21</v>
      </c>
      <c r="I84" s="5" t="s">
        <v>21</v>
      </c>
      <c r="J84" s="1" t="s">
        <v>420</v>
      </c>
      <c r="K84" s="1" t="s">
        <v>425</v>
      </c>
      <c r="L84" s="1" t="s">
        <v>422</v>
      </c>
      <c r="M84" s="4" t="str">
        <f t="shared" si="0"/>
        <v>Outstanding</v>
      </c>
      <c r="N84" s="13" t="s">
        <v>21</v>
      </c>
    </row>
    <row r="85" spans="1:14" ht="60" customHeight="1" x14ac:dyDescent="0.35">
      <c r="A85" s="11" t="s">
        <v>426</v>
      </c>
      <c r="B85" s="1" t="s">
        <v>427</v>
      </c>
      <c r="C85" s="2" t="s">
        <v>16</v>
      </c>
      <c r="D85" s="3" t="s">
        <v>414</v>
      </c>
      <c r="E85" s="4" t="s">
        <v>18</v>
      </c>
      <c r="F85" s="4" t="s">
        <v>19</v>
      </c>
      <c r="G85" s="4" t="s">
        <v>20</v>
      </c>
      <c r="H85" s="4" t="s">
        <v>21</v>
      </c>
      <c r="I85" s="5" t="s">
        <v>21</v>
      </c>
      <c r="J85" s="1" t="s">
        <v>420</v>
      </c>
      <c r="K85" s="1" t="s">
        <v>428</v>
      </c>
      <c r="L85" s="1" t="s">
        <v>422</v>
      </c>
      <c r="M85" s="4" t="str">
        <f t="shared" si="0"/>
        <v>Outstanding</v>
      </c>
      <c r="N85" s="13" t="s">
        <v>21</v>
      </c>
    </row>
    <row r="86" spans="1:14" ht="60" customHeight="1" x14ac:dyDescent="0.35">
      <c r="A86" s="11" t="s">
        <v>429</v>
      </c>
      <c r="B86" s="1" t="s">
        <v>430</v>
      </c>
      <c r="C86" s="2" t="s">
        <v>16</v>
      </c>
      <c r="D86" s="3" t="s">
        <v>414</v>
      </c>
      <c r="E86" s="4" t="s">
        <v>18</v>
      </c>
      <c r="F86" s="4" t="s">
        <v>19</v>
      </c>
      <c r="G86" s="4" t="s">
        <v>20</v>
      </c>
      <c r="H86" s="4" t="s">
        <v>21</v>
      </c>
      <c r="I86" s="5" t="s">
        <v>21</v>
      </c>
      <c r="J86" s="1" t="s">
        <v>420</v>
      </c>
      <c r="K86" s="1" t="s">
        <v>431</v>
      </c>
      <c r="L86" s="1" t="s">
        <v>422</v>
      </c>
      <c r="M86" s="4" t="str">
        <f t="shared" si="0"/>
        <v>Outstanding</v>
      </c>
      <c r="N86" s="13" t="s">
        <v>21</v>
      </c>
    </row>
    <row r="87" spans="1:14" ht="60" customHeight="1" x14ac:dyDescent="0.35">
      <c r="A87" s="11" t="s">
        <v>432</v>
      </c>
      <c r="B87" s="1" t="s">
        <v>433</v>
      </c>
      <c r="C87" s="2" t="s">
        <v>16</v>
      </c>
      <c r="D87" s="3" t="s">
        <v>414</v>
      </c>
      <c r="E87" s="4" t="s">
        <v>18</v>
      </c>
      <c r="F87" s="4" t="s">
        <v>19</v>
      </c>
      <c r="G87" s="4" t="s">
        <v>20</v>
      </c>
      <c r="H87" s="4" t="s">
        <v>21</v>
      </c>
      <c r="I87" s="5" t="s">
        <v>21</v>
      </c>
      <c r="J87" s="1" t="s">
        <v>434</v>
      </c>
      <c r="K87" s="1" t="s">
        <v>435</v>
      </c>
      <c r="L87" s="1" t="s">
        <v>436</v>
      </c>
      <c r="M87" s="4" t="str">
        <f t="shared" si="0"/>
        <v>Outstanding</v>
      </c>
      <c r="N87" s="13" t="s">
        <v>21</v>
      </c>
    </row>
    <row r="88" spans="1:14" ht="60" customHeight="1" x14ac:dyDescent="0.35">
      <c r="A88" s="11" t="s">
        <v>437</v>
      </c>
      <c r="B88" s="1" t="s">
        <v>438</v>
      </c>
      <c r="C88" s="2" t="s">
        <v>16</v>
      </c>
      <c r="D88" s="3" t="s">
        <v>414</v>
      </c>
      <c r="E88" s="4" t="s">
        <v>18</v>
      </c>
      <c r="F88" s="4" t="s">
        <v>19</v>
      </c>
      <c r="G88" s="4" t="s">
        <v>20</v>
      </c>
      <c r="H88" s="4" t="s">
        <v>21</v>
      </c>
      <c r="I88" s="5" t="s">
        <v>21</v>
      </c>
      <c r="J88" s="1" t="s">
        <v>439</v>
      </c>
      <c r="K88" s="1" t="s">
        <v>440</v>
      </c>
      <c r="L88" s="1" t="s">
        <v>441</v>
      </c>
      <c r="M88" s="4" t="str">
        <f t="shared" si="0"/>
        <v>Outstanding</v>
      </c>
      <c r="N88" s="13" t="s">
        <v>21</v>
      </c>
    </row>
    <row r="89" spans="1:14" ht="60" customHeight="1" x14ac:dyDescent="0.35">
      <c r="A89" s="11" t="s">
        <v>442</v>
      </c>
      <c r="B89" s="1" t="s">
        <v>443</v>
      </c>
      <c r="C89" s="2" t="s">
        <v>413</v>
      </c>
      <c r="D89" s="3" t="s">
        <v>414</v>
      </c>
      <c r="E89" s="4" t="s">
        <v>18</v>
      </c>
      <c r="F89" s="4" t="s">
        <v>19</v>
      </c>
      <c r="G89" s="4" t="s">
        <v>20</v>
      </c>
      <c r="H89" s="4" t="s">
        <v>21</v>
      </c>
      <c r="I89" s="5" t="s">
        <v>21</v>
      </c>
      <c r="J89" s="1" t="s">
        <v>444</v>
      </c>
      <c r="K89" s="1" t="s">
        <v>445</v>
      </c>
      <c r="L89" s="1" t="s">
        <v>446</v>
      </c>
      <c r="M89" s="4" t="str">
        <f t="shared" si="0"/>
        <v>Outstanding</v>
      </c>
      <c r="N89" s="13" t="s">
        <v>21</v>
      </c>
    </row>
    <row r="90" spans="1:14" ht="60" customHeight="1" x14ac:dyDescent="0.35">
      <c r="A90" s="11" t="s">
        <v>447</v>
      </c>
      <c r="B90" s="1" t="s">
        <v>448</v>
      </c>
      <c r="C90" s="2" t="s">
        <v>413</v>
      </c>
      <c r="D90" s="3" t="s">
        <v>414</v>
      </c>
      <c r="E90" s="4" t="s">
        <v>18</v>
      </c>
      <c r="F90" s="4" t="s">
        <v>19</v>
      </c>
      <c r="G90" s="4" t="s">
        <v>20</v>
      </c>
      <c r="H90" s="4" t="s">
        <v>21</v>
      </c>
      <c r="I90" s="5" t="s">
        <v>21</v>
      </c>
      <c r="J90" s="1" t="s">
        <v>449</v>
      </c>
      <c r="K90" s="1" t="s">
        <v>450</v>
      </c>
      <c r="L90" s="1" t="s">
        <v>451</v>
      </c>
      <c r="M90" s="4" t="str">
        <f t="shared" si="0"/>
        <v>Outstanding</v>
      </c>
      <c r="N90" s="13" t="s">
        <v>21</v>
      </c>
    </row>
    <row r="91" spans="1:14" ht="60" customHeight="1" x14ac:dyDescent="0.35">
      <c r="A91" s="11" t="s">
        <v>452</v>
      </c>
      <c r="B91" s="1" t="s">
        <v>453</v>
      </c>
      <c r="C91" s="2" t="s">
        <v>413</v>
      </c>
      <c r="D91" s="3" t="s">
        <v>414</v>
      </c>
      <c r="E91" s="4" t="s">
        <v>18</v>
      </c>
      <c r="F91" s="4" t="s">
        <v>19</v>
      </c>
      <c r="G91" s="4" t="s">
        <v>20</v>
      </c>
      <c r="H91" s="4" t="s">
        <v>21</v>
      </c>
      <c r="I91" s="5" t="s">
        <v>21</v>
      </c>
      <c r="J91" s="1" t="s">
        <v>454</v>
      </c>
      <c r="K91" s="1" t="s">
        <v>455</v>
      </c>
      <c r="L91" s="1" t="s">
        <v>456</v>
      </c>
      <c r="M91" s="4" t="str">
        <f t="shared" si="0"/>
        <v>Outstanding</v>
      </c>
      <c r="N91" s="13" t="s">
        <v>21</v>
      </c>
    </row>
    <row r="92" spans="1:14" ht="60" customHeight="1" x14ac:dyDescent="0.35">
      <c r="A92" s="11" t="s">
        <v>457</v>
      </c>
      <c r="B92" s="1" t="s">
        <v>458</v>
      </c>
      <c r="C92" s="2" t="s">
        <v>413</v>
      </c>
      <c r="D92" s="3" t="s">
        <v>414</v>
      </c>
      <c r="E92" s="4" t="s">
        <v>18</v>
      </c>
      <c r="F92" s="4" t="s">
        <v>19</v>
      </c>
      <c r="G92" s="4" t="s">
        <v>20</v>
      </c>
      <c r="H92" s="4" t="s">
        <v>21</v>
      </c>
      <c r="I92" s="5" t="s">
        <v>21</v>
      </c>
      <c r="J92" s="1" t="s">
        <v>459</v>
      </c>
      <c r="K92" s="1" t="s">
        <v>460</v>
      </c>
      <c r="L92" s="1" t="s">
        <v>461</v>
      </c>
      <c r="M92" s="4" t="str">
        <f t="shared" si="0"/>
        <v>Outstanding</v>
      </c>
      <c r="N92" s="13" t="s">
        <v>21</v>
      </c>
    </row>
    <row r="93" spans="1:14" ht="60" customHeight="1" x14ac:dyDescent="0.35">
      <c r="A93" s="11" t="s">
        <v>462</v>
      </c>
      <c r="B93" s="1" t="s">
        <v>463</v>
      </c>
      <c r="C93" s="2" t="s">
        <v>413</v>
      </c>
      <c r="D93" s="3" t="s">
        <v>414</v>
      </c>
      <c r="E93" s="4" t="s">
        <v>18</v>
      </c>
      <c r="F93" s="4" t="s">
        <v>19</v>
      </c>
      <c r="G93" s="4" t="s">
        <v>20</v>
      </c>
      <c r="H93" s="4" t="s">
        <v>21</v>
      </c>
      <c r="I93" s="5" t="s">
        <v>21</v>
      </c>
      <c r="J93" s="1" t="s">
        <v>420</v>
      </c>
      <c r="K93" s="1" t="s">
        <v>464</v>
      </c>
      <c r="L93" s="1" t="s">
        <v>422</v>
      </c>
      <c r="M93" s="4" t="str">
        <f t="shared" si="0"/>
        <v>Outstanding</v>
      </c>
      <c r="N93" s="13" t="s">
        <v>21</v>
      </c>
    </row>
    <row r="94" spans="1:14" ht="60" customHeight="1" x14ac:dyDescent="0.35">
      <c r="A94" s="11" t="s">
        <v>465</v>
      </c>
      <c r="B94" s="1" t="s">
        <v>466</v>
      </c>
      <c r="C94" s="2" t="s">
        <v>413</v>
      </c>
      <c r="D94" s="3" t="s">
        <v>414</v>
      </c>
      <c r="E94" s="4" t="s">
        <v>18</v>
      </c>
      <c r="F94" s="4" t="s">
        <v>19</v>
      </c>
      <c r="G94" s="4" t="s">
        <v>20</v>
      </c>
      <c r="H94" s="4" t="s">
        <v>21</v>
      </c>
      <c r="I94" s="5" t="s">
        <v>21</v>
      </c>
      <c r="J94" s="1" t="s">
        <v>420</v>
      </c>
      <c r="K94" s="1" t="s">
        <v>464</v>
      </c>
      <c r="L94" s="1" t="s">
        <v>422</v>
      </c>
      <c r="M94" s="4" t="str">
        <f t="shared" si="0"/>
        <v>Outstanding</v>
      </c>
      <c r="N94" s="13" t="s">
        <v>21</v>
      </c>
    </row>
    <row r="95" spans="1:14" ht="60" customHeight="1" x14ac:dyDescent="0.35">
      <c r="A95" s="11" t="s">
        <v>467</v>
      </c>
      <c r="B95" s="1" t="s">
        <v>468</v>
      </c>
      <c r="C95" s="2" t="s">
        <v>413</v>
      </c>
      <c r="D95" s="3" t="s">
        <v>414</v>
      </c>
      <c r="E95" s="4" t="s">
        <v>18</v>
      </c>
      <c r="F95" s="4" t="s">
        <v>19</v>
      </c>
      <c r="G95" s="4" t="s">
        <v>20</v>
      </c>
      <c r="H95" s="4" t="s">
        <v>21</v>
      </c>
      <c r="I95" s="5" t="s">
        <v>21</v>
      </c>
      <c r="J95" s="1" t="s">
        <v>469</v>
      </c>
      <c r="K95" s="1" t="s">
        <v>464</v>
      </c>
      <c r="L95" s="1" t="s">
        <v>470</v>
      </c>
      <c r="M95" s="4" t="str">
        <f t="shared" si="0"/>
        <v>Outstanding</v>
      </c>
      <c r="N95" s="13" t="s">
        <v>21</v>
      </c>
    </row>
    <row r="96" spans="1:14" ht="60" customHeight="1" x14ac:dyDescent="0.35">
      <c r="A96" s="11" t="s">
        <v>471</v>
      </c>
      <c r="B96" s="1" t="s">
        <v>472</v>
      </c>
      <c r="C96" s="2" t="s">
        <v>413</v>
      </c>
      <c r="D96" s="3" t="s">
        <v>414</v>
      </c>
      <c r="E96" s="4" t="s">
        <v>18</v>
      </c>
      <c r="F96" s="4" t="s">
        <v>19</v>
      </c>
      <c r="G96" s="4" t="s">
        <v>20</v>
      </c>
      <c r="H96" s="4" t="s">
        <v>21</v>
      </c>
      <c r="I96" s="5" t="s">
        <v>21</v>
      </c>
      <c r="J96" s="1" t="s">
        <v>473</v>
      </c>
      <c r="K96" s="1" t="s">
        <v>464</v>
      </c>
      <c r="L96" s="1" t="s">
        <v>474</v>
      </c>
      <c r="M96" s="4" t="str">
        <f t="shared" si="0"/>
        <v>Outstanding</v>
      </c>
      <c r="N96" s="13" t="s">
        <v>21</v>
      </c>
    </row>
    <row r="97" spans="1:14" ht="60" customHeight="1" x14ac:dyDescent="0.35">
      <c r="A97" s="11" t="s">
        <v>475</v>
      </c>
      <c r="B97" s="1" t="s">
        <v>476</v>
      </c>
      <c r="C97" s="2" t="s">
        <v>413</v>
      </c>
      <c r="D97" s="3" t="s">
        <v>414</v>
      </c>
      <c r="E97" s="4" t="s">
        <v>18</v>
      </c>
      <c r="F97" s="4" t="s">
        <v>19</v>
      </c>
      <c r="G97" s="4" t="s">
        <v>20</v>
      </c>
      <c r="H97" s="4" t="s">
        <v>21</v>
      </c>
      <c r="I97" s="5" t="s">
        <v>21</v>
      </c>
      <c r="J97" s="1" t="s">
        <v>473</v>
      </c>
      <c r="K97" s="1" t="s">
        <v>464</v>
      </c>
      <c r="L97" s="1" t="s">
        <v>474</v>
      </c>
      <c r="M97" s="4" t="str">
        <f t="shared" si="0"/>
        <v>Outstanding</v>
      </c>
      <c r="N97" s="13" t="s">
        <v>21</v>
      </c>
    </row>
    <row r="98" spans="1:14" ht="60" customHeight="1" x14ac:dyDescent="0.35">
      <c r="A98" s="11" t="s">
        <v>477</v>
      </c>
      <c r="B98" s="1" t="s">
        <v>478</v>
      </c>
      <c r="C98" s="2" t="s">
        <v>413</v>
      </c>
      <c r="D98" s="3" t="s">
        <v>414</v>
      </c>
      <c r="E98" s="4" t="s">
        <v>18</v>
      </c>
      <c r="F98" s="4" t="s">
        <v>19</v>
      </c>
      <c r="G98" s="4" t="s">
        <v>20</v>
      </c>
      <c r="H98" s="4" t="s">
        <v>21</v>
      </c>
      <c r="I98" s="5" t="s">
        <v>21</v>
      </c>
      <c r="J98" s="1" t="s">
        <v>479</v>
      </c>
      <c r="K98" s="1" t="s">
        <v>480</v>
      </c>
      <c r="L98" s="1" t="s">
        <v>481</v>
      </c>
      <c r="M98" s="4" t="str">
        <f t="shared" si="0"/>
        <v>Outstanding</v>
      </c>
      <c r="N98" s="13" t="s">
        <v>21</v>
      </c>
    </row>
    <row r="99" spans="1:14" ht="60" customHeight="1" x14ac:dyDescent="0.35">
      <c r="A99" s="11" t="s">
        <v>482</v>
      </c>
      <c r="B99" s="1" t="s">
        <v>483</v>
      </c>
      <c r="C99" s="2" t="s">
        <v>16</v>
      </c>
      <c r="D99" s="3" t="s">
        <v>414</v>
      </c>
      <c r="E99" s="4" t="s">
        <v>18</v>
      </c>
      <c r="F99" s="4" t="s">
        <v>19</v>
      </c>
      <c r="G99" s="4" t="s">
        <v>20</v>
      </c>
      <c r="H99" s="4" t="s">
        <v>21</v>
      </c>
      <c r="I99" s="5" t="s">
        <v>21</v>
      </c>
      <c r="J99" s="1" t="s">
        <v>484</v>
      </c>
      <c r="K99" s="1" t="s">
        <v>485</v>
      </c>
      <c r="L99" s="1" t="s">
        <v>486</v>
      </c>
      <c r="M99" s="4" t="str">
        <f t="shared" si="0"/>
        <v>Outstanding</v>
      </c>
      <c r="N99" s="13" t="s">
        <v>21</v>
      </c>
    </row>
    <row r="100" spans="1:14" ht="60" customHeight="1" x14ac:dyDescent="0.35">
      <c r="A100" s="11" t="s">
        <v>487</v>
      </c>
      <c r="B100" s="1" t="s">
        <v>488</v>
      </c>
      <c r="C100" s="2" t="s">
        <v>16</v>
      </c>
      <c r="D100" s="3" t="s">
        <v>414</v>
      </c>
      <c r="E100" s="4" t="s">
        <v>18</v>
      </c>
      <c r="F100" s="4" t="s">
        <v>19</v>
      </c>
      <c r="G100" s="4" t="s">
        <v>20</v>
      </c>
      <c r="H100" s="4" t="s">
        <v>21</v>
      </c>
      <c r="I100" s="5" t="s">
        <v>21</v>
      </c>
      <c r="J100" s="1" t="s">
        <v>489</v>
      </c>
      <c r="K100" s="1" t="s">
        <v>490</v>
      </c>
      <c r="L100" s="1" t="s">
        <v>491</v>
      </c>
      <c r="M100" s="4" t="str">
        <f t="shared" si="0"/>
        <v>Outstanding</v>
      </c>
      <c r="N100" s="13" t="s">
        <v>21</v>
      </c>
    </row>
    <row r="101" spans="1:14" ht="60" customHeight="1" x14ac:dyDescent="0.35">
      <c r="A101" s="11" t="s">
        <v>492</v>
      </c>
      <c r="B101" s="1" t="s">
        <v>493</v>
      </c>
      <c r="C101" s="2" t="s">
        <v>16</v>
      </c>
      <c r="D101" s="3" t="s">
        <v>414</v>
      </c>
      <c r="E101" s="4" t="s">
        <v>18</v>
      </c>
      <c r="F101" s="4" t="s">
        <v>19</v>
      </c>
      <c r="G101" s="4" t="s">
        <v>20</v>
      </c>
      <c r="H101" s="4" t="s">
        <v>21</v>
      </c>
      <c r="I101" s="5" t="s">
        <v>21</v>
      </c>
      <c r="J101" s="1" t="s">
        <v>494</v>
      </c>
      <c r="K101" s="1" t="s">
        <v>495</v>
      </c>
      <c r="L101" s="1" t="s">
        <v>496</v>
      </c>
      <c r="M101" s="4" t="str">
        <f t="shared" si="0"/>
        <v>Outstanding</v>
      </c>
      <c r="N101" s="13" t="s">
        <v>21</v>
      </c>
    </row>
    <row r="102" spans="1:14" ht="60" customHeight="1" x14ac:dyDescent="0.35">
      <c r="A102" s="11" t="s">
        <v>497</v>
      </c>
      <c r="B102" s="1" t="s">
        <v>498</v>
      </c>
      <c r="C102" s="2" t="s">
        <v>16</v>
      </c>
      <c r="D102" s="3" t="s">
        <v>414</v>
      </c>
      <c r="E102" s="4" t="s">
        <v>18</v>
      </c>
      <c r="F102" s="4" t="s">
        <v>19</v>
      </c>
      <c r="G102" s="4" t="s">
        <v>20</v>
      </c>
      <c r="H102" s="4" t="s">
        <v>21</v>
      </c>
      <c r="I102" s="5" t="s">
        <v>21</v>
      </c>
      <c r="J102" s="1" t="s">
        <v>499</v>
      </c>
      <c r="K102" s="1" t="s">
        <v>500</v>
      </c>
      <c r="L102" s="1" t="s">
        <v>501</v>
      </c>
      <c r="M102" s="4" t="str">
        <f t="shared" si="0"/>
        <v>Outstanding</v>
      </c>
      <c r="N102" s="13" t="s">
        <v>21</v>
      </c>
    </row>
    <row r="103" spans="1:14" ht="60" customHeight="1" x14ac:dyDescent="0.35">
      <c r="A103" s="11" t="s">
        <v>502</v>
      </c>
      <c r="B103" s="1" t="s">
        <v>503</v>
      </c>
      <c r="C103" s="2" t="s">
        <v>16</v>
      </c>
      <c r="D103" s="3" t="s">
        <v>414</v>
      </c>
      <c r="E103" s="4" t="s">
        <v>18</v>
      </c>
      <c r="F103" s="4" t="s">
        <v>19</v>
      </c>
      <c r="G103" s="4" t="s">
        <v>20</v>
      </c>
      <c r="H103" s="4" t="s">
        <v>21</v>
      </c>
      <c r="I103" s="5" t="s">
        <v>21</v>
      </c>
      <c r="J103" s="1" t="s">
        <v>504</v>
      </c>
      <c r="K103" s="1" t="s">
        <v>505</v>
      </c>
      <c r="L103" s="1" t="s">
        <v>506</v>
      </c>
      <c r="M103" s="4" t="str">
        <f t="shared" si="0"/>
        <v>Outstanding</v>
      </c>
      <c r="N103" s="13" t="s">
        <v>21</v>
      </c>
    </row>
    <row r="104" spans="1:14" ht="60" customHeight="1" x14ac:dyDescent="0.35">
      <c r="A104" s="11" t="s">
        <v>507</v>
      </c>
      <c r="B104" s="1" t="s">
        <v>508</v>
      </c>
      <c r="C104" s="2" t="s">
        <v>413</v>
      </c>
      <c r="D104" s="3" t="s">
        <v>414</v>
      </c>
      <c r="E104" s="4" t="s">
        <v>18</v>
      </c>
      <c r="F104" s="4" t="s">
        <v>19</v>
      </c>
      <c r="G104" s="4" t="s">
        <v>20</v>
      </c>
      <c r="H104" s="4" t="s">
        <v>21</v>
      </c>
      <c r="I104" s="5" t="s">
        <v>21</v>
      </c>
      <c r="J104" s="1" t="s">
        <v>509</v>
      </c>
      <c r="K104" s="1" t="s">
        <v>510</v>
      </c>
      <c r="L104" s="1" t="s">
        <v>511</v>
      </c>
      <c r="M104" s="4" t="str">
        <f t="shared" si="0"/>
        <v>Outstanding</v>
      </c>
      <c r="N104" s="13" t="s">
        <v>21</v>
      </c>
    </row>
    <row r="105" spans="1:14" ht="60" customHeight="1" x14ac:dyDescent="0.35">
      <c r="A105" s="11" t="s">
        <v>512</v>
      </c>
      <c r="B105" s="1" t="s">
        <v>513</v>
      </c>
      <c r="C105" s="2" t="s">
        <v>16</v>
      </c>
      <c r="D105" s="3" t="s">
        <v>414</v>
      </c>
      <c r="E105" s="4" t="s">
        <v>18</v>
      </c>
      <c r="F105" s="4" t="s">
        <v>19</v>
      </c>
      <c r="G105" s="4" t="s">
        <v>20</v>
      </c>
      <c r="H105" s="4" t="s">
        <v>21</v>
      </c>
      <c r="I105" s="5" t="s">
        <v>21</v>
      </c>
      <c r="J105" s="1" t="s">
        <v>514</v>
      </c>
      <c r="K105" s="1" t="s">
        <v>515</v>
      </c>
      <c r="L105" s="1" t="s">
        <v>516</v>
      </c>
      <c r="M105" s="4" t="str">
        <f t="shared" si="0"/>
        <v>Outstanding</v>
      </c>
      <c r="N105" s="13" t="s">
        <v>21</v>
      </c>
    </row>
    <row r="106" spans="1:14" ht="60" customHeight="1" x14ac:dyDescent="0.35">
      <c r="A106" s="11" t="s">
        <v>517</v>
      </c>
      <c r="B106" s="1" t="s">
        <v>518</v>
      </c>
      <c r="C106" s="2" t="s">
        <v>16</v>
      </c>
      <c r="D106" s="3" t="s">
        <v>414</v>
      </c>
      <c r="E106" s="4" t="s">
        <v>18</v>
      </c>
      <c r="F106" s="4" t="s">
        <v>19</v>
      </c>
      <c r="G106" s="4" t="s">
        <v>20</v>
      </c>
      <c r="H106" s="4" t="s">
        <v>21</v>
      </c>
      <c r="I106" s="5" t="s">
        <v>21</v>
      </c>
      <c r="J106" s="1" t="s">
        <v>519</v>
      </c>
      <c r="K106" s="1" t="s">
        <v>520</v>
      </c>
      <c r="L106" s="1" t="s">
        <v>521</v>
      </c>
      <c r="M106" s="4" t="str">
        <f t="shared" si="0"/>
        <v>Outstanding</v>
      </c>
      <c r="N106" s="13" t="s">
        <v>21</v>
      </c>
    </row>
    <row r="107" spans="1:14" ht="60" customHeight="1" x14ac:dyDescent="0.35">
      <c r="A107" s="11" t="s">
        <v>522</v>
      </c>
      <c r="B107" s="1" t="s">
        <v>523</v>
      </c>
      <c r="C107" s="2" t="s">
        <v>16</v>
      </c>
      <c r="D107" s="3" t="s">
        <v>414</v>
      </c>
      <c r="E107" s="4" t="s">
        <v>18</v>
      </c>
      <c r="F107" s="4" t="s">
        <v>19</v>
      </c>
      <c r="G107" s="4" t="s">
        <v>20</v>
      </c>
      <c r="H107" s="4" t="s">
        <v>21</v>
      </c>
      <c r="I107" s="5" t="s">
        <v>21</v>
      </c>
      <c r="J107" s="1" t="s">
        <v>524</v>
      </c>
      <c r="K107" s="1" t="s">
        <v>525</v>
      </c>
      <c r="L107" s="1" t="s">
        <v>526</v>
      </c>
      <c r="M107" s="4" t="str">
        <f t="shared" si="0"/>
        <v>Outstanding</v>
      </c>
      <c r="N107" s="13" t="s">
        <v>21</v>
      </c>
    </row>
    <row r="108" spans="1:14" ht="60" customHeight="1" x14ac:dyDescent="0.35">
      <c r="A108" s="11" t="s">
        <v>527</v>
      </c>
      <c r="B108" s="1" t="s">
        <v>528</v>
      </c>
      <c r="C108" s="2" t="s">
        <v>16</v>
      </c>
      <c r="D108" s="3" t="s">
        <v>414</v>
      </c>
      <c r="E108" s="4" t="s">
        <v>18</v>
      </c>
      <c r="F108" s="4" t="s">
        <v>19</v>
      </c>
      <c r="G108" s="4" t="s">
        <v>20</v>
      </c>
      <c r="H108" s="4" t="s">
        <v>21</v>
      </c>
      <c r="I108" s="5" t="s">
        <v>21</v>
      </c>
      <c r="J108" s="1" t="s">
        <v>529</v>
      </c>
      <c r="K108" s="1" t="s">
        <v>530</v>
      </c>
      <c r="L108" s="1" t="s">
        <v>531</v>
      </c>
      <c r="M108" s="4" t="str">
        <f t="shared" si="0"/>
        <v>Outstanding</v>
      </c>
      <c r="N108" s="13" t="s">
        <v>21</v>
      </c>
    </row>
    <row r="109" spans="1:14" ht="60" customHeight="1" x14ac:dyDescent="0.35">
      <c r="A109" s="11" t="s">
        <v>532</v>
      </c>
      <c r="B109" s="1" t="s">
        <v>533</v>
      </c>
      <c r="C109" s="2" t="s">
        <v>16</v>
      </c>
      <c r="D109" s="3" t="s">
        <v>414</v>
      </c>
      <c r="E109" s="4" t="s">
        <v>18</v>
      </c>
      <c r="F109" s="4" t="s">
        <v>19</v>
      </c>
      <c r="G109" s="4" t="s">
        <v>20</v>
      </c>
      <c r="H109" s="4" t="s">
        <v>21</v>
      </c>
      <c r="I109" s="5" t="s">
        <v>21</v>
      </c>
      <c r="J109" s="1" t="s">
        <v>534</v>
      </c>
      <c r="K109" s="1" t="s">
        <v>535</v>
      </c>
      <c r="L109" s="1" t="s">
        <v>536</v>
      </c>
      <c r="M109" s="4" t="str">
        <f t="shared" si="0"/>
        <v>Outstanding</v>
      </c>
      <c r="N109" s="13" t="s">
        <v>21</v>
      </c>
    </row>
    <row r="110" spans="1:14" ht="60" customHeight="1" x14ac:dyDescent="0.35">
      <c r="A110" s="11" t="s">
        <v>537</v>
      </c>
      <c r="B110" s="1" t="s">
        <v>538</v>
      </c>
      <c r="C110" s="2" t="s">
        <v>74</v>
      </c>
      <c r="D110" s="3" t="s">
        <v>414</v>
      </c>
      <c r="E110" s="4" t="s">
        <v>18</v>
      </c>
      <c r="F110" s="4" t="s">
        <v>19</v>
      </c>
      <c r="G110" s="4" t="s">
        <v>20</v>
      </c>
      <c r="H110" s="4" t="s">
        <v>21</v>
      </c>
      <c r="I110" s="5" t="s">
        <v>21</v>
      </c>
      <c r="J110" s="1" t="s">
        <v>539</v>
      </c>
      <c r="K110" s="1" t="s">
        <v>540</v>
      </c>
      <c r="L110" s="1" t="s">
        <v>541</v>
      </c>
      <c r="M110" s="4" t="str">
        <f t="shared" si="0"/>
        <v>Outstanding</v>
      </c>
      <c r="N110" s="13" t="s">
        <v>21</v>
      </c>
    </row>
    <row r="111" spans="1:14" ht="60" customHeight="1" x14ac:dyDescent="0.35">
      <c r="A111" s="11" t="s">
        <v>542</v>
      </c>
      <c r="B111" s="1" t="s">
        <v>543</v>
      </c>
      <c r="C111" s="2" t="s">
        <v>16</v>
      </c>
      <c r="D111" s="3" t="s">
        <v>414</v>
      </c>
      <c r="E111" s="4" t="s">
        <v>18</v>
      </c>
      <c r="F111" s="4" t="s">
        <v>19</v>
      </c>
      <c r="G111" s="4" t="s">
        <v>20</v>
      </c>
      <c r="H111" s="4" t="s">
        <v>21</v>
      </c>
      <c r="I111" s="5" t="s">
        <v>21</v>
      </c>
      <c r="J111" s="1" t="s">
        <v>544</v>
      </c>
      <c r="K111" s="1" t="s">
        <v>545</v>
      </c>
      <c r="L111" s="1" t="s">
        <v>546</v>
      </c>
      <c r="M111" s="4" t="str">
        <f t="shared" si="0"/>
        <v>Outstanding</v>
      </c>
      <c r="N111" s="13" t="s">
        <v>21</v>
      </c>
    </row>
    <row r="112" spans="1:14" ht="60" customHeight="1" x14ac:dyDescent="0.35">
      <c r="A112" s="11" t="s">
        <v>547</v>
      </c>
      <c r="B112" s="1" t="s">
        <v>548</v>
      </c>
      <c r="C112" s="2" t="s">
        <v>16</v>
      </c>
      <c r="D112" s="3" t="s">
        <v>414</v>
      </c>
      <c r="E112" s="4" t="s">
        <v>18</v>
      </c>
      <c r="F112" s="4" t="s">
        <v>19</v>
      </c>
      <c r="G112" s="4" t="s">
        <v>20</v>
      </c>
      <c r="H112" s="4" t="s">
        <v>21</v>
      </c>
      <c r="I112" s="5" t="s">
        <v>21</v>
      </c>
      <c r="J112" s="1" t="s">
        <v>549</v>
      </c>
      <c r="K112" s="1" t="s">
        <v>550</v>
      </c>
      <c r="L112" s="1" t="s">
        <v>551</v>
      </c>
      <c r="M112" s="4" t="str">
        <f t="shared" si="0"/>
        <v>Outstanding</v>
      </c>
      <c r="N112" s="13" t="s">
        <v>21</v>
      </c>
    </row>
    <row r="113" spans="1:14" ht="60" customHeight="1" x14ac:dyDescent="0.35">
      <c r="A113" s="11" t="s">
        <v>552</v>
      </c>
      <c r="B113" s="1" t="s">
        <v>553</v>
      </c>
      <c r="C113" s="2" t="s">
        <v>16</v>
      </c>
      <c r="D113" s="3" t="s">
        <v>414</v>
      </c>
      <c r="E113" s="4" t="s">
        <v>18</v>
      </c>
      <c r="F113" s="4" t="s">
        <v>19</v>
      </c>
      <c r="G113" s="4" t="s">
        <v>20</v>
      </c>
      <c r="H113" s="4" t="s">
        <v>21</v>
      </c>
      <c r="I113" s="5" t="s">
        <v>21</v>
      </c>
      <c r="J113" s="1" t="s">
        <v>554</v>
      </c>
      <c r="K113" s="1" t="s">
        <v>555</v>
      </c>
      <c r="L113" s="1" t="s">
        <v>556</v>
      </c>
      <c r="M113" s="4" t="str">
        <f t="shared" si="0"/>
        <v>Outstanding</v>
      </c>
      <c r="N113" s="13" t="s">
        <v>21</v>
      </c>
    </row>
    <row r="114" spans="1:14" ht="60" customHeight="1" x14ac:dyDescent="0.35">
      <c r="A114" s="11" t="s">
        <v>557</v>
      </c>
      <c r="B114" s="1" t="s">
        <v>558</v>
      </c>
      <c r="C114" s="2" t="s">
        <v>16</v>
      </c>
      <c r="D114" s="3" t="s">
        <v>414</v>
      </c>
      <c r="E114" s="4" t="s">
        <v>18</v>
      </c>
      <c r="F114" s="4" t="s">
        <v>19</v>
      </c>
      <c r="G114" s="4" t="s">
        <v>20</v>
      </c>
      <c r="H114" s="4" t="s">
        <v>21</v>
      </c>
      <c r="I114" s="5" t="s">
        <v>21</v>
      </c>
      <c r="J114" s="1" t="s">
        <v>559</v>
      </c>
      <c r="K114" s="1" t="s">
        <v>560</v>
      </c>
      <c r="L114" s="1" t="s">
        <v>561</v>
      </c>
      <c r="M114" s="4" t="str">
        <f t="shared" si="0"/>
        <v>Outstanding</v>
      </c>
      <c r="N114" s="13" t="s">
        <v>21</v>
      </c>
    </row>
    <row r="115" spans="1:14" ht="60" customHeight="1" x14ac:dyDescent="0.35">
      <c r="A115" s="11" t="s">
        <v>562</v>
      </c>
      <c r="B115" s="1" t="s">
        <v>563</v>
      </c>
      <c r="C115" s="2" t="s">
        <v>16</v>
      </c>
      <c r="D115" s="3" t="s">
        <v>414</v>
      </c>
      <c r="E115" s="4" t="s">
        <v>18</v>
      </c>
      <c r="F115" s="4" t="s">
        <v>19</v>
      </c>
      <c r="G115" s="4" t="s">
        <v>20</v>
      </c>
      <c r="H115" s="4" t="s">
        <v>21</v>
      </c>
      <c r="I115" s="5" t="s">
        <v>21</v>
      </c>
      <c r="J115" s="1" t="s">
        <v>564</v>
      </c>
      <c r="K115" s="1" t="s">
        <v>565</v>
      </c>
      <c r="L115" s="1" t="s">
        <v>566</v>
      </c>
      <c r="M115" s="4" t="str">
        <f t="shared" si="0"/>
        <v>Outstanding</v>
      </c>
      <c r="N115" s="13" t="s">
        <v>21</v>
      </c>
    </row>
    <row r="116" spans="1:14" ht="60" customHeight="1" x14ac:dyDescent="0.35">
      <c r="A116" s="11" t="s">
        <v>567</v>
      </c>
      <c r="B116" s="1" t="s">
        <v>568</v>
      </c>
      <c r="C116" s="2" t="s">
        <v>16</v>
      </c>
      <c r="D116" s="3" t="s">
        <v>414</v>
      </c>
      <c r="E116" s="4" t="s">
        <v>18</v>
      </c>
      <c r="F116" s="4" t="s">
        <v>19</v>
      </c>
      <c r="G116" s="4" t="s">
        <v>20</v>
      </c>
      <c r="H116" s="4" t="s">
        <v>21</v>
      </c>
      <c r="I116" s="5" t="s">
        <v>21</v>
      </c>
      <c r="J116" s="1" t="s">
        <v>569</v>
      </c>
      <c r="K116" s="1" t="s">
        <v>570</v>
      </c>
      <c r="L116" s="1" t="s">
        <v>571</v>
      </c>
      <c r="M116" s="4" t="str">
        <f t="shared" si="0"/>
        <v>Outstanding</v>
      </c>
      <c r="N116" s="13" t="s">
        <v>21</v>
      </c>
    </row>
    <row r="117" spans="1:14" ht="60" customHeight="1" x14ac:dyDescent="0.35">
      <c r="A117" s="11" t="s">
        <v>572</v>
      </c>
      <c r="B117" s="1" t="s">
        <v>573</v>
      </c>
      <c r="C117" s="2" t="s">
        <v>16</v>
      </c>
      <c r="D117" s="3" t="s">
        <v>414</v>
      </c>
      <c r="E117" s="4" t="s">
        <v>18</v>
      </c>
      <c r="F117" s="4" t="s">
        <v>19</v>
      </c>
      <c r="G117" s="4" t="s">
        <v>20</v>
      </c>
      <c r="H117" s="4" t="s">
        <v>21</v>
      </c>
      <c r="I117" s="5" t="s">
        <v>21</v>
      </c>
      <c r="J117" s="1" t="s">
        <v>574</v>
      </c>
      <c r="K117" s="1" t="s">
        <v>575</v>
      </c>
      <c r="L117" s="1" t="s">
        <v>576</v>
      </c>
      <c r="M117" s="4" t="str">
        <f t="shared" si="0"/>
        <v>Outstanding</v>
      </c>
      <c r="N117" s="13" t="s">
        <v>21</v>
      </c>
    </row>
    <row r="118" spans="1:14" ht="60" customHeight="1" x14ac:dyDescent="0.35">
      <c r="A118" s="11" t="s">
        <v>577</v>
      </c>
      <c r="B118" s="1" t="s">
        <v>578</v>
      </c>
      <c r="C118" s="2" t="s">
        <v>16</v>
      </c>
      <c r="D118" s="3" t="s">
        <v>414</v>
      </c>
      <c r="E118" s="4" t="s">
        <v>18</v>
      </c>
      <c r="F118" s="4" t="s">
        <v>19</v>
      </c>
      <c r="G118" s="4" t="s">
        <v>20</v>
      </c>
      <c r="H118" s="4" t="s">
        <v>21</v>
      </c>
      <c r="I118" s="5" t="s">
        <v>21</v>
      </c>
      <c r="J118" s="1" t="s">
        <v>579</v>
      </c>
      <c r="K118" s="1" t="s">
        <v>580</v>
      </c>
      <c r="L118" s="1" t="s">
        <v>581</v>
      </c>
      <c r="M118" s="4" t="str">
        <f t="shared" si="0"/>
        <v>Outstanding</v>
      </c>
      <c r="N118" s="13" t="s">
        <v>21</v>
      </c>
    </row>
    <row r="119" spans="1:14" ht="60" customHeight="1" x14ac:dyDescent="0.35">
      <c r="A119" s="11" t="s">
        <v>582</v>
      </c>
      <c r="B119" s="1" t="s">
        <v>583</v>
      </c>
      <c r="C119" s="2" t="s">
        <v>16</v>
      </c>
      <c r="D119" s="3" t="s">
        <v>414</v>
      </c>
      <c r="E119" s="4" t="s">
        <v>18</v>
      </c>
      <c r="F119" s="4" t="s">
        <v>19</v>
      </c>
      <c r="G119" s="4" t="s">
        <v>20</v>
      </c>
      <c r="H119" s="4" t="s">
        <v>21</v>
      </c>
      <c r="I119" s="5" t="s">
        <v>21</v>
      </c>
      <c r="J119" s="1" t="s">
        <v>584</v>
      </c>
      <c r="K119" s="1" t="s">
        <v>585</v>
      </c>
      <c r="L119" s="1" t="s">
        <v>586</v>
      </c>
      <c r="M119" s="4" t="str">
        <f t="shared" si="0"/>
        <v>Outstanding</v>
      </c>
      <c r="N119" s="13" t="s">
        <v>21</v>
      </c>
    </row>
    <row r="120" spans="1:14" ht="60" customHeight="1" x14ac:dyDescent="0.35">
      <c r="A120" s="11" t="s">
        <v>587</v>
      </c>
      <c r="B120" s="1" t="s">
        <v>588</v>
      </c>
      <c r="C120" s="2" t="s">
        <v>16</v>
      </c>
      <c r="D120" s="3" t="s">
        <v>414</v>
      </c>
      <c r="E120" s="4" t="s">
        <v>18</v>
      </c>
      <c r="F120" s="4" t="s">
        <v>19</v>
      </c>
      <c r="G120" s="4" t="s">
        <v>20</v>
      </c>
      <c r="H120" s="4" t="s">
        <v>21</v>
      </c>
      <c r="I120" s="5" t="s">
        <v>21</v>
      </c>
      <c r="J120" s="1" t="s">
        <v>589</v>
      </c>
      <c r="K120" s="1" t="s">
        <v>585</v>
      </c>
      <c r="L120" s="1" t="s">
        <v>590</v>
      </c>
      <c r="M120" s="4" t="str">
        <f t="shared" si="0"/>
        <v>Outstanding</v>
      </c>
      <c r="N120" s="13" t="s">
        <v>21</v>
      </c>
    </row>
    <row r="121" spans="1:14" ht="60" customHeight="1" x14ac:dyDescent="0.35">
      <c r="A121" s="11" t="s">
        <v>591</v>
      </c>
      <c r="B121" s="1" t="s">
        <v>592</v>
      </c>
      <c r="C121" s="2" t="s">
        <v>16</v>
      </c>
      <c r="D121" s="3" t="s">
        <v>414</v>
      </c>
      <c r="E121" s="4" t="s">
        <v>18</v>
      </c>
      <c r="F121" s="4" t="s">
        <v>19</v>
      </c>
      <c r="G121" s="4" t="s">
        <v>20</v>
      </c>
      <c r="H121" s="4" t="s">
        <v>21</v>
      </c>
      <c r="I121" s="5" t="s">
        <v>21</v>
      </c>
      <c r="J121" s="1" t="s">
        <v>593</v>
      </c>
      <c r="K121" s="1" t="s">
        <v>585</v>
      </c>
      <c r="L121" s="1" t="s">
        <v>594</v>
      </c>
      <c r="M121" s="4" t="str">
        <f t="shared" si="0"/>
        <v>Outstanding</v>
      </c>
      <c r="N121" s="13" t="s">
        <v>21</v>
      </c>
    </row>
    <row r="122" spans="1:14" ht="60" customHeight="1" x14ac:dyDescent="0.35">
      <c r="A122" s="11" t="s">
        <v>595</v>
      </c>
      <c r="B122" s="1" t="s">
        <v>596</v>
      </c>
      <c r="C122" s="2" t="s">
        <v>74</v>
      </c>
      <c r="D122" s="3" t="s">
        <v>414</v>
      </c>
      <c r="E122" s="4" t="s">
        <v>18</v>
      </c>
      <c r="F122" s="4" t="s">
        <v>19</v>
      </c>
      <c r="G122" s="4" t="s">
        <v>20</v>
      </c>
      <c r="H122" s="4" t="s">
        <v>21</v>
      </c>
      <c r="I122" s="5" t="s">
        <v>21</v>
      </c>
      <c r="J122" s="1" t="s">
        <v>597</v>
      </c>
      <c r="K122" s="1" t="s">
        <v>598</v>
      </c>
      <c r="L122" s="1" t="s">
        <v>599</v>
      </c>
      <c r="M122" s="4" t="str">
        <f t="shared" si="0"/>
        <v>Outstanding</v>
      </c>
      <c r="N122" s="13" t="s">
        <v>21</v>
      </c>
    </row>
    <row r="123" spans="1:14" ht="60" customHeight="1" x14ac:dyDescent="0.35">
      <c r="A123" s="11" t="s">
        <v>600</v>
      </c>
      <c r="B123" s="1" t="s">
        <v>601</v>
      </c>
      <c r="C123" s="2" t="s">
        <v>74</v>
      </c>
      <c r="D123" s="3" t="s">
        <v>414</v>
      </c>
      <c r="E123" s="4" t="s">
        <v>18</v>
      </c>
      <c r="F123" s="4" t="s">
        <v>19</v>
      </c>
      <c r="G123" s="4" t="s">
        <v>20</v>
      </c>
      <c r="H123" s="4" t="s">
        <v>21</v>
      </c>
      <c r="I123" s="5" t="s">
        <v>21</v>
      </c>
      <c r="J123" s="1" t="s">
        <v>602</v>
      </c>
      <c r="K123" s="1" t="s">
        <v>603</v>
      </c>
      <c r="L123" s="1" t="s">
        <v>604</v>
      </c>
      <c r="M123" s="4" t="str">
        <f t="shared" si="0"/>
        <v>Outstanding</v>
      </c>
      <c r="N123" s="13" t="s">
        <v>21</v>
      </c>
    </row>
    <row r="124" spans="1:14" ht="60" customHeight="1" x14ac:dyDescent="0.35">
      <c r="A124" s="11" t="s">
        <v>605</v>
      </c>
      <c r="B124" s="1" t="s">
        <v>606</v>
      </c>
      <c r="C124" s="2" t="s">
        <v>74</v>
      </c>
      <c r="D124" s="3" t="s">
        <v>414</v>
      </c>
      <c r="E124" s="4" t="s">
        <v>18</v>
      </c>
      <c r="F124" s="4" t="s">
        <v>19</v>
      </c>
      <c r="G124" s="4" t="s">
        <v>20</v>
      </c>
      <c r="H124" s="4" t="s">
        <v>21</v>
      </c>
      <c r="I124" s="5" t="s">
        <v>21</v>
      </c>
      <c r="J124" s="1" t="s">
        <v>607</v>
      </c>
      <c r="K124" s="1" t="s">
        <v>608</v>
      </c>
      <c r="L124" s="1" t="s">
        <v>609</v>
      </c>
      <c r="M124" s="4" t="str">
        <f t="shared" si="0"/>
        <v>Outstanding</v>
      </c>
      <c r="N124" s="13" t="s">
        <v>21</v>
      </c>
    </row>
    <row r="125" spans="1:14" ht="60" customHeight="1" x14ac:dyDescent="0.35">
      <c r="A125" s="11" t="s">
        <v>610</v>
      </c>
      <c r="B125" s="1" t="s">
        <v>611</v>
      </c>
      <c r="C125" s="2" t="s">
        <v>74</v>
      </c>
      <c r="D125" s="3" t="s">
        <v>414</v>
      </c>
      <c r="E125" s="4" t="s">
        <v>18</v>
      </c>
      <c r="F125" s="4" t="s">
        <v>19</v>
      </c>
      <c r="G125" s="4" t="s">
        <v>20</v>
      </c>
      <c r="H125" s="4" t="s">
        <v>21</v>
      </c>
      <c r="I125" s="5" t="s">
        <v>21</v>
      </c>
      <c r="J125" s="1" t="s">
        <v>612</v>
      </c>
      <c r="K125" s="1" t="s">
        <v>613</v>
      </c>
      <c r="L125" s="1" t="s">
        <v>614</v>
      </c>
      <c r="M125" s="4" t="str">
        <f t="shared" si="0"/>
        <v>Outstanding</v>
      </c>
      <c r="N125" s="13" t="s">
        <v>21</v>
      </c>
    </row>
    <row r="126" spans="1:14" ht="60" customHeight="1" x14ac:dyDescent="0.35">
      <c r="A126" s="11" t="s">
        <v>615</v>
      </c>
      <c r="B126" s="1" t="s">
        <v>616</v>
      </c>
      <c r="C126" s="2" t="s">
        <v>74</v>
      </c>
      <c r="D126" s="3" t="s">
        <v>414</v>
      </c>
      <c r="E126" s="4" t="s">
        <v>18</v>
      </c>
      <c r="F126" s="4" t="s">
        <v>19</v>
      </c>
      <c r="G126" s="4" t="s">
        <v>20</v>
      </c>
      <c r="H126" s="4" t="s">
        <v>21</v>
      </c>
      <c r="I126" s="5" t="s">
        <v>21</v>
      </c>
      <c r="J126" s="1" t="s">
        <v>617</v>
      </c>
      <c r="K126" s="1" t="s">
        <v>618</v>
      </c>
      <c r="L126" s="1" t="s">
        <v>619</v>
      </c>
      <c r="M126" s="4" t="str">
        <f t="shared" si="0"/>
        <v>Outstanding</v>
      </c>
      <c r="N126" s="13" t="s">
        <v>21</v>
      </c>
    </row>
    <row r="127" spans="1:14" ht="60" customHeight="1" x14ac:dyDescent="0.35">
      <c r="A127" s="11" t="s">
        <v>620</v>
      </c>
      <c r="B127" s="1" t="s">
        <v>621</v>
      </c>
      <c r="C127" s="2" t="s">
        <v>16</v>
      </c>
      <c r="D127" s="3" t="s">
        <v>414</v>
      </c>
      <c r="E127" s="4" t="s">
        <v>18</v>
      </c>
      <c r="F127" s="4" t="s">
        <v>19</v>
      </c>
      <c r="G127" s="4" t="s">
        <v>20</v>
      </c>
      <c r="H127" s="4" t="s">
        <v>21</v>
      </c>
      <c r="I127" s="5" t="s">
        <v>21</v>
      </c>
      <c r="J127" s="1" t="s">
        <v>622</v>
      </c>
      <c r="K127" s="1" t="s">
        <v>623</v>
      </c>
      <c r="L127" s="1" t="s">
        <v>624</v>
      </c>
      <c r="M127" s="4" t="str">
        <f t="shared" si="0"/>
        <v>Outstanding</v>
      </c>
      <c r="N127" s="13" t="s">
        <v>21</v>
      </c>
    </row>
    <row r="128" spans="1:14" ht="60" customHeight="1" x14ac:dyDescent="0.35">
      <c r="A128" s="11" t="s">
        <v>625</v>
      </c>
      <c r="B128" s="1" t="s">
        <v>626</v>
      </c>
      <c r="C128" s="2" t="s">
        <v>16</v>
      </c>
      <c r="D128" s="3" t="s">
        <v>414</v>
      </c>
      <c r="E128" s="4" t="s">
        <v>18</v>
      </c>
      <c r="F128" s="4" t="s">
        <v>19</v>
      </c>
      <c r="G128" s="4" t="s">
        <v>20</v>
      </c>
      <c r="H128" s="4" t="s">
        <v>21</v>
      </c>
      <c r="I128" s="5" t="s">
        <v>21</v>
      </c>
      <c r="J128" s="1" t="s">
        <v>627</v>
      </c>
      <c r="K128" s="1" t="s">
        <v>628</v>
      </c>
      <c r="L128" s="1" t="s">
        <v>629</v>
      </c>
      <c r="M128" s="4" t="str">
        <f t="shared" si="0"/>
        <v>Outstanding</v>
      </c>
      <c r="N128" s="13" t="s">
        <v>21</v>
      </c>
    </row>
    <row r="129" spans="1:14" ht="60" customHeight="1" x14ac:dyDescent="0.35">
      <c r="A129" s="11" t="s">
        <v>630</v>
      </c>
      <c r="B129" s="1" t="s">
        <v>631</v>
      </c>
      <c r="C129" s="2" t="s">
        <v>16</v>
      </c>
      <c r="D129" s="3" t="s">
        <v>414</v>
      </c>
      <c r="E129" s="4" t="s">
        <v>18</v>
      </c>
      <c r="F129" s="4" t="s">
        <v>19</v>
      </c>
      <c r="G129" s="4" t="s">
        <v>20</v>
      </c>
      <c r="H129" s="4" t="s">
        <v>21</v>
      </c>
      <c r="I129" s="5" t="s">
        <v>21</v>
      </c>
      <c r="J129" s="1" t="s">
        <v>632</v>
      </c>
      <c r="K129" s="1" t="s">
        <v>633</v>
      </c>
      <c r="L129" s="1" t="s">
        <v>634</v>
      </c>
      <c r="M129" s="4" t="str">
        <f t="shared" si="0"/>
        <v>Outstanding</v>
      </c>
      <c r="N129" s="13" t="s">
        <v>21</v>
      </c>
    </row>
    <row r="130" spans="1:14" ht="60" customHeight="1" x14ac:dyDescent="0.35">
      <c r="A130" s="11" t="s">
        <v>635</v>
      </c>
      <c r="B130" s="1" t="s">
        <v>636</v>
      </c>
      <c r="C130" s="2" t="s">
        <v>16</v>
      </c>
      <c r="D130" s="3" t="s">
        <v>414</v>
      </c>
      <c r="E130" s="4" t="s">
        <v>18</v>
      </c>
      <c r="F130" s="4" t="s">
        <v>19</v>
      </c>
      <c r="G130" s="4" t="s">
        <v>20</v>
      </c>
      <c r="H130" s="4" t="s">
        <v>21</v>
      </c>
      <c r="I130" s="5" t="s">
        <v>21</v>
      </c>
      <c r="J130" s="1" t="s">
        <v>637</v>
      </c>
      <c r="K130" s="1" t="s">
        <v>638</v>
      </c>
      <c r="L130" s="1" t="s">
        <v>639</v>
      </c>
      <c r="M130" s="4" t="str">
        <f t="shared" si="0"/>
        <v>Outstanding</v>
      </c>
      <c r="N130" s="13" t="s">
        <v>21</v>
      </c>
    </row>
    <row r="131" spans="1:14" ht="60" customHeight="1" x14ac:dyDescent="0.35">
      <c r="A131" s="11" t="s">
        <v>640</v>
      </c>
      <c r="B131" s="1" t="s">
        <v>641</v>
      </c>
      <c r="C131" s="2" t="s">
        <v>16</v>
      </c>
      <c r="D131" s="3" t="s">
        <v>414</v>
      </c>
      <c r="E131" s="4" t="s">
        <v>18</v>
      </c>
      <c r="F131" s="4" t="s">
        <v>19</v>
      </c>
      <c r="G131" s="4" t="s">
        <v>20</v>
      </c>
      <c r="H131" s="4" t="s">
        <v>21</v>
      </c>
      <c r="I131" s="5" t="s">
        <v>21</v>
      </c>
      <c r="J131" s="1" t="s">
        <v>642</v>
      </c>
      <c r="K131" s="1" t="s">
        <v>643</v>
      </c>
      <c r="L131" s="1" t="s">
        <v>644</v>
      </c>
      <c r="M131" s="4" t="str">
        <f t="shared" si="0"/>
        <v>Outstanding</v>
      </c>
      <c r="N131" s="13" t="s">
        <v>21</v>
      </c>
    </row>
    <row r="132" spans="1:14" ht="60" customHeight="1" x14ac:dyDescent="0.35">
      <c r="A132" s="11" t="s">
        <v>645</v>
      </c>
      <c r="B132" s="1" t="s">
        <v>646</v>
      </c>
      <c r="C132" s="2" t="s">
        <v>413</v>
      </c>
      <c r="D132" s="3" t="s">
        <v>414</v>
      </c>
      <c r="E132" s="4" t="s">
        <v>18</v>
      </c>
      <c r="F132" s="4" t="s">
        <v>19</v>
      </c>
      <c r="G132" s="4" t="s">
        <v>20</v>
      </c>
      <c r="H132" s="4" t="s">
        <v>21</v>
      </c>
      <c r="I132" s="5" t="s">
        <v>21</v>
      </c>
      <c r="J132" s="1" t="s">
        <v>647</v>
      </c>
      <c r="K132" s="1" t="s">
        <v>648</v>
      </c>
      <c r="L132" s="1" t="s">
        <v>649</v>
      </c>
      <c r="M132" s="4" t="str">
        <f t="shared" si="0"/>
        <v>Outstanding</v>
      </c>
      <c r="N132" s="13" t="s">
        <v>21</v>
      </c>
    </row>
    <row r="133" spans="1:14" ht="60" customHeight="1" x14ac:dyDescent="0.35">
      <c r="A133" s="11" t="s">
        <v>650</v>
      </c>
      <c r="B133" s="1" t="s">
        <v>651</v>
      </c>
      <c r="C133" s="2" t="s">
        <v>16</v>
      </c>
      <c r="D133" s="3" t="s">
        <v>414</v>
      </c>
      <c r="E133" s="4" t="s">
        <v>18</v>
      </c>
      <c r="F133" s="4" t="s">
        <v>19</v>
      </c>
      <c r="G133" s="4" t="s">
        <v>20</v>
      </c>
      <c r="H133" s="4" t="s">
        <v>21</v>
      </c>
      <c r="I133" s="5" t="s">
        <v>21</v>
      </c>
      <c r="J133" s="1" t="s">
        <v>652</v>
      </c>
      <c r="K133" s="1" t="s">
        <v>653</v>
      </c>
      <c r="L133" s="1" t="s">
        <v>654</v>
      </c>
      <c r="M133" s="4" t="str">
        <f t="shared" si="0"/>
        <v>Outstanding</v>
      </c>
      <c r="N133" s="13" t="s">
        <v>21</v>
      </c>
    </row>
    <row r="134" spans="1:14" ht="60" customHeight="1" x14ac:dyDescent="0.35">
      <c r="A134" s="11" t="s">
        <v>655</v>
      </c>
      <c r="B134" s="1" t="s">
        <v>656</v>
      </c>
      <c r="C134" s="2" t="s">
        <v>74</v>
      </c>
      <c r="D134" s="3" t="s">
        <v>414</v>
      </c>
      <c r="E134" s="4" t="s">
        <v>18</v>
      </c>
      <c r="F134" s="4" t="s">
        <v>19</v>
      </c>
      <c r="G134" s="4" t="s">
        <v>20</v>
      </c>
      <c r="H134" s="4" t="s">
        <v>21</v>
      </c>
      <c r="I134" s="5" t="s">
        <v>21</v>
      </c>
      <c r="J134" s="1" t="s">
        <v>657</v>
      </c>
      <c r="K134" s="1" t="s">
        <v>658</v>
      </c>
      <c r="L134" s="1" t="s">
        <v>659</v>
      </c>
      <c r="M134" s="4" t="str">
        <f t="shared" si="0"/>
        <v>Outstanding</v>
      </c>
      <c r="N134" s="13" t="s">
        <v>21</v>
      </c>
    </row>
    <row r="135" spans="1:14" ht="60" customHeight="1" x14ac:dyDescent="0.35">
      <c r="A135" s="11" t="s">
        <v>660</v>
      </c>
      <c r="B135" s="1" t="s">
        <v>661</v>
      </c>
      <c r="C135" s="2" t="s">
        <v>16</v>
      </c>
      <c r="D135" s="3" t="s">
        <v>414</v>
      </c>
      <c r="E135" s="4" t="s">
        <v>18</v>
      </c>
      <c r="F135" s="4" t="s">
        <v>19</v>
      </c>
      <c r="G135" s="4" t="s">
        <v>20</v>
      </c>
      <c r="H135" s="4" t="s">
        <v>21</v>
      </c>
      <c r="I135" s="5" t="s">
        <v>21</v>
      </c>
      <c r="J135" s="1" t="s">
        <v>662</v>
      </c>
      <c r="K135" s="1" t="s">
        <v>663</v>
      </c>
      <c r="L135" s="1" t="s">
        <v>664</v>
      </c>
      <c r="M135" s="4" t="str">
        <f t="shared" si="0"/>
        <v>Outstanding</v>
      </c>
      <c r="N135" s="13" t="s">
        <v>21</v>
      </c>
    </row>
    <row r="136" spans="1:14" ht="60" customHeight="1" x14ac:dyDescent="0.35">
      <c r="A136" s="11" t="s">
        <v>665</v>
      </c>
      <c r="B136" s="1" t="s">
        <v>666</v>
      </c>
      <c r="C136" s="2" t="s">
        <v>16</v>
      </c>
      <c r="D136" s="3" t="s">
        <v>414</v>
      </c>
      <c r="E136" s="4" t="s">
        <v>18</v>
      </c>
      <c r="F136" s="4" t="s">
        <v>19</v>
      </c>
      <c r="G136" s="4" t="s">
        <v>20</v>
      </c>
      <c r="H136" s="4" t="s">
        <v>21</v>
      </c>
      <c r="I136" s="5" t="s">
        <v>21</v>
      </c>
      <c r="J136" s="1" t="s">
        <v>667</v>
      </c>
      <c r="K136" s="1" t="s">
        <v>668</v>
      </c>
      <c r="L136" s="1" t="s">
        <v>669</v>
      </c>
      <c r="M136" s="4" t="str">
        <f t="shared" si="0"/>
        <v>Outstanding</v>
      </c>
      <c r="N136" s="13" t="s">
        <v>21</v>
      </c>
    </row>
    <row r="137" spans="1:14" ht="60" customHeight="1" x14ac:dyDescent="0.35">
      <c r="A137" s="11" t="s">
        <v>670</v>
      </c>
      <c r="B137" s="1" t="s">
        <v>671</v>
      </c>
      <c r="C137" s="2" t="s">
        <v>16</v>
      </c>
      <c r="D137" s="3" t="s">
        <v>414</v>
      </c>
      <c r="E137" s="4" t="s">
        <v>18</v>
      </c>
      <c r="F137" s="4" t="s">
        <v>19</v>
      </c>
      <c r="G137" s="4" t="s">
        <v>20</v>
      </c>
      <c r="H137" s="4" t="s">
        <v>21</v>
      </c>
      <c r="I137" s="5" t="s">
        <v>21</v>
      </c>
      <c r="J137" s="1" t="s">
        <v>667</v>
      </c>
      <c r="K137" s="1" t="s">
        <v>672</v>
      </c>
      <c r="L137" s="1" t="s">
        <v>673</v>
      </c>
      <c r="M137" s="4" t="str">
        <f t="shared" si="0"/>
        <v>Outstanding</v>
      </c>
      <c r="N137" s="13" t="s">
        <v>21</v>
      </c>
    </row>
    <row r="138" spans="1:14" ht="60" customHeight="1" x14ac:dyDescent="0.35">
      <c r="A138" s="11" t="s">
        <v>674</v>
      </c>
      <c r="B138" s="1" t="s">
        <v>675</v>
      </c>
      <c r="C138" s="2" t="s">
        <v>16</v>
      </c>
      <c r="D138" s="3" t="s">
        <v>414</v>
      </c>
      <c r="E138" s="4" t="s">
        <v>18</v>
      </c>
      <c r="F138" s="4" t="s">
        <v>19</v>
      </c>
      <c r="G138" s="4" t="s">
        <v>20</v>
      </c>
      <c r="H138" s="4" t="s">
        <v>21</v>
      </c>
      <c r="I138" s="5" t="s">
        <v>21</v>
      </c>
      <c r="J138" s="1" t="s">
        <v>676</v>
      </c>
      <c r="K138" s="1" t="s">
        <v>677</v>
      </c>
      <c r="L138" s="1" t="s">
        <v>678</v>
      </c>
      <c r="M138" s="4" t="str">
        <f t="shared" si="0"/>
        <v>Outstanding</v>
      </c>
      <c r="N138" s="13" t="s">
        <v>21</v>
      </c>
    </row>
    <row r="139" spans="1:14" ht="60" customHeight="1" x14ac:dyDescent="0.35">
      <c r="A139" s="11" t="s">
        <v>679</v>
      </c>
      <c r="B139" s="1" t="s">
        <v>680</v>
      </c>
      <c r="C139" s="2" t="s">
        <v>16</v>
      </c>
      <c r="D139" s="3" t="s">
        <v>414</v>
      </c>
      <c r="E139" s="4" t="s">
        <v>18</v>
      </c>
      <c r="F139" s="4" t="s">
        <v>19</v>
      </c>
      <c r="G139" s="4" t="s">
        <v>20</v>
      </c>
      <c r="H139" s="4" t="s">
        <v>21</v>
      </c>
      <c r="I139" s="5" t="s">
        <v>21</v>
      </c>
      <c r="J139" s="1" t="s">
        <v>681</v>
      </c>
      <c r="K139" s="1" t="s">
        <v>682</v>
      </c>
      <c r="L139" s="1" t="s">
        <v>683</v>
      </c>
      <c r="M139" s="4" t="str">
        <f t="shared" si="0"/>
        <v>Outstanding</v>
      </c>
      <c r="N139" s="13" t="s">
        <v>21</v>
      </c>
    </row>
    <row r="140" spans="1:14" ht="60" customHeight="1" x14ac:dyDescent="0.35">
      <c r="A140" s="11" t="s">
        <v>684</v>
      </c>
      <c r="B140" s="1" t="s">
        <v>685</v>
      </c>
      <c r="C140" s="2" t="s">
        <v>16</v>
      </c>
      <c r="D140" s="3" t="s">
        <v>414</v>
      </c>
      <c r="E140" s="4" t="s">
        <v>18</v>
      </c>
      <c r="F140" s="4" t="s">
        <v>19</v>
      </c>
      <c r="G140" s="4" t="s">
        <v>20</v>
      </c>
      <c r="H140" s="4" t="s">
        <v>21</v>
      </c>
      <c r="I140" s="5" t="s">
        <v>21</v>
      </c>
      <c r="J140" s="1" t="s">
        <v>686</v>
      </c>
      <c r="K140" s="1" t="s">
        <v>687</v>
      </c>
      <c r="L140" s="1" t="s">
        <v>688</v>
      </c>
      <c r="M140" s="4" t="str">
        <f t="shared" si="0"/>
        <v>Outstanding</v>
      </c>
      <c r="N140" s="13" t="s">
        <v>21</v>
      </c>
    </row>
    <row r="141" spans="1:14" ht="60" customHeight="1" x14ac:dyDescent="0.35">
      <c r="A141" s="11" t="s">
        <v>689</v>
      </c>
      <c r="B141" s="1" t="s">
        <v>690</v>
      </c>
      <c r="C141" s="2" t="s">
        <v>413</v>
      </c>
      <c r="D141" s="3" t="s">
        <v>414</v>
      </c>
      <c r="E141" s="4" t="s">
        <v>18</v>
      </c>
      <c r="F141" s="4" t="s">
        <v>19</v>
      </c>
      <c r="G141" s="4" t="s">
        <v>20</v>
      </c>
      <c r="H141" s="4" t="s">
        <v>21</v>
      </c>
      <c r="I141" s="5" t="s">
        <v>21</v>
      </c>
      <c r="J141" s="1" t="s">
        <v>691</v>
      </c>
      <c r="K141" s="1" t="s">
        <v>692</v>
      </c>
      <c r="L141" s="1" t="s">
        <v>693</v>
      </c>
      <c r="M141" s="4" t="str">
        <f t="shared" si="0"/>
        <v>Outstanding</v>
      </c>
      <c r="N141" s="13" t="s">
        <v>21</v>
      </c>
    </row>
    <row r="142" spans="1:14" ht="60" customHeight="1" x14ac:dyDescent="0.35">
      <c r="A142" s="11" t="s">
        <v>694</v>
      </c>
      <c r="B142" s="1" t="s">
        <v>695</v>
      </c>
      <c r="C142" s="2" t="s">
        <v>413</v>
      </c>
      <c r="D142" s="3" t="s">
        <v>414</v>
      </c>
      <c r="E142" s="4" t="s">
        <v>18</v>
      </c>
      <c r="F142" s="4" t="s">
        <v>19</v>
      </c>
      <c r="G142" s="4" t="s">
        <v>20</v>
      </c>
      <c r="H142" s="4" t="s">
        <v>21</v>
      </c>
      <c r="I142" s="5" t="s">
        <v>21</v>
      </c>
      <c r="J142" s="1" t="s">
        <v>696</v>
      </c>
      <c r="K142" s="1" t="s">
        <v>697</v>
      </c>
      <c r="L142" s="1" t="s">
        <v>698</v>
      </c>
      <c r="M142" s="4" t="str">
        <f t="shared" si="0"/>
        <v>Outstanding</v>
      </c>
      <c r="N142" s="13" t="s">
        <v>21</v>
      </c>
    </row>
    <row r="143" spans="1:14" ht="60" customHeight="1" x14ac:dyDescent="0.35">
      <c r="A143" s="11" t="s">
        <v>699</v>
      </c>
      <c r="B143" s="1" t="s">
        <v>700</v>
      </c>
      <c r="C143" s="2" t="s">
        <v>16</v>
      </c>
      <c r="D143" s="3" t="s">
        <v>414</v>
      </c>
      <c r="E143" s="4" t="s">
        <v>18</v>
      </c>
      <c r="F143" s="4" t="s">
        <v>19</v>
      </c>
      <c r="G143" s="4" t="s">
        <v>20</v>
      </c>
      <c r="H143" s="4" t="s">
        <v>21</v>
      </c>
      <c r="I143" s="5" t="s">
        <v>21</v>
      </c>
      <c r="J143" s="1" t="s">
        <v>701</v>
      </c>
      <c r="K143" s="1" t="s">
        <v>702</v>
      </c>
      <c r="L143" s="1" t="s">
        <v>703</v>
      </c>
      <c r="M143" s="4" t="str">
        <f t="shared" si="0"/>
        <v>Outstanding</v>
      </c>
      <c r="N143" s="13" t="s">
        <v>21</v>
      </c>
    </row>
    <row r="144" spans="1:14" ht="60" customHeight="1" x14ac:dyDescent="0.35">
      <c r="A144" s="11" t="s">
        <v>704</v>
      </c>
      <c r="B144" s="1" t="s">
        <v>705</v>
      </c>
      <c r="C144" s="2" t="s">
        <v>16</v>
      </c>
      <c r="D144" s="3" t="s">
        <v>414</v>
      </c>
      <c r="E144" s="4" t="s">
        <v>18</v>
      </c>
      <c r="F144" s="4" t="s">
        <v>19</v>
      </c>
      <c r="G144" s="4" t="s">
        <v>20</v>
      </c>
      <c r="H144" s="4" t="s">
        <v>21</v>
      </c>
      <c r="I144" s="5" t="s">
        <v>21</v>
      </c>
      <c r="J144" s="1" t="s">
        <v>706</v>
      </c>
      <c r="K144" s="1" t="s">
        <v>707</v>
      </c>
      <c r="L144" s="1" t="s">
        <v>708</v>
      </c>
      <c r="M144" s="4" t="str">
        <f t="shared" si="0"/>
        <v>Outstanding</v>
      </c>
      <c r="N144" s="13" t="s">
        <v>21</v>
      </c>
    </row>
    <row r="145" spans="1:14" ht="60" customHeight="1" x14ac:dyDescent="0.35">
      <c r="A145" s="11" t="s">
        <v>709</v>
      </c>
      <c r="B145" s="1" t="s">
        <v>710</v>
      </c>
      <c r="C145" s="2" t="s">
        <v>74</v>
      </c>
      <c r="D145" s="3" t="s">
        <v>414</v>
      </c>
      <c r="E145" s="4" t="s">
        <v>18</v>
      </c>
      <c r="F145" s="4" t="s">
        <v>19</v>
      </c>
      <c r="G145" s="4" t="s">
        <v>20</v>
      </c>
      <c r="H145" s="4" t="s">
        <v>21</v>
      </c>
      <c r="I145" s="5" t="s">
        <v>21</v>
      </c>
      <c r="J145" s="1" t="s">
        <v>711</v>
      </c>
      <c r="K145" s="1" t="s">
        <v>712</v>
      </c>
      <c r="L145" s="1" t="s">
        <v>713</v>
      </c>
      <c r="M145" s="4" t="str">
        <f t="shared" si="0"/>
        <v>Outstanding</v>
      </c>
      <c r="N145" s="13" t="s">
        <v>21</v>
      </c>
    </row>
    <row r="146" spans="1:14" ht="60" customHeight="1" x14ac:dyDescent="0.35">
      <c r="A146" s="11" t="s">
        <v>714</v>
      </c>
      <c r="B146" s="1" t="s">
        <v>715</v>
      </c>
      <c r="C146" s="2" t="s">
        <v>413</v>
      </c>
      <c r="D146" s="3" t="s">
        <v>414</v>
      </c>
      <c r="E146" s="4" t="s">
        <v>18</v>
      </c>
      <c r="F146" s="4" t="s">
        <v>19</v>
      </c>
      <c r="G146" s="4" t="s">
        <v>20</v>
      </c>
      <c r="H146" s="4" t="s">
        <v>21</v>
      </c>
      <c r="I146" s="5" t="s">
        <v>21</v>
      </c>
      <c r="J146" s="1" t="s">
        <v>716</v>
      </c>
      <c r="K146" s="1" t="s">
        <v>717</v>
      </c>
      <c r="L146" s="1" t="s">
        <v>718</v>
      </c>
      <c r="M146" s="4" t="str">
        <f t="shared" si="0"/>
        <v>Outstanding</v>
      </c>
      <c r="N146" s="13" t="s">
        <v>21</v>
      </c>
    </row>
    <row r="147" spans="1:14" ht="60" customHeight="1" x14ac:dyDescent="0.35">
      <c r="A147" s="11" t="s">
        <v>719</v>
      </c>
      <c r="B147" s="1" t="s">
        <v>720</v>
      </c>
      <c r="C147" s="2" t="s">
        <v>413</v>
      </c>
      <c r="D147" s="3" t="s">
        <v>414</v>
      </c>
      <c r="E147" s="4" t="s">
        <v>18</v>
      </c>
      <c r="F147" s="4" t="s">
        <v>19</v>
      </c>
      <c r="G147" s="4" t="s">
        <v>20</v>
      </c>
      <c r="H147" s="4" t="s">
        <v>21</v>
      </c>
      <c r="I147" s="5" t="s">
        <v>21</v>
      </c>
      <c r="J147" s="1" t="s">
        <v>721</v>
      </c>
      <c r="K147" s="1" t="s">
        <v>722</v>
      </c>
      <c r="L147" s="1" t="s">
        <v>723</v>
      </c>
      <c r="M147" s="4" t="str">
        <f t="shared" si="0"/>
        <v>Outstanding</v>
      </c>
      <c r="N147" s="13" t="s">
        <v>21</v>
      </c>
    </row>
    <row r="148" spans="1:14" ht="60" customHeight="1" x14ac:dyDescent="0.35">
      <c r="A148" s="11" t="s">
        <v>724</v>
      </c>
      <c r="B148" s="1" t="s">
        <v>725</v>
      </c>
      <c r="C148" s="2" t="s">
        <v>16</v>
      </c>
      <c r="D148" s="3" t="s">
        <v>414</v>
      </c>
      <c r="E148" s="4" t="s">
        <v>18</v>
      </c>
      <c r="F148" s="4" t="s">
        <v>19</v>
      </c>
      <c r="G148" s="4" t="s">
        <v>20</v>
      </c>
      <c r="H148" s="4" t="s">
        <v>21</v>
      </c>
      <c r="I148" s="5" t="s">
        <v>21</v>
      </c>
      <c r="J148" s="1" t="s">
        <v>726</v>
      </c>
      <c r="K148" s="1" t="s">
        <v>727</v>
      </c>
      <c r="L148" s="1" t="s">
        <v>491</v>
      </c>
      <c r="M148" s="4" t="str">
        <f t="shared" si="0"/>
        <v>Outstanding</v>
      </c>
      <c r="N148" s="13" t="s">
        <v>21</v>
      </c>
    </row>
    <row r="149" spans="1:14" ht="60" customHeight="1" x14ac:dyDescent="0.35">
      <c r="A149" s="12" t="s">
        <v>728</v>
      </c>
      <c r="B149" s="6" t="s">
        <v>729</v>
      </c>
      <c r="C149" s="7" t="s">
        <v>16</v>
      </c>
      <c r="D149" s="8" t="s">
        <v>414</v>
      </c>
      <c r="E149" s="9" t="s">
        <v>18</v>
      </c>
      <c r="F149" s="9" t="s">
        <v>19</v>
      </c>
      <c r="G149" s="9" t="s">
        <v>20</v>
      </c>
      <c r="H149" s="9" t="s">
        <v>21</v>
      </c>
      <c r="I149" s="10" t="s">
        <v>21</v>
      </c>
      <c r="J149" s="6" t="s">
        <v>730</v>
      </c>
      <c r="K149" s="6" t="s">
        <v>731</v>
      </c>
      <c r="L149" s="6" t="s">
        <v>732</v>
      </c>
      <c r="M149" s="9" t="str">
        <f t="shared" si="0"/>
        <v>Outstanding</v>
      </c>
      <c r="N149" s="14" t="s">
        <v>21</v>
      </c>
    </row>
    <row r="153" spans="1:14" ht="32" customHeight="1" x14ac:dyDescent="0.35">
      <c r="A153" s="291" t="s">
        <v>733</v>
      </c>
      <c r="B153" s="291"/>
      <c r="C153" s="291"/>
      <c r="D153" s="291"/>
    </row>
  </sheetData>
  <mergeCells count="1">
    <mergeCell ref="A153:D153"/>
  </mergeCells>
  <conditionalFormatting sqref="C2:C149">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4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4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4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49" xr:uid="{00000000-0002-0000-0200-000000000000}">
      <formula1>"Must,Should,Could,Won't,Unassigned"</formula1>
    </dataValidation>
    <dataValidation type="list" showErrorMessage="1" errorTitle="Invalid Value" error="Please select a value from the list: Low, Medium, High, Unassessed." sqref="F2:F149" xr:uid="{00000000-0002-0000-0200-000001000000}">
      <formula1>"Low,Medium,High,Unassessed"</formula1>
    </dataValidation>
    <dataValidation type="list" showErrorMessage="1" errorTitle="Invalid Value" error="Please select a value from the list: Phase1, Phase2, Phase3, Phase4, Phase5, Pending." sqref="G2:G14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49" xr:uid="{00000000-0002-0000-0200-000003000000}">
      <formula1>"Implemented,Testing,Failed,Compensated,Risk Accepted,N/A"</formula1>
    </dataValidation>
  </dataValidations>
  <hyperlinks>
    <hyperlink ref="A15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888</v>
      </c>
      <c r="C2" s="308" t="s">
        <v>888</v>
      </c>
      <c r="D2" s="308" t="s">
        <v>888</v>
      </c>
      <c r="E2" s="308" t="s">
        <v>888</v>
      </c>
      <c r="F2" s="308" t="s">
        <v>888</v>
      </c>
      <c r="G2" s="308" t="s">
        <v>888</v>
      </c>
      <c r="H2" s="312" t="s">
        <v>889</v>
      </c>
      <c r="I2" s="312" t="s">
        <v>889</v>
      </c>
      <c r="J2" s="312" t="s">
        <v>889</v>
      </c>
      <c r="K2" s="312" t="s">
        <v>889</v>
      </c>
      <c r="L2" s="312" t="s">
        <v>889</v>
      </c>
      <c r="M2" s="311" t="s">
        <v>890</v>
      </c>
      <c r="N2" s="311" t="s">
        <v>890</v>
      </c>
      <c r="O2" s="313" t="s">
        <v>891</v>
      </c>
      <c r="P2" s="313" t="s">
        <v>891</v>
      </c>
      <c r="Q2" s="309" t="s">
        <v>12</v>
      </c>
      <c r="R2" s="309" t="s">
        <v>12</v>
      </c>
      <c r="S2" s="309" t="s">
        <v>12</v>
      </c>
      <c r="T2" s="310" t="s">
        <v>892</v>
      </c>
    </row>
    <row r="3" spans="2:20" ht="35" customHeight="1" x14ac:dyDescent="0.35">
      <c r="B3" s="73" t="s">
        <v>893</v>
      </c>
      <c r="C3" s="73" t="s">
        <v>894</v>
      </c>
      <c r="D3" s="73" t="s">
        <v>895</v>
      </c>
      <c r="E3" s="73" t="s">
        <v>896</v>
      </c>
      <c r="F3" s="73" t="s">
        <v>897</v>
      </c>
      <c r="G3" s="73" t="s">
        <v>10</v>
      </c>
      <c r="H3" s="74" t="s">
        <v>898</v>
      </c>
      <c r="I3" s="74" t="s">
        <v>899</v>
      </c>
      <c r="J3" s="74" t="s">
        <v>900</v>
      </c>
      <c r="K3" s="74" t="s">
        <v>901</v>
      </c>
      <c r="L3" s="74" t="s">
        <v>832</v>
      </c>
      <c r="M3" s="75" t="s">
        <v>902</v>
      </c>
      <c r="N3" s="75" t="s">
        <v>903</v>
      </c>
      <c r="O3" s="76" t="s">
        <v>904</v>
      </c>
      <c r="P3" s="76" t="s">
        <v>905</v>
      </c>
      <c r="Q3" s="77" t="s">
        <v>12</v>
      </c>
      <c r="R3" s="77" t="s">
        <v>906</v>
      </c>
      <c r="S3" s="77" t="s">
        <v>907</v>
      </c>
      <c r="T3" s="78" t="s">
        <v>908</v>
      </c>
    </row>
    <row r="4" spans="2:20" ht="60" customHeight="1" x14ac:dyDescent="0.35">
      <c r="B4" s="79" t="s">
        <v>909</v>
      </c>
      <c r="C4" s="79" t="s">
        <v>910</v>
      </c>
      <c r="D4" s="79" t="s">
        <v>911</v>
      </c>
      <c r="E4" s="79" t="s">
        <v>912</v>
      </c>
      <c r="F4" s="79" t="s">
        <v>913</v>
      </c>
      <c r="G4" s="79" t="s">
        <v>914</v>
      </c>
      <c r="H4" s="79" t="s">
        <v>915</v>
      </c>
      <c r="I4" s="79" t="s">
        <v>916</v>
      </c>
      <c r="J4" s="79" t="s">
        <v>917</v>
      </c>
      <c r="K4" s="79" t="s">
        <v>918</v>
      </c>
      <c r="L4" s="79" t="s">
        <v>919</v>
      </c>
      <c r="M4" s="79" t="s">
        <v>920</v>
      </c>
      <c r="N4" s="79" t="s">
        <v>921</v>
      </c>
      <c r="O4" s="79" t="s">
        <v>922</v>
      </c>
      <c r="P4" s="79" t="s">
        <v>923</v>
      </c>
      <c r="Q4" s="79" t="s">
        <v>924</v>
      </c>
      <c r="R4" s="79" t="s">
        <v>925</v>
      </c>
      <c r="S4" s="79" t="s">
        <v>926</v>
      </c>
      <c r="T4" s="79" t="s">
        <v>927</v>
      </c>
    </row>
    <row r="5" spans="2:20" ht="60" customHeight="1" x14ac:dyDescent="0.35">
      <c r="B5" s="41" t="s">
        <v>928</v>
      </c>
      <c r="C5" s="80"/>
      <c r="D5" s="81"/>
      <c r="E5" s="81" t="s">
        <v>21</v>
      </c>
      <c r="F5" s="81" t="str">
        <f>IF(E5&lt;&gt;"", IFERROR(VLOOKUP(E5, Dashboard!$B48:$F53, 5, FALSE), ""), "")</f>
        <v/>
      </c>
      <c r="G5" s="82"/>
      <c r="H5" s="69"/>
      <c r="I5" s="69"/>
      <c r="J5" s="82"/>
      <c r="K5" s="82"/>
      <c r="L5" s="43"/>
      <c r="M5" s="43"/>
      <c r="N5" s="82"/>
      <c r="O5" s="82"/>
      <c r="P5" s="43"/>
      <c r="Q5" s="43" t="s">
        <v>21</v>
      </c>
      <c r="R5" s="82"/>
      <c r="S5" s="69"/>
      <c r="T5" s="82"/>
    </row>
    <row r="6" spans="2:20" ht="60" customHeight="1" x14ac:dyDescent="0.35">
      <c r="B6" s="41" t="s">
        <v>929</v>
      </c>
      <c r="C6" s="80"/>
      <c r="D6" s="81"/>
      <c r="E6" s="81" t="s">
        <v>21</v>
      </c>
      <c r="F6" s="81" t="str">
        <f>IF(E6&lt;&gt;"", IFERROR(VLOOKUP(E6, Dashboard!$B48:$F53, 5, FALSE), ""), "")</f>
        <v/>
      </c>
      <c r="G6" s="82"/>
      <c r="H6" s="69"/>
      <c r="I6" s="69"/>
      <c r="J6" s="82"/>
      <c r="K6" s="82"/>
      <c r="L6" s="43"/>
      <c r="M6" s="43"/>
      <c r="N6" s="82"/>
      <c r="O6" s="82"/>
      <c r="P6" s="43"/>
      <c r="Q6" s="43" t="s">
        <v>21</v>
      </c>
      <c r="R6" s="82"/>
      <c r="S6" s="69"/>
      <c r="T6" s="82"/>
    </row>
    <row r="7" spans="2:20" ht="60" customHeight="1" x14ac:dyDescent="0.35">
      <c r="B7" s="41" t="s">
        <v>930</v>
      </c>
      <c r="C7" s="80"/>
      <c r="D7" s="81"/>
      <c r="E7" s="81" t="s">
        <v>21</v>
      </c>
      <c r="F7" s="81" t="str">
        <f>IF(E7&lt;&gt;"", IFERROR(VLOOKUP(E7, Dashboard!$B48:$F53, 5, FALSE), ""), "")</f>
        <v/>
      </c>
      <c r="G7" s="82"/>
      <c r="H7" s="69"/>
      <c r="I7" s="69"/>
      <c r="J7" s="82"/>
      <c r="K7" s="82"/>
      <c r="L7" s="43"/>
      <c r="M7" s="43"/>
      <c r="N7" s="82"/>
      <c r="O7" s="82"/>
      <c r="P7" s="43"/>
      <c r="Q7" s="43" t="s">
        <v>21</v>
      </c>
      <c r="R7" s="82"/>
      <c r="S7" s="69"/>
      <c r="T7" s="82"/>
    </row>
    <row r="8" spans="2:20" ht="60" customHeight="1" x14ac:dyDescent="0.35">
      <c r="B8" s="41" t="s">
        <v>931</v>
      </c>
      <c r="C8" s="80"/>
      <c r="D8" s="81"/>
      <c r="E8" s="81" t="s">
        <v>21</v>
      </c>
      <c r="F8" s="81" t="str">
        <f>IF(E8&lt;&gt;"", IFERROR(VLOOKUP(E8, Dashboard!$B48:$F53, 5, FALSE), ""), "")</f>
        <v/>
      </c>
      <c r="G8" s="82"/>
      <c r="H8" s="69"/>
      <c r="I8" s="69"/>
      <c r="J8" s="82"/>
      <c r="K8" s="82"/>
      <c r="L8" s="43"/>
      <c r="M8" s="43"/>
      <c r="N8" s="82"/>
      <c r="O8" s="82"/>
      <c r="P8" s="43"/>
      <c r="Q8" s="43" t="s">
        <v>21</v>
      </c>
      <c r="R8" s="82"/>
      <c r="S8" s="69"/>
      <c r="T8" s="82"/>
    </row>
    <row r="9" spans="2:20" ht="60" customHeight="1" x14ac:dyDescent="0.35">
      <c r="B9" s="41" t="s">
        <v>932</v>
      </c>
      <c r="C9" s="80"/>
      <c r="D9" s="81"/>
      <c r="E9" s="81" t="s">
        <v>21</v>
      </c>
      <c r="F9" s="81" t="str">
        <f>IF(E9&lt;&gt;"", IFERROR(VLOOKUP(E9, Dashboard!$B48:$F53, 5, FALSE), ""), "")</f>
        <v/>
      </c>
      <c r="G9" s="82"/>
      <c r="H9" s="69"/>
      <c r="I9" s="69"/>
      <c r="J9" s="82"/>
      <c r="K9" s="82"/>
      <c r="L9" s="43"/>
      <c r="M9" s="43"/>
      <c r="N9" s="82"/>
      <c r="O9" s="82"/>
      <c r="P9" s="43"/>
      <c r="Q9" s="43" t="s">
        <v>21</v>
      </c>
      <c r="R9" s="82"/>
      <c r="S9" s="69"/>
      <c r="T9" s="82"/>
    </row>
    <row r="10" spans="2:20" ht="60" customHeight="1" x14ac:dyDescent="0.35">
      <c r="B10" s="41" t="s">
        <v>933</v>
      </c>
      <c r="C10" s="80"/>
      <c r="D10" s="81"/>
      <c r="E10" s="81" t="s">
        <v>21</v>
      </c>
      <c r="F10" s="81" t="str">
        <f>IF(E10&lt;&gt;"", IFERROR(VLOOKUP(E10, Dashboard!$B48:$F53, 5, FALSE), ""), "")</f>
        <v/>
      </c>
      <c r="G10" s="82"/>
      <c r="H10" s="69"/>
      <c r="I10" s="69"/>
      <c r="J10" s="82"/>
      <c r="K10" s="82"/>
      <c r="L10" s="43"/>
      <c r="M10" s="43"/>
      <c r="N10" s="82"/>
      <c r="O10" s="82"/>
      <c r="P10" s="43"/>
      <c r="Q10" s="43" t="s">
        <v>21</v>
      </c>
      <c r="R10" s="82"/>
      <c r="S10" s="69"/>
      <c r="T10" s="82"/>
    </row>
    <row r="11" spans="2:20" ht="60" customHeight="1" x14ac:dyDescent="0.35">
      <c r="B11" s="41" t="s">
        <v>934</v>
      </c>
      <c r="C11" s="80"/>
      <c r="D11" s="81"/>
      <c r="E11" s="81" t="s">
        <v>21</v>
      </c>
      <c r="F11" s="81" t="str">
        <f>IF(E11&lt;&gt;"", IFERROR(VLOOKUP(E11, Dashboard!$B48:$F53, 5, FALSE), ""), "")</f>
        <v/>
      </c>
      <c r="G11" s="82"/>
      <c r="H11" s="69"/>
      <c r="I11" s="69"/>
      <c r="J11" s="82"/>
      <c r="K11" s="82"/>
      <c r="L11" s="43"/>
      <c r="M11" s="43"/>
      <c r="N11" s="82"/>
      <c r="O11" s="82"/>
      <c r="P11" s="43"/>
      <c r="Q11" s="43" t="s">
        <v>21</v>
      </c>
      <c r="R11" s="82"/>
      <c r="S11" s="69"/>
      <c r="T11" s="82"/>
    </row>
    <row r="12" spans="2:20" ht="60" customHeight="1" x14ac:dyDescent="0.35">
      <c r="B12" s="41" t="s">
        <v>935</v>
      </c>
      <c r="C12" s="80"/>
      <c r="D12" s="81"/>
      <c r="E12" s="81" t="s">
        <v>21</v>
      </c>
      <c r="F12" s="81" t="str">
        <f>IF(E12&lt;&gt;"", IFERROR(VLOOKUP(E12, Dashboard!$B48:$F53, 5, FALSE), ""), "")</f>
        <v/>
      </c>
      <c r="G12" s="82"/>
      <c r="H12" s="69"/>
      <c r="I12" s="69"/>
      <c r="J12" s="82"/>
      <c r="K12" s="82"/>
      <c r="L12" s="43"/>
      <c r="M12" s="43"/>
      <c r="N12" s="82"/>
      <c r="O12" s="82"/>
      <c r="P12" s="43"/>
      <c r="Q12" s="43" t="s">
        <v>21</v>
      </c>
      <c r="R12" s="82"/>
      <c r="S12" s="69"/>
      <c r="T12" s="82"/>
    </row>
    <row r="13" spans="2:20" ht="60" customHeight="1" x14ac:dyDescent="0.35">
      <c r="B13" s="41" t="s">
        <v>936</v>
      </c>
      <c r="C13" s="80"/>
      <c r="D13" s="81"/>
      <c r="E13" s="81" t="s">
        <v>21</v>
      </c>
      <c r="F13" s="81" t="str">
        <f>IF(E13&lt;&gt;"", IFERROR(VLOOKUP(E13, Dashboard!$B48:$F53, 5, FALSE), ""), "")</f>
        <v/>
      </c>
      <c r="G13" s="82"/>
      <c r="H13" s="69"/>
      <c r="I13" s="69"/>
      <c r="J13" s="82"/>
      <c r="K13" s="82"/>
      <c r="L13" s="43"/>
      <c r="M13" s="43"/>
      <c r="N13" s="82"/>
      <c r="O13" s="82"/>
      <c r="P13" s="43"/>
      <c r="Q13" s="43" t="s">
        <v>21</v>
      </c>
      <c r="R13" s="82"/>
      <c r="S13" s="69"/>
      <c r="T13" s="82"/>
    </row>
    <row r="14" spans="2:20" ht="60" customHeight="1" x14ac:dyDescent="0.35">
      <c r="B14" s="41" t="s">
        <v>937</v>
      </c>
      <c r="C14" s="80"/>
      <c r="D14" s="81"/>
      <c r="E14" s="81" t="s">
        <v>21</v>
      </c>
      <c r="F14" s="81" t="str">
        <f>IF(E14&lt;&gt;"", IFERROR(VLOOKUP(E14, Dashboard!$B48:$F53, 5, FALSE), ""), "")</f>
        <v/>
      </c>
      <c r="G14" s="82"/>
      <c r="H14" s="69"/>
      <c r="I14" s="69"/>
      <c r="J14" s="82"/>
      <c r="K14" s="82"/>
      <c r="L14" s="43"/>
      <c r="M14" s="43"/>
      <c r="N14" s="82"/>
      <c r="O14" s="82"/>
      <c r="P14" s="43"/>
      <c r="Q14" s="43" t="s">
        <v>21</v>
      </c>
      <c r="R14" s="82"/>
      <c r="S14" s="69"/>
      <c r="T14" s="82"/>
    </row>
    <row r="15" spans="2:20" ht="60" customHeight="1" x14ac:dyDescent="0.35">
      <c r="B15" s="41" t="s">
        <v>938</v>
      </c>
      <c r="C15" s="80"/>
      <c r="D15" s="81"/>
      <c r="E15" s="81" t="s">
        <v>21</v>
      </c>
      <c r="F15" s="81" t="str">
        <f>IF(E15&lt;&gt;"", IFERROR(VLOOKUP(E15, Dashboard!$B48:$F53, 5, FALSE), ""), "")</f>
        <v/>
      </c>
      <c r="G15" s="82"/>
      <c r="H15" s="69"/>
      <c r="I15" s="69"/>
      <c r="J15" s="82"/>
      <c r="K15" s="82"/>
      <c r="L15" s="43"/>
      <c r="M15" s="43"/>
      <c r="N15" s="82"/>
      <c r="O15" s="82"/>
      <c r="P15" s="43"/>
      <c r="Q15" s="43" t="s">
        <v>21</v>
      </c>
      <c r="R15" s="82"/>
      <c r="S15" s="69"/>
      <c r="T15" s="82"/>
    </row>
    <row r="16" spans="2:20" ht="60" customHeight="1" x14ac:dyDescent="0.35">
      <c r="B16" s="41" t="s">
        <v>939</v>
      </c>
      <c r="C16" s="80"/>
      <c r="D16" s="81"/>
      <c r="E16" s="81" t="s">
        <v>21</v>
      </c>
      <c r="F16" s="81" t="str">
        <f>IF(E16&lt;&gt;"", IFERROR(VLOOKUP(E16, Dashboard!$B48:$F53, 5, FALSE), ""), "")</f>
        <v/>
      </c>
      <c r="G16" s="82"/>
      <c r="H16" s="69"/>
      <c r="I16" s="69"/>
      <c r="J16" s="82"/>
      <c r="K16" s="82"/>
      <c r="L16" s="43"/>
      <c r="M16" s="43"/>
      <c r="N16" s="82"/>
      <c r="O16" s="82"/>
      <c r="P16" s="43"/>
      <c r="Q16" s="43" t="s">
        <v>21</v>
      </c>
      <c r="R16" s="82"/>
      <c r="S16" s="69"/>
      <c r="T16" s="82"/>
    </row>
    <row r="17" spans="2:20" ht="60" customHeight="1" x14ac:dyDescent="0.35">
      <c r="B17" s="41" t="s">
        <v>940</v>
      </c>
      <c r="C17" s="80"/>
      <c r="D17" s="81"/>
      <c r="E17" s="81" t="s">
        <v>21</v>
      </c>
      <c r="F17" s="81" t="str">
        <f>IF(E17&lt;&gt;"", IFERROR(VLOOKUP(E17, Dashboard!$B48:$F53, 5, FALSE), ""), "")</f>
        <v/>
      </c>
      <c r="G17" s="82"/>
      <c r="H17" s="69"/>
      <c r="I17" s="69"/>
      <c r="J17" s="82"/>
      <c r="K17" s="82"/>
      <c r="L17" s="43"/>
      <c r="M17" s="43"/>
      <c r="N17" s="82"/>
      <c r="O17" s="82"/>
      <c r="P17" s="43"/>
      <c r="Q17" s="43" t="s">
        <v>21</v>
      </c>
      <c r="R17" s="82"/>
      <c r="S17" s="69"/>
      <c r="T17" s="82"/>
    </row>
    <row r="18" spans="2:20" ht="60" customHeight="1" x14ac:dyDescent="0.35">
      <c r="B18" s="41" t="s">
        <v>941</v>
      </c>
      <c r="C18" s="80"/>
      <c r="D18" s="81"/>
      <c r="E18" s="81" t="s">
        <v>21</v>
      </c>
      <c r="F18" s="81" t="str">
        <f>IF(E18&lt;&gt;"", IFERROR(VLOOKUP(E18, Dashboard!$B48:$F53, 5, FALSE), ""), "")</f>
        <v/>
      </c>
      <c r="G18" s="82"/>
      <c r="H18" s="69"/>
      <c r="I18" s="69"/>
      <c r="J18" s="82"/>
      <c r="K18" s="82"/>
      <c r="L18" s="43"/>
      <c r="M18" s="43"/>
      <c r="N18" s="82"/>
      <c r="O18" s="82"/>
      <c r="P18" s="43"/>
      <c r="Q18" s="43" t="s">
        <v>21</v>
      </c>
      <c r="R18" s="82"/>
      <c r="S18" s="69"/>
      <c r="T18" s="82"/>
    </row>
    <row r="19" spans="2:20" ht="60" customHeight="1" x14ac:dyDescent="0.35">
      <c r="B19" s="41" t="s">
        <v>942</v>
      </c>
      <c r="C19" s="80"/>
      <c r="D19" s="81"/>
      <c r="E19" s="81" t="s">
        <v>21</v>
      </c>
      <c r="F19" s="81" t="str">
        <f>IF(E19&lt;&gt;"", IFERROR(VLOOKUP(E19, Dashboard!$B48:$F53, 5, FALSE), ""), "")</f>
        <v/>
      </c>
      <c r="G19" s="82"/>
      <c r="H19" s="69"/>
      <c r="I19" s="69"/>
      <c r="J19" s="82"/>
      <c r="K19" s="82"/>
      <c r="L19" s="43"/>
      <c r="M19" s="43"/>
      <c r="N19" s="82"/>
      <c r="O19" s="82"/>
      <c r="P19" s="43"/>
      <c r="Q19" s="43" t="s">
        <v>21</v>
      </c>
      <c r="R19" s="82"/>
      <c r="S19" s="69"/>
      <c r="T19" s="82"/>
    </row>
    <row r="20" spans="2:20" ht="60" customHeight="1" x14ac:dyDescent="0.35">
      <c r="B20" s="41" t="s">
        <v>943</v>
      </c>
      <c r="C20" s="80"/>
      <c r="D20" s="81"/>
      <c r="E20" s="81" t="s">
        <v>21</v>
      </c>
      <c r="F20" s="81" t="str">
        <f>IF(E20&lt;&gt;"", IFERROR(VLOOKUP(E20, Dashboard!$B48:$F53, 5, FALSE), ""), "")</f>
        <v/>
      </c>
      <c r="G20" s="82"/>
      <c r="H20" s="69"/>
      <c r="I20" s="69"/>
      <c r="J20" s="82"/>
      <c r="K20" s="82"/>
      <c r="L20" s="43"/>
      <c r="M20" s="43"/>
      <c r="N20" s="82"/>
      <c r="O20" s="82"/>
      <c r="P20" s="43"/>
      <c r="Q20" s="43" t="s">
        <v>21</v>
      </c>
      <c r="R20" s="82"/>
      <c r="S20" s="69"/>
      <c r="T20" s="82"/>
    </row>
    <row r="21" spans="2:20" ht="60" customHeight="1" x14ac:dyDescent="0.35">
      <c r="B21" s="41" t="s">
        <v>944</v>
      </c>
      <c r="C21" s="80"/>
      <c r="D21" s="81"/>
      <c r="E21" s="81" t="s">
        <v>21</v>
      </c>
      <c r="F21" s="81" t="str">
        <f>IF(E21&lt;&gt;"", IFERROR(VLOOKUP(E21, Dashboard!$B48:$F53, 5, FALSE), ""), "")</f>
        <v/>
      </c>
      <c r="G21" s="82"/>
      <c r="H21" s="69"/>
      <c r="I21" s="69"/>
      <c r="J21" s="82"/>
      <c r="K21" s="82"/>
      <c r="L21" s="43"/>
      <c r="M21" s="43"/>
      <c r="N21" s="82"/>
      <c r="O21" s="82"/>
      <c r="P21" s="43"/>
      <c r="Q21" s="43" t="s">
        <v>21</v>
      </c>
      <c r="R21" s="82"/>
      <c r="S21" s="69"/>
      <c r="T21" s="82"/>
    </row>
    <row r="22" spans="2:20" ht="60" customHeight="1" x14ac:dyDescent="0.35">
      <c r="B22" s="41" t="s">
        <v>945</v>
      </c>
      <c r="C22" s="80"/>
      <c r="D22" s="81"/>
      <c r="E22" s="81" t="s">
        <v>21</v>
      </c>
      <c r="F22" s="81" t="str">
        <f>IF(E22&lt;&gt;"", IFERROR(VLOOKUP(E22, Dashboard!$B48:$F53, 5, FALSE), ""), "")</f>
        <v/>
      </c>
      <c r="G22" s="82"/>
      <c r="H22" s="69"/>
      <c r="I22" s="69"/>
      <c r="J22" s="82"/>
      <c r="K22" s="82"/>
      <c r="L22" s="43"/>
      <c r="M22" s="43"/>
      <c r="N22" s="82"/>
      <c r="O22" s="82"/>
      <c r="P22" s="43"/>
      <c r="Q22" s="43" t="s">
        <v>21</v>
      </c>
      <c r="R22" s="82"/>
      <c r="S22" s="69"/>
      <c r="T22" s="82"/>
    </row>
    <row r="23" spans="2:20" ht="60" customHeight="1" x14ac:dyDescent="0.35">
      <c r="B23" s="41" t="s">
        <v>946</v>
      </c>
      <c r="C23" s="80"/>
      <c r="D23" s="81"/>
      <c r="E23" s="81" t="s">
        <v>21</v>
      </c>
      <c r="F23" s="81" t="str">
        <f>IF(E23&lt;&gt;"", IFERROR(VLOOKUP(E23, Dashboard!$B48:$F53, 5, FALSE), ""), "")</f>
        <v/>
      </c>
      <c r="G23" s="82"/>
      <c r="H23" s="69"/>
      <c r="I23" s="69"/>
      <c r="J23" s="82"/>
      <c r="K23" s="82"/>
      <c r="L23" s="43"/>
      <c r="M23" s="43"/>
      <c r="N23" s="82"/>
      <c r="O23" s="82"/>
      <c r="P23" s="43"/>
      <c r="Q23" s="43" t="s">
        <v>21</v>
      </c>
      <c r="R23" s="82"/>
      <c r="S23" s="69"/>
      <c r="T23" s="82"/>
    </row>
    <row r="24" spans="2:20" ht="60" customHeight="1" x14ac:dyDescent="0.35">
      <c r="B24" s="41" t="s">
        <v>947</v>
      </c>
      <c r="C24" s="80"/>
      <c r="D24" s="81"/>
      <c r="E24" s="81" t="s">
        <v>21</v>
      </c>
      <c r="F24" s="81" t="str">
        <f>IF(E24&lt;&gt;"", IFERROR(VLOOKUP(E24, Dashboard!$B48:$F53, 5, FALSE), ""), "")</f>
        <v/>
      </c>
      <c r="G24" s="82"/>
      <c r="H24" s="69"/>
      <c r="I24" s="69"/>
      <c r="J24" s="82"/>
      <c r="K24" s="82"/>
      <c r="L24" s="43"/>
      <c r="M24" s="43"/>
      <c r="N24" s="82"/>
      <c r="O24" s="82"/>
      <c r="P24" s="43"/>
      <c r="Q24" s="43" t="s">
        <v>21</v>
      </c>
      <c r="R24" s="82"/>
      <c r="S24" s="69"/>
      <c r="T24" s="82"/>
    </row>
    <row r="25" spans="2:20" ht="60" customHeight="1" x14ac:dyDescent="0.35">
      <c r="B25" s="41" t="s">
        <v>948</v>
      </c>
      <c r="C25" s="80"/>
      <c r="D25" s="81"/>
      <c r="E25" s="81" t="s">
        <v>21</v>
      </c>
      <c r="F25" s="81" t="str">
        <f>IF(E25&lt;&gt;"", IFERROR(VLOOKUP(E25, Dashboard!$B48:$F53, 5, FALSE), ""), "")</f>
        <v/>
      </c>
      <c r="G25" s="82"/>
      <c r="H25" s="69"/>
      <c r="I25" s="69"/>
      <c r="J25" s="82"/>
      <c r="K25" s="82"/>
      <c r="L25" s="43"/>
      <c r="M25" s="43"/>
      <c r="N25" s="82"/>
      <c r="O25" s="82"/>
      <c r="P25" s="43"/>
      <c r="Q25" s="43" t="s">
        <v>21</v>
      </c>
      <c r="R25" s="82"/>
      <c r="S25" s="69"/>
      <c r="T25" s="82"/>
    </row>
    <row r="26" spans="2:20" ht="60" customHeight="1" x14ac:dyDescent="0.35">
      <c r="B26" s="41" t="s">
        <v>949</v>
      </c>
      <c r="C26" s="80"/>
      <c r="D26" s="81"/>
      <c r="E26" s="81" t="s">
        <v>21</v>
      </c>
      <c r="F26" s="81" t="str">
        <f>IF(E26&lt;&gt;"", IFERROR(VLOOKUP(E26, Dashboard!$B48:$F53, 5, FALSE), ""), "")</f>
        <v/>
      </c>
      <c r="G26" s="82"/>
      <c r="H26" s="69"/>
      <c r="I26" s="69"/>
      <c r="J26" s="82"/>
      <c r="K26" s="82"/>
      <c r="L26" s="43"/>
      <c r="M26" s="43"/>
      <c r="N26" s="82"/>
      <c r="O26" s="82"/>
      <c r="P26" s="43"/>
      <c r="Q26" s="43" t="s">
        <v>21</v>
      </c>
      <c r="R26" s="82"/>
      <c r="S26" s="69"/>
      <c r="T26" s="82"/>
    </row>
    <row r="27" spans="2:20" ht="60" customHeight="1" x14ac:dyDescent="0.35">
      <c r="B27" s="41" t="s">
        <v>950</v>
      </c>
      <c r="C27" s="80"/>
      <c r="D27" s="81"/>
      <c r="E27" s="81" t="s">
        <v>21</v>
      </c>
      <c r="F27" s="81" t="str">
        <f>IF(E27&lt;&gt;"", IFERROR(VLOOKUP(E27, Dashboard!$B48:$F53, 5, FALSE), ""), "")</f>
        <v/>
      </c>
      <c r="G27" s="82"/>
      <c r="H27" s="69"/>
      <c r="I27" s="69"/>
      <c r="J27" s="82"/>
      <c r="K27" s="82"/>
      <c r="L27" s="43"/>
      <c r="M27" s="43"/>
      <c r="N27" s="82"/>
      <c r="O27" s="82"/>
      <c r="P27" s="43"/>
      <c r="Q27" s="43" t="s">
        <v>21</v>
      </c>
      <c r="R27" s="82"/>
      <c r="S27" s="69"/>
      <c r="T27" s="82"/>
    </row>
    <row r="28" spans="2:20" ht="60" customHeight="1" x14ac:dyDescent="0.35">
      <c r="B28" s="41" t="s">
        <v>951</v>
      </c>
      <c r="C28" s="80"/>
      <c r="D28" s="81"/>
      <c r="E28" s="81" t="s">
        <v>21</v>
      </c>
      <c r="F28" s="81" t="str">
        <f>IF(E28&lt;&gt;"", IFERROR(VLOOKUP(E28, Dashboard!$B48:$F53, 5, FALSE), ""), "")</f>
        <v/>
      </c>
      <c r="G28" s="82"/>
      <c r="H28" s="69"/>
      <c r="I28" s="69"/>
      <c r="J28" s="82"/>
      <c r="K28" s="82"/>
      <c r="L28" s="43"/>
      <c r="M28" s="43"/>
      <c r="N28" s="82"/>
      <c r="O28" s="82"/>
      <c r="P28" s="43"/>
      <c r="Q28" s="43" t="s">
        <v>21</v>
      </c>
      <c r="R28" s="82"/>
      <c r="S28" s="69"/>
      <c r="T28" s="82"/>
    </row>
    <row r="29" spans="2:20" ht="60" customHeight="1" x14ac:dyDescent="0.35">
      <c r="B29" s="41" t="s">
        <v>952</v>
      </c>
      <c r="C29" s="80"/>
      <c r="D29" s="81"/>
      <c r="E29" s="81" t="s">
        <v>21</v>
      </c>
      <c r="F29" s="81" t="str">
        <f>IF(E29&lt;&gt;"", IFERROR(VLOOKUP(E29, Dashboard!$B48:$F53, 5, FALSE), ""), "")</f>
        <v/>
      </c>
      <c r="G29" s="82"/>
      <c r="H29" s="69"/>
      <c r="I29" s="69"/>
      <c r="J29" s="82"/>
      <c r="K29" s="82"/>
      <c r="L29" s="43"/>
      <c r="M29" s="43"/>
      <c r="N29" s="82"/>
      <c r="O29" s="82"/>
      <c r="P29" s="43"/>
      <c r="Q29" s="43" t="s">
        <v>21</v>
      </c>
      <c r="R29" s="82"/>
      <c r="S29" s="69"/>
      <c r="T29" s="82"/>
    </row>
    <row r="30" spans="2:20" ht="60" customHeight="1" x14ac:dyDescent="0.35">
      <c r="B30" s="41" t="s">
        <v>953</v>
      </c>
      <c r="C30" s="80"/>
      <c r="D30" s="81"/>
      <c r="E30" s="81" t="s">
        <v>21</v>
      </c>
      <c r="F30" s="81" t="str">
        <f>IF(E30&lt;&gt;"", IFERROR(VLOOKUP(E30, Dashboard!$B48:$F53, 5, FALSE), ""), "")</f>
        <v/>
      </c>
      <c r="G30" s="82"/>
      <c r="H30" s="69"/>
      <c r="I30" s="69"/>
      <c r="J30" s="82"/>
      <c r="K30" s="82"/>
      <c r="L30" s="43"/>
      <c r="M30" s="43"/>
      <c r="N30" s="82"/>
      <c r="O30" s="82"/>
      <c r="P30" s="43"/>
      <c r="Q30" s="43" t="s">
        <v>21</v>
      </c>
      <c r="R30" s="82"/>
      <c r="S30" s="69"/>
      <c r="T30" s="82"/>
    </row>
    <row r="31" spans="2:20" ht="60" customHeight="1" x14ac:dyDescent="0.35">
      <c r="B31" s="41" t="s">
        <v>954</v>
      </c>
      <c r="C31" s="80"/>
      <c r="D31" s="81"/>
      <c r="E31" s="81" t="s">
        <v>21</v>
      </c>
      <c r="F31" s="81" t="str">
        <f>IF(E31&lt;&gt;"", IFERROR(VLOOKUP(E31, Dashboard!$B48:$F53, 5, FALSE), ""), "")</f>
        <v/>
      </c>
      <c r="G31" s="82"/>
      <c r="H31" s="69"/>
      <c r="I31" s="69"/>
      <c r="J31" s="82"/>
      <c r="K31" s="82"/>
      <c r="L31" s="43"/>
      <c r="M31" s="43"/>
      <c r="N31" s="82"/>
      <c r="O31" s="82"/>
      <c r="P31" s="43"/>
      <c r="Q31" s="43" t="s">
        <v>21</v>
      </c>
      <c r="R31" s="82"/>
      <c r="S31" s="69"/>
      <c r="T31" s="82"/>
    </row>
    <row r="32" spans="2:20" ht="60" customHeight="1" x14ac:dyDescent="0.35">
      <c r="B32" s="41" t="s">
        <v>955</v>
      </c>
      <c r="C32" s="80"/>
      <c r="D32" s="81"/>
      <c r="E32" s="81" t="s">
        <v>21</v>
      </c>
      <c r="F32" s="81" t="str">
        <f>IF(E32&lt;&gt;"", IFERROR(VLOOKUP(E32, Dashboard!$B48:$F53, 5, FALSE), ""), "")</f>
        <v/>
      </c>
      <c r="G32" s="82"/>
      <c r="H32" s="69"/>
      <c r="I32" s="69"/>
      <c r="J32" s="82"/>
      <c r="K32" s="82"/>
      <c r="L32" s="43"/>
      <c r="M32" s="43"/>
      <c r="N32" s="82"/>
      <c r="O32" s="82"/>
      <c r="P32" s="43"/>
      <c r="Q32" s="43" t="s">
        <v>21</v>
      </c>
      <c r="R32" s="82"/>
      <c r="S32" s="69"/>
      <c r="T32" s="82"/>
    </row>
    <row r="33" spans="2:20" ht="60" customHeight="1" x14ac:dyDescent="0.35">
      <c r="B33" s="41" t="s">
        <v>956</v>
      </c>
      <c r="C33" s="80"/>
      <c r="D33" s="81"/>
      <c r="E33" s="81" t="s">
        <v>21</v>
      </c>
      <c r="F33" s="81" t="str">
        <f>IF(E33&lt;&gt;"", IFERROR(VLOOKUP(E33, Dashboard!$B48:$F53, 5, FALSE), ""), "")</f>
        <v/>
      </c>
      <c r="G33" s="82"/>
      <c r="H33" s="69"/>
      <c r="I33" s="69"/>
      <c r="J33" s="82"/>
      <c r="K33" s="82"/>
      <c r="L33" s="43"/>
      <c r="M33" s="43"/>
      <c r="N33" s="82"/>
      <c r="O33" s="82"/>
      <c r="P33" s="43"/>
      <c r="Q33" s="43" t="s">
        <v>21</v>
      </c>
      <c r="R33" s="82"/>
      <c r="S33" s="69"/>
      <c r="T33" s="82"/>
    </row>
    <row r="34" spans="2:20" ht="60" customHeight="1" x14ac:dyDescent="0.35">
      <c r="B34" s="41" t="s">
        <v>957</v>
      </c>
      <c r="C34" s="80"/>
      <c r="D34" s="81"/>
      <c r="E34" s="81" t="s">
        <v>21</v>
      </c>
      <c r="F34" s="81" t="str">
        <f>IF(E34&lt;&gt;"", IFERROR(VLOOKUP(E34, Dashboard!$B48:$F53, 5, FALSE), ""), "")</f>
        <v/>
      </c>
      <c r="G34" s="82"/>
      <c r="H34" s="69"/>
      <c r="I34" s="69"/>
      <c r="J34" s="82"/>
      <c r="K34" s="82"/>
      <c r="L34" s="43"/>
      <c r="M34" s="43"/>
      <c r="N34" s="82"/>
      <c r="O34" s="82"/>
      <c r="P34" s="43"/>
      <c r="Q34" s="43" t="s">
        <v>21</v>
      </c>
      <c r="R34" s="82"/>
      <c r="S34" s="69"/>
      <c r="T34" s="82"/>
    </row>
    <row r="35" spans="2:20" ht="60" customHeight="1" x14ac:dyDescent="0.35">
      <c r="B35" s="41" t="s">
        <v>958</v>
      </c>
      <c r="C35" s="80"/>
      <c r="D35" s="81"/>
      <c r="E35" s="81" t="s">
        <v>21</v>
      </c>
      <c r="F35" s="81" t="str">
        <f>IF(E35&lt;&gt;"", IFERROR(VLOOKUP(E35, Dashboard!$B48:$F53, 5, FALSE), ""), "")</f>
        <v/>
      </c>
      <c r="G35" s="82"/>
      <c r="H35" s="69"/>
      <c r="I35" s="69"/>
      <c r="J35" s="82"/>
      <c r="K35" s="82"/>
      <c r="L35" s="43"/>
      <c r="M35" s="43"/>
      <c r="N35" s="82"/>
      <c r="O35" s="82"/>
      <c r="P35" s="43"/>
      <c r="Q35" s="43" t="s">
        <v>21</v>
      </c>
      <c r="R35" s="82"/>
      <c r="S35" s="69"/>
      <c r="T35" s="82"/>
    </row>
    <row r="36" spans="2:20" ht="60" customHeight="1" x14ac:dyDescent="0.35">
      <c r="B36" s="41" t="s">
        <v>959</v>
      </c>
      <c r="C36" s="80"/>
      <c r="D36" s="81"/>
      <c r="E36" s="81" t="s">
        <v>21</v>
      </c>
      <c r="F36" s="81" t="str">
        <f>IF(E36&lt;&gt;"", IFERROR(VLOOKUP(E36, Dashboard!$B48:$F53, 5, FALSE), ""), "")</f>
        <v/>
      </c>
      <c r="G36" s="82"/>
      <c r="H36" s="69"/>
      <c r="I36" s="69"/>
      <c r="J36" s="82"/>
      <c r="K36" s="82"/>
      <c r="L36" s="43"/>
      <c r="M36" s="43"/>
      <c r="N36" s="82"/>
      <c r="O36" s="82"/>
      <c r="P36" s="43"/>
      <c r="Q36" s="43" t="s">
        <v>21</v>
      </c>
      <c r="R36" s="82"/>
      <c r="S36" s="69"/>
      <c r="T36" s="82"/>
    </row>
    <row r="37" spans="2:20" ht="60" customHeight="1" x14ac:dyDescent="0.35">
      <c r="B37" s="41" t="s">
        <v>960</v>
      </c>
      <c r="C37" s="80"/>
      <c r="D37" s="81"/>
      <c r="E37" s="81" t="s">
        <v>21</v>
      </c>
      <c r="F37" s="81" t="str">
        <f>IF(E37&lt;&gt;"", IFERROR(VLOOKUP(E37, Dashboard!$B48:$F53, 5, FALSE), ""), "")</f>
        <v/>
      </c>
      <c r="G37" s="82"/>
      <c r="H37" s="69"/>
      <c r="I37" s="69"/>
      <c r="J37" s="82"/>
      <c r="K37" s="82"/>
      <c r="L37" s="43"/>
      <c r="M37" s="43"/>
      <c r="N37" s="82"/>
      <c r="O37" s="82"/>
      <c r="P37" s="43"/>
      <c r="Q37" s="43" t="s">
        <v>21</v>
      </c>
      <c r="R37" s="82"/>
      <c r="S37" s="69"/>
      <c r="T37" s="82"/>
    </row>
    <row r="38" spans="2:20" ht="60" customHeight="1" x14ac:dyDescent="0.35">
      <c r="B38" s="41" t="s">
        <v>961</v>
      </c>
      <c r="C38" s="80"/>
      <c r="D38" s="81"/>
      <c r="E38" s="81" t="s">
        <v>21</v>
      </c>
      <c r="F38" s="81" t="str">
        <f>IF(E38&lt;&gt;"", IFERROR(VLOOKUP(E38, Dashboard!$B48:$F53, 5, FALSE), ""), "")</f>
        <v/>
      </c>
      <c r="G38" s="82"/>
      <c r="H38" s="69"/>
      <c r="I38" s="69"/>
      <c r="J38" s="82"/>
      <c r="K38" s="82"/>
      <c r="L38" s="43"/>
      <c r="M38" s="43"/>
      <c r="N38" s="82"/>
      <c r="O38" s="82"/>
      <c r="P38" s="43"/>
      <c r="Q38" s="43" t="s">
        <v>21</v>
      </c>
      <c r="R38" s="82"/>
      <c r="S38" s="69"/>
      <c r="T38" s="82"/>
    </row>
    <row r="39" spans="2:20" ht="60" customHeight="1" x14ac:dyDescent="0.35">
      <c r="B39" s="41" t="s">
        <v>962</v>
      </c>
      <c r="C39" s="80"/>
      <c r="D39" s="81"/>
      <c r="E39" s="81" t="s">
        <v>21</v>
      </c>
      <c r="F39" s="81" t="str">
        <f>IF(E39&lt;&gt;"", IFERROR(VLOOKUP(E39, Dashboard!$B48:$F53, 5, FALSE), ""), "")</f>
        <v/>
      </c>
      <c r="G39" s="82"/>
      <c r="H39" s="69"/>
      <c r="I39" s="69"/>
      <c r="J39" s="82"/>
      <c r="K39" s="82"/>
      <c r="L39" s="43"/>
      <c r="M39" s="43"/>
      <c r="N39" s="82"/>
      <c r="O39" s="82"/>
      <c r="P39" s="43"/>
      <c r="Q39" s="43" t="s">
        <v>21</v>
      </c>
      <c r="R39" s="82"/>
      <c r="S39" s="69"/>
      <c r="T39" s="82"/>
    </row>
    <row r="40" spans="2:20" ht="60" customHeight="1" x14ac:dyDescent="0.35">
      <c r="B40" s="41" t="s">
        <v>963</v>
      </c>
      <c r="C40" s="80"/>
      <c r="D40" s="81"/>
      <c r="E40" s="81" t="s">
        <v>21</v>
      </c>
      <c r="F40" s="81" t="str">
        <f>IF(E40&lt;&gt;"", IFERROR(VLOOKUP(E40, Dashboard!$B48:$F53, 5, FALSE), ""), "")</f>
        <v/>
      </c>
      <c r="G40" s="82"/>
      <c r="H40" s="69"/>
      <c r="I40" s="69"/>
      <c r="J40" s="82"/>
      <c r="K40" s="82"/>
      <c r="L40" s="43"/>
      <c r="M40" s="43"/>
      <c r="N40" s="82"/>
      <c r="O40" s="82"/>
      <c r="P40" s="43"/>
      <c r="Q40" s="43" t="s">
        <v>21</v>
      </c>
      <c r="R40" s="82"/>
      <c r="S40" s="69"/>
      <c r="T40" s="82"/>
    </row>
    <row r="41" spans="2:20" ht="60" customHeight="1" x14ac:dyDescent="0.35">
      <c r="B41" s="41" t="s">
        <v>964</v>
      </c>
      <c r="C41" s="80"/>
      <c r="D41" s="81"/>
      <c r="E41" s="81" t="s">
        <v>21</v>
      </c>
      <c r="F41" s="81" t="str">
        <f>IF(E41&lt;&gt;"", IFERROR(VLOOKUP(E41, Dashboard!$B48:$F53, 5, FALSE), ""), "")</f>
        <v/>
      </c>
      <c r="G41" s="82"/>
      <c r="H41" s="69"/>
      <c r="I41" s="69"/>
      <c r="J41" s="82"/>
      <c r="K41" s="82"/>
      <c r="L41" s="43"/>
      <c r="M41" s="43"/>
      <c r="N41" s="82"/>
      <c r="O41" s="82"/>
      <c r="P41" s="43"/>
      <c r="Q41" s="43" t="s">
        <v>21</v>
      </c>
      <c r="R41" s="82"/>
      <c r="S41" s="69"/>
      <c r="T41" s="82"/>
    </row>
    <row r="42" spans="2:20" ht="60" customHeight="1" x14ac:dyDescent="0.35">
      <c r="B42" s="41" t="s">
        <v>965</v>
      </c>
      <c r="C42" s="80"/>
      <c r="D42" s="81"/>
      <c r="E42" s="81" t="s">
        <v>21</v>
      </c>
      <c r="F42" s="81" t="str">
        <f>IF(E42&lt;&gt;"", IFERROR(VLOOKUP(E42, Dashboard!$B48:$F53, 5, FALSE), ""), "")</f>
        <v/>
      </c>
      <c r="G42" s="82"/>
      <c r="H42" s="69"/>
      <c r="I42" s="69"/>
      <c r="J42" s="82"/>
      <c r="K42" s="82"/>
      <c r="L42" s="43"/>
      <c r="M42" s="43"/>
      <c r="N42" s="82"/>
      <c r="O42" s="82"/>
      <c r="P42" s="43"/>
      <c r="Q42" s="43" t="s">
        <v>21</v>
      </c>
      <c r="R42" s="82"/>
      <c r="S42" s="69"/>
      <c r="T42" s="82"/>
    </row>
    <row r="43" spans="2:20" ht="60" customHeight="1" x14ac:dyDescent="0.35">
      <c r="B43" s="41" t="s">
        <v>966</v>
      </c>
      <c r="C43" s="80"/>
      <c r="D43" s="81"/>
      <c r="E43" s="81" t="s">
        <v>21</v>
      </c>
      <c r="F43" s="81" t="str">
        <f>IF(E43&lt;&gt;"", IFERROR(VLOOKUP(E43, Dashboard!$B48:$F53, 5, FALSE), ""), "")</f>
        <v/>
      </c>
      <c r="G43" s="82"/>
      <c r="H43" s="69"/>
      <c r="I43" s="69"/>
      <c r="J43" s="82"/>
      <c r="K43" s="82"/>
      <c r="L43" s="43"/>
      <c r="M43" s="43"/>
      <c r="N43" s="82"/>
      <c r="O43" s="82"/>
      <c r="P43" s="43"/>
      <c r="Q43" s="43" t="s">
        <v>21</v>
      </c>
      <c r="R43" s="82"/>
      <c r="S43" s="69"/>
      <c r="T43" s="82"/>
    </row>
    <row r="44" spans="2:20" ht="60" customHeight="1" x14ac:dyDescent="0.35">
      <c r="B44" s="41" t="s">
        <v>967</v>
      </c>
      <c r="C44" s="80"/>
      <c r="D44" s="81"/>
      <c r="E44" s="81" t="s">
        <v>21</v>
      </c>
      <c r="F44" s="81" t="str">
        <f>IF(E44&lt;&gt;"", IFERROR(VLOOKUP(E44, Dashboard!$B48:$F53, 5, FALSE), ""), "")</f>
        <v/>
      </c>
      <c r="G44" s="82"/>
      <c r="H44" s="69"/>
      <c r="I44" s="69"/>
      <c r="J44" s="82"/>
      <c r="K44" s="82"/>
      <c r="L44" s="43"/>
      <c r="M44" s="43"/>
      <c r="N44" s="82"/>
      <c r="O44" s="82"/>
      <c r="P44" s="43"/>
      <c r="Q44" s="43" t="s">
        <v>21</v>
      </c>
      <c r="R44" s="82"/>
      <c r="S44" s="69"/>
      <c r="T44" s="82"/>
    </row>
    <row r="45" spans="2:20" ht="60" customHeight="1" x14ac:dyDescent="0.35">
      <c r="B45" s="41" t="s">
        <v>968</v>
      </c>
      <c r="C45" s="80"/>
      <c r="D45" s="81"/>
      <c r="E45" s="81" t="s">
        <v>21</v>
      </c>
      <c r="F45" s="81" t="str">
        <f>IF(E45&lt;&gt;"", IFERROR(VLOOKUP(E45, Dashboard!$B48:$F53, 5, FALSE), ""), "")</f>
        <v/>
      </c>
      <c r="G45" s="82"/>
      <c r="H45" s="69"/>
      <c r="I45" s="69"/>
      <c r="J45" s="82"/>
      <c r="K45" s="82"/>
      <c r="L45" s="43"/>
      <c r="M45" s="43"/>
      <c r="N45" s="82"/>
      <c r="O45" s="82"/>
      <c r="P45" s="43"/>
      <c r="Q45" s="43" t="s">
        <v>21</v>
      </c>
      <c r="R45" s="82"/>
      <c r="S45" s="69"/>
      <c r="T45" s="82"/>
    </row>
    <row r="46" spans="2:20" ht="60" customHeight="1" x14ac:dyDescent="0.35">
      <c r="B46" s="41" t="s">
        <v>969</v>
      </c>
      <c r="C46" s="80"/>
      <c r="D46" s="81"/>
      <c r="E46" s="81" t="s">
        <v>21</v>
      </c>
      <c r="F46" s="81" t="str">
        <f>IF(E46&lt;&gt;"", IFERROR(VLOOKUP(E46, Dashboard!$B48:$F53, 5, FALSE), ""), "")</f>
        <v/>
      </c>
      <c r="G46" s="82"/>
      <c r="H46" s="69"/>
      <c r="I46" s="69"/>
      <c r="J46" s="82"/>
      <c r="K46" s="82"/>
      <c r="L46" s="43"/>
      <c r="M46" s="43"/>
      <c r="N46" s="82"/>
      <c r="O46" s="82"/>
      <c r="P46" s="43"/>
      <c r="Q46" s="43" t="s">
        <v>21</v>
      </c>
      <c r="R46" s="82"/>
      <c r="S46" s="69"/>
      <c r="T46" s="82"/>
    </row>
    <row r="47" spans="2:20" ht="60" customHeight="1" x14ac:dyDescent="0.35">
      <c r="B47" s="41" t="s">
        <v>970</v>
      </c>
      <c r="C47" s="80"/>
      <c r="D47" s="81"/>
      <c r="E47" s="81" t="s">
        <v>21</v>
      </c>
      <c r="F47" s="81" t="str">
        <f>IF(E47&lt;&gt;"", IFERROR(VLOOKUP(E47, Dashboard!$B48:$F53, 5, FALSE), ""), "")</f>
        <v/>
      </c>
      <c r="G47" s="82"/>
      <c r="H47" s="69"/>
      <c r="I47" s="69"/>
      <c r="J47" s="82"/>
      <c r="K47" s="82"/>
      <c r="L47" s="43"/>
      <c r="M47" s="43"/>
      <c r="N47" s="82"/>
      <c r="O47" s="82"/>
      <c r="P47" s="43"/>
      <c r="Q47" s="43" t="s">
        <v>21</v>
      </c>
      <c r="R47" s="82"/>
      <c r="S47" s="69"/>
      <c r="T47" s="82"/>
    </row>
    <row r="48" spans="2:20" ht="60" customHeight="1" x14ac:dyDescent="0.35">
      <c r="B48" s="41" t="s">
        <v>971</v>
      </c>
      <c r="C48" s="80"/>
      <c r="D48" s="81"/>
      <c r="E48" s="81" t="s">
        <v>21</v>
      </c>
      <c r="F48" s="81" t="str">
        <f>IF(E48&lt;&gt;"", IFERROR(VLOOKUP(E48, Dashboard!$B48:$F53, 5, FALSE), ""), "")</f>
        <v/>
      </c>
      <c r="G48" s="82"/>
      <c r="H48" s="69"/>
      <c r="I48" s="69"/>
      <c r="J48" s="82"/>
      <c r="K48" s="82"/>
      <c r="L48" s="43"/>
      <c r="M48" s="43"/>
      <c r="N48" s="82"/>
      <c r="O48" s="82"/>
      <c r="P48" s="43"/>
      <c r="Q48" s="43" t="s">
        <v>21</v>
      </c>
      <c r="R48" s="82"/>
      <c r="S48" s="69"/>
      <c r="T48" s="82"/>
    </row>
    <row r="49" spans="2:20" ht="60" customHeight="1" x14ac:dyDescent="0.35">
      <c r="B49" s="41" t="s">
        <v>972</v>
      </c>
      <c r="C49" s="80"/>
      <c r="D49" s="81"/>
      <c r="E49" s="81" t="s">
        <v>21</v>
      </c>
      <c r="F49" s="81" t="str">
        <f>IF(E49&lt;&gt;"", IFERROR(VLOOKUP(E49, Dashboard!$B48:$F53, 5, FALSE), ""), "")</f>
        <v/>
      </c>
      <c r="G49" s="82"/>
      <c r="H49" s="69"/>
      <c r="I49" s="69"/>
      <c r="J49" s="82"/>
      <c r="K49" s="82"/>
      <c r="L49" s="43"/>
      <c r="M49" s="43"/>
      <c r="N49" s="82"/>
      <c r="O49" s="82"/>
      <c r="P49" s="43"/>
      <c r="Q49" s="43" t="s">
        <v>21</v>
      </c>
      <c r="R49" s="82"/>
      <c r="S49" s="69"/>
      <c r="T49" s="82"/>
    </row>
    <row r="50" spans="2:20" ht="60" customHeight="1" x14ac:dyDescent="0.35">
      <c r="B50" s="41" t="s">
        <v>973</v>
      </c>
      <c r="C50" s="80"/>
      <c r="D50" s="81"/>
      <c r="E50" s="81" t="s">
        <v>21</v>
      </c>
      <c r="F50" s="81" t="str">
        <f>IF(E50&lt;&gt;"", IFERROR(VLOOKUP(E50, Dashboard!$B48:$F53, 5, FALSE), ""), "")</f>
        <v/>
      </c>
      <c r="G50" s="82"/>
      <c r="H50" s="69"/>
      <c r="I50" s="69"/>
      <c r="J50" s="82"/>
      <c r="K50" s="82"/>
      <c r="L50" s="43"/>
      <c r="M50" s="43"/>
      <c r="N50" s="82"/>
      <c r="O50" s="82"/>
      <c r="P50" s="43"/>
      <c r="Q50" s="43" t="s">
        <v>21</v>
      </c>
      <c r="R50" s="82"/>
      <c r="S50" s="69"/>
      <c r="T50" s="82"/>
    </row>
    <row r="51" spans="2:20" ht="60" customHeight="1" x14ac:dyDescent="0.35">
      <c r="B51" s="41" t="s">
        <v>974</v>
      </c>
      <c r="C51" s="80"/>
      <c r="D51" s="81"/>
      <c r="E51" s="81" t="s">
        <v>21</v>
      </c>
      <c r="F51" s="81" t="str">
        <f>IF(E51&lt;&gt;"", IFERROR(VLOOKUP(E51, Dashboard!$B48:$F53, 5, FALSE), ""), "")</f>
        <v/>
      </c>
      <c r="G51" s="82"/>
      <c r="H51" s="69"/>
      <c r="I51" s="69"/>
      <c r="J51" s="82"/>
      <c r="K51" s="82"/>
      <c r="L51" s="43"/>
      <c r="M51" s="43"/>
      <c r="N51" s="82"/>
      <c r="O51" s="82"/>
      <c r="P51" s="43"/>
      <c r="Q51" s="43" t="s">
        <v>21</v>
      </c>
      <c r="R51" s="82"/>
      <c r="S51" s="69"/>
      <c r="T51" s="82"/>
    </row>
    <row r="52" spans="2:20" ht="60" customHeight="1" x14ac:dyDescent="0.35">
      <c r="B52" s="41" t="s">
        <v>975</v>
      </c>
      <c r="C52" s="80"/>
      <c r="D52" s="81"/>
      <c r="E52" s="81" t="s">
        <v>21</v>
      </c>
      <c r="F52" s="81" t="str">
        <f>IF(E52&lt;&gt;"", IFERROR(VLOOKUP(E52, Dashboard!$B48:$F53, 5, FALSE), ""), "")</f>
        <v/>
      </c>
      <c r="G52" s="82"/>
      <c r="H52" s="69"/>
      <c r="I52" s="69"/>
      <c r="J52" s="82"/>
      <c r="K52" s="82"/>
      <c r="L52" s="43"/>
      <c r="M52" s="43"/>
      <c r="N52" s="82"/>
      <c r="O52" s="82"/>
      <c r="P52" s="43"/>
      <c r="Q52" s="43" t="s">
        <v>21</v>
      </c>
      <c r="R52" s="82"/>
      <c r="S52" s="69"/>
      <c r="T52" s="82"/>
    </row>
    <row r="53" spans="2:20" ht="60" customHeight="1" x14ac:dyDescent="0.35">
      <c r="B53" s="41" t="s">
        <v>976</v>
      </c>
      <c r="C53" s="80"/>
      <c r="D53" s="81"/>
      <c r="E53" s="81" t="s">
        <v>21</v>
      </c>
      <c r="F53" s="81" t="str">
        <f>IF(E53&lt;&gt;"", IFERROR(VLOOKUP(E53, Dashboard!$B48:$F53, 5, FALSE), ""), "")</f>
        <v/>
      </c>
      <c r="G53" s="82"/>
      <c r="H53" s="69"/>
      <c r="I53" s="69"/>
      <c r="J53" s="82"/>
      <c r="K53" s="82"/>
      <c r="L53" s="43"/>
      <c r="M53" s="43"/>
      <c r="N53" s="82"/>
      <c r="O53" s="82"/>
      <c r="P53" s="43"/>
      <c r="Q53" s="43" t="s">
        <v>21</v>
      </c>
      <c r="R53" s="82"/>
      <c r="S53" s="69"/>
      <c r="T53" s="82"/>
    </row>
    <row r="54" spans="2:20" ht="60" customHeight="1" x14ac:dyDescent="0.35">
      <c r="B54" s="41" t="s">
        <v>977</v>
      </c>
      <c r="C54" s="80"/>
      <c r="D54" s="81"/>
      <c r="E54" s="81" t="s">
        <v>21</v>
      </c>
      <c r="F54" s="81" t="str">
        <f>IF(E54&lt;&gt;"", IFERROR(VLOOKUP(E54, Dashboard!$B48:$F53,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733</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978</v>
      </c>
      <c r="B1" s="107" t="s">
        <v>0</v>
      </c>
      <c r="C1" s="107" t="s">
        <v>979</v>
      </c>
      <c r="D1" s="107" t="s">
        <v>10</v>
      </c>
      <c r="E1" s="107" t="s">
        <v>980</v>
      </c>
      <c r="F1" s="107" t="s">
        <v>981</v>
      </c>
      <c r="G1" s="107" t="s">
        <v>982</v>
      </c>
      <c r="H1" s="107" t="s">
        <v>983</v>
      </c>
      <c r="I1" s="107" t="s">
        <v>984</v>
      </c>
      <c r="J1" s="107" t="s">
        <v>985</v>
      </c>
      <c r="K1" s="107" t="s">
        <v>986</v>
      </c>
      <c r="L1" s="107" t="s">
        <v>987</v>
      </c>
      <c r="M1" s="107" t="s">
        <v>988</v>
      </c>
      <c r="N1" s="107" t="s">
        <v>989</v>
      </c>
      <c r="O1" s="107" t="s">
        <v>990</v>
      </c>
      <c r="P1" s="107" t="s">
        <v>991</v>
      </c>
      <c r="Q1" s="107" t="s">
        <v>992</v>
      </c>
      <c r="R1" s="107" t="s">
        <v>993</v>
      </c>
      <c r="S1" s="107" t="s">
        <v>994</v>
      </c>
      <c r="T1" s="107" t="s">
        <v>995</v>
      </c>
      <c r="U1" s="107" t="s">
        <v>996</v>
      </c>
      <c r="V1" s="107" t="s">
        <v>997</v>
      </c>
      <c r="W1" s="107" t="s">
        <v>998</v>
      </c>
      <c r="X1" s="107" t="s">
        <v>999</v>
      </c>
      <c r="Y1" s="107" t="s">
        <v>1000</v>
      </c>
      <c r="Z1" s="107" t="s">
        <v>1001</v>
      </c>
      <c r="AA1" s="107" t="s">
        <v>1002</v>
      </c>
      <c r="AB1" s="107" t="s">
        <v>1003</v>
      </c>
      <c r="AC1" s="107" t="s">
        <v>1004</v>
      </c>
      <c r="AD1" s="107" t="s">
        <v>1005</v>
      </c>
      <c r="AE1" s="107" t="s">
        <v>1006</v>
      </c>
      <c r="AF1" s="107" t="s">
        <v>1007</v>
      </c>
      <c r="AG1" s="107" t="s">
        <v>1008</v>
      </c>
      <c r="AH1" s="107" t="s">
        <v>1009</v>
      </c>
      <c r="AI1" s="107" t="s">
        <v>1010</v>
      </c>
      <c r="AJ1" s="107" t="s">
        <v>1011</v>
      </c>
      <c r="AK1" s="107" t="s">
        <v>1012</v>
      </c>
      <c r="AL1" s="107" t="s">
        <v>1013</v>
      </c>
      <c r="AM1" s="107" t="s">
        <v>1014</v>
      </c>
      <c r="AN1" s="107" t="s">
        <v>1015</v>
      </c>
      <c r="AO1" s="107" t="s">
        <v>1016</v>
      </c>
      <c r="AP1" s="107" t="s">
        <v>1017</v>
      </c>
      <c r="AQ1" s="107" t="s">
        <v>1018</v>
      </c>
      <c r="AR1" s="107" t="s">
        <v>1019</v>
      </c>
      <c r="AS1" s="107" t="s">
        <v>1020</v>
      </c>
      <c r="AT1" s="107" t="s">
        <v>1021</v>
      </c>
      <c r="AU1" s="107" t="s">
        <v>1022</v>
      </c>
      <c r="AV1" s="107" t="s">
        <v>1023</v>
      </c>
      <c r="AW1" s="108" t="s">
        <v>1024</v>
      </c>
    </row>
    <row r="2" spans="1:49" ht="60" customHeight="1" outlineLevel="1" x14ac:dyDescent="0.35">
      <c r="A2" s="100" t="s">
        <v>1025</v>
      </c>
      <c r="B2" s="83">
        <v>1</v>
      </c>
      <c r="C2" s="85" t="s">
        <v>21</v>
      </c>
      <c r="D2" s="87" t="s">
        <v>1026</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1025</v>
      </c>
      <c r="B3" s="84" t="s">
        <v>1027</v>
      </c>
      <c r="C3" s="86" t="s">
        <v>1028</v>
      </c>
      <c r="D3" s="88" t="s">
        <v>1029</v>
      </c>
      <c r="E3" s="88" t="s">
        <v>1030</v>
      </c>
      <c r="F3" s="89" t="s">
        <v>1031</v>
      </c>
      <c r="G3" s="89" t="s">
        <v>1032</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1025</v>
      </c>
      <c r="B4" s="84" t="s">
        <v>1033</v>
      </c>
      <c r="C4" s="86" t="s">
        <v>1034</v>
      </c>
      <c r="D4" s="88" t="s">
        <v>1035</v>
      </c>
      <c r="E4" s="88" t="s">
        <v>1036</v>
      </c>
      <c r="F4" s="89" t="s">
        <v>1031</v>
      </c>
      <c r="G4" s="89" t="s">
        <v>1037</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1025</v>
      </c>
      <c r="B5" s="84" t="s">
        <v>1038</v>
      </c>
      <c r="C5" s="86" t="s">
        <v>1039</v>
      </c>
      <c r="D5" s="88" t="s">
        <v>1040</v>
      </c>
      <c r="E5" s="88" t="s">
        <v>1041</v>
      </c>
      <c r="F5" s="89" t="s">
        <v>1031</v>
      </c>
      <c r="G5" s="89" t="s">
        <v>1042</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1025</v>
      </c>
      <c r="B6" s="84" t="s">
        <v>1043</v>
      </c>
      <c r="C6" s="86" t="s">
        <v>1044</v>
      </c>
      <c r="D6" s="88" t="s">
        <v>1045</v>
      </c>
      <c r="E6" s="88" t="s">
        <v>1046</v>
      </c>
      <c r="F6" s="89" t="s">
        <v>1031</v>
      </c>
      <c r="G6" s="89" t="s">
        <v>1032</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1025</v>
      </c>
      <c r="B7" s="84" t="s">
        <v>1047</v>
      </c>
      <c r="C7" s="86" t="s">
        <v>1048</v>
      </c>
      <c r="D7" s="88" t="s">
        <v>1049</v>
      </c>
      <c r="E7" s="88" t="s">
        <v>1050</v>
      </c>
      <c r="F7" s="89" t="s">
        <v>1031</v>
      </c>
      <c r="G7" s="89" t="s">
        <v>1042</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1051</v>
      </c>
      <c r="B8" s="83">
        <v>2</v>
      </c>
      <c r="C8" s="85" t="s">
        <v>21</v>
      </c>
      <c r="D8" s="87" t="s">
        <v>1052</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1051</v>
      </c>
      <c r="B9" s="84" t="s">
        <v>1053</v>
      </c>
      <c r="C9" s="86" t="s">
        <v>1054</v>
      </c>
      <c r="D9" s="88" t="s">
        <v>1055</v>
      </c>
      <c r="E9" s="88" t="s">
        <v>1056</v>
      </c>
      <c r="F9" s="89" t="s">
        <v>1057</v>
      </c>
      <c r="G9" s="89" t="s">
        <v>1032</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1051</v>
      </c>
      <c r="B10" s="84" t="s">
        <v>1058</v>
      </c>
      <c r="C10" s="86" t="s">
        <v>1059</v>
      </c>
      <c r="D10" s="88" t="s">
        <v>1060</v>
      </c>
      <c r="E10" s="88" t="s">
        <v>1061</v>
      </c>
      <c r="F10" s="89" t="s">
        <v>1057</v>
      </c>
      <c r="G10" s="89" t="s">
        <v>1032</v>
      </c>
      <c r="H10" s="89">
        <v>1</v>
      </c>
      <c r="I10" s="91">
        <f>IF(COUNTIF(J10:AW10,"&lt;&gt;")=0,"",SUMPRODUCT(((Recommendations[ImplStatus]="Implemented")+(Recommendations[ImplStatus]="Compensated"))*ISNUMBER(MATCH(Recommendations[Id],J10:AW10,0)))/COUNTIF(J10:AW10,"&lt;&gt;"))</f>
        <v>0</v>
      </c>
      <c r="J10" s="93" t="s">
        <v>650</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1051</v>
      </c>
      <c r="B11" s="84" t="s">
        <v>1062</v>
      </c>
      <c r="C11" s="86" t="s">
        <v>1063</v>
      </c>
      <c r="D11" s="88" t="s">
        <v>1064</v>
      </c>
      <c r="E11" s="88" t="s">
        <v>1065</v>
      </c>
      <c r="F11" s="89" t="s">
        <v>1057</v>
      </c>
      <c r="G11" s="89" t="s">
        <v>1037</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1051</v>
      </c>
      <c r="B12" s="84" t="s">
        <v>1066</v>
      </c>
      <c r="C12" s="86" t="s">
        <v>1067</v>
      </c>
      <c r="D12" s="88" t="s">
        <v>1068</v>
      </c>
      <c r="E12" s="88" t="s">
        <v>1069</v>
      </c>
      <c r="F12" s="89" t="s">
        <v>1057</v>
      </c>
      <c r="G12" s="89" t="s">
        <v>1042</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1051</v>
      </c>
      <c r="B13" s="84" t="s">
        <v>1070</v>
      </c>
      <c r="C13" s="86" t="s">
        <v>1071</v>
      </c>
      <c r="D13" s="88" t="s">
        <v>1072</v>
      </c>
      <c r="E13" s="88" t="s">
        <v>1073</v>
      </c>
      <c r="F13" s="89" t="s">
        <v>1057</v>
      </c>
      <c r="G13" s="89" t="s">
        <v>1074</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1051</v>
      </c>
      <c r="B14" s="84" t="s">
        <v>1075</v>
      </c>
      <c r="C14" s="86" t="s">
        <v>1076</v>
      </c>
      <c r="D14" s="88" t="s">
        <v>1077</v>
      </c>
      <c r="E14" s="88" t="s">
        <v>1078</v>
      </c>
      <c r="F14" s="89" t="s">
        <v>1057</v>
      </c>
      <c r="G14" s="89" t="s">
        <v>1074</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1051</v>
      </c>
      <c r="B15" s="84" t="s">
        <v>1079</v>
      </c>
      <c r="C15" s="86" t="s">
        <v>1080</v>
      </c>
      <c r="D15" s="88" t="s">
        <v>1081</v>
      </c>
      <c r="E15" s="88" t="s">
        <v>1082</v>
      </c>
      <c r="F15" s="89" t="s">
        <v>1057</v>
      </c>
      <c r="G15" s="89" t="s">
        <v>1074</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1083</v>
      </c>
      <c r="B16" s="83">
        <v>3</v>
      </c>
      <c r="C16" s="85" t="s">
        <v>21</v>
      </c>
      <c r="D16" s="87" t="s">
        <v>1084</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1083</v>
      </c>
      <c r="B17" s="84" t="s">
        <v>1085</v>
      </c>
      <c r="C17" s="86" t="s">
        <v>1086</v>
      </c>
      <c r="D17" s="88" t="s">
        <v>1087</v>
      </c>
      <c r="E17" s="88" t="s">
        <v>1088</v>
      </c>
      <c r="F17" s="89" t="s">
        <v>1089</v>
      </c>
      <c r="G17" s="89" t="s">
        <v>1090</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1083</v>
      </c>
      <c r="B18" s="84" t="s">
        <v>1091</v>
      </c>
      <c r="C18" s="86" t="s">
        <v>1092</v>
      </c>
      <c r="D18" s="88" t="s">
        <v>1093</v>
      </c>
      <c r="E18" s="88" t="s">
        <v>1094</v>
      </c>
      <c r="F18" s="89" t="s">
        <v>1089</v>
      </c>
      <c r="G18" s="89" t="s">
        <v>1032</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1083</v>
      </c>
      <c r="B19" s="84" t="s">
        <v>1095</v>
      </c>
      <c r="C19" s="86" t="s">
        <v>1096</v>
      </c>
      <c r="D19" s="88" t="s">
        <v>1097</v>
      </c>
      <c r="E19" s="88" t="s">
        <v>1098</v>
      </c>
      <c r="F19" s="89" t="s">
        <v>1089</v>
      </c>
      <c r="G19" s="89" t="s">
        <v>1074</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1083</v>
      </c>
      <c r="B20" s="84" t="s">
        <v>1099</v>
      </c>
      <c r="C20" s="86" t="s">
        <v>1100</v>
      </c>
      <c r="D20" s="88" t="s">
        <v>1101</v>
      </c>
      <c r="E20" s="88" t="s">
        <v>1102</v>
      </c>
      <c r="F20" s="89" t="s">
        <v>1089</v>
      </c>
      <c r="G20" s="89" t="s">
        <v>1074</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1083</v>
      </c>
      <c r="B21" s="84" t="s">
        <v>1103</v>
      </c>
      <c r="C21" s="86" t="s">
        <v>1104</v>
      </c>
      <c r="D21" s="88" t="s">
        <v>1105</v>
      </c>
      <c r="E21" s="88" t="s">
        <v>1106</v>
      </c>
      <c r="F21" s="89" t="s">
        <v>1089</v>
      </c>
      <c r="G21" s="89" t="s">
        <v>1074</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1083</v>
      </c>
      <c r="B22" s="84" t="s">
        <v>1107</v>
      </c>
      <c r="C22" s="86" t="s">
        <v>1108</v>
      </c>
      <c r="D22" s="88" t="s">
        <v>1109</v>
      </c>
      <c r="E22" s="88" t="s">
        <v>1110</v>
      </c>
      <c r="F22" s="89" t="s">
        <v>1089</v>
      </c>
      <c r="G22" s="89" t="s">
        <v>1074</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1083</v>
      </c>
      <c r="B23" s="84" t="s">
        <v>1111</v>
      </c>
      <c r="C23" s="86" t="s">
        <v>1112</v>
      </c>
      <c r="D23" s="88" t="s">
        <v>1113</v>
      </c>
      <c r="E23" s="88" t="s">
        <v>1114</v>
      </c>
      <c r="F23" s="89" t="s">
        <v>1089</v>
      </c>
      <c r="G23" s="89" t="s">
        <v>1032</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1083</v>
      </c>
      <c r="B24" s="84" t="s">
        <v>1115</v>
      </c>
      <c r="C24" s="86" t="s">
        <v>1116</v>
      </c>
      <c r="D24" s="88" t="s">
        <v>1117</v>
      </c>
      <c r="E24" s="88" t="s">
        <v>1118</v>
      </c>
      <c r="F24" s="89" t="s">
        <v>1089</v>
      </c>
      <c r="G24" s="89" t="s">
        <v>1032</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1083</v>
      </c>
      <c r="B25" s="84" t="s">
        <v>1119</v>
      </c>
      <c r="C25" s="86" t="s">
        <v>1120</v>
      </c>
      <c r="D25" s="88" t="s">
        <v>1121</v>
      </c>
      <c r="E25" s="88" t="s">
        <v>1122</v>
      </c>
      <c r="F25" s="89" t="s">
        <v>1089</v>
      </c>
      <c r="G25" s="89" t="s">
        <v>1074</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1083</v>
      </c>
      <c r="B26" s="84" t="s">
        <v>1123</v>
      </c>
      <c r="C26" s="86" t="s">
        <v>1124</v>
      </c>
      <c r="D26" s="88" t="s">
        <v>1125</v>
      </c>
      <c r="E26" s="88" t="s">
        <v>1126</v>
      </c>
      <c r="F26" s="89" t="s">
        <v>1089</v>
      </c>
      <c r="G26" s="89" t="s">
        <v>1074</v>
      </c>
      <c r="H26" s="89">
        <v>2</v>
      </c>
      <c r="I26" s="91">
        <f>IF(COUNTIF(J26:AW26,"&lt;&gt;")=0,"",SUMPRODUCT(((Recommendations[ImplStatus]="Implemented")+(Recommendations[ImplStatus]="Compensated"))*ISNUMBER(MATCH(Recommendations[Id],J26:AW26,0)))/COUNTIF(J26:AW26,"&lt;&gt;"))</f>
        <v>0</v>
      </c>
      <c r="J26" s="93" t="s">
        <v>381</v>
      </c>
      <c r="K26" s="93" t="s">
        <v>605</v>
      </c>
      <c r="L26" s="93" t="s">
        <v>615</v>
      </c>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1083</v>
      </c>
      <c r="B27" s="84" t="s">
        <v>1127</v>
      </c>
      <c r="C27" s="86" t="s">
        <v>1128</v>
      </c>
      <c r="D27" s="88" t="s">
        <v>1129</v>
      </c>
      <c r="E27" s="88" t="s">
        <v>1130</v>
      </c>
      <c r="F27" s="89" t="s">
        <v>1089</v>
      </c>
      <c r="G27" s="89" t="s">
        <v>1074</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1083</v>
      </c>
      <c r="B28" s="84" t="s">
        <v>1131</v>
      </c>
      <c r="C28" s="86" t="s">
        <v>1132</v>
      </c>
      <c r="D28" s="88" t="s">
        <v>1133</v>
      </c>
      <c r="E28" s="88" t="s">
        <v>1134</v>
      </c>
      <c r="F28" s="89" t="s">
        <v>1089</v>
      </c>
      <c r="G28" s="89" t="s">
        <v>1074</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1083</v>
      </c>
      <c r="B29" s="84" t="s">
        <v>1135</v>
      </c>
      <c r="C29" s="86" t="s">
        <v>1136</v>
      </c>
      <c r="D29" s="88" t="s">
        <v>1137</v>
      </c>
      <c r="E29" s="88" t="s">
        <v>1138</v>
      </c>
      <c r="F29" s="89" t="s">
        <v>1089</v>
      </c>
      <c r="G29" s="89" t="s">
        <v>1074</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1083</v>
      </c>
      <c r="B30" s="84" t="s">
        <v>1139</v>
      </c>
      <c r="C30" s="86" t="s">
        <v>1140</v>
      </c>
      <c r="D30" s="88" t="s">
        <v>1141</v>
      </c>
      <c r="E30" s="88" t="s">
        <v>1142</v>
      </c>
      <c r="F30" s="89" t="s">
        <v>1089</v>
      </c>
      <c r="G30" s="89" t="s">
        <v>1042</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1143</v>
      </c>
      <c r="B31" s="83">
        <v>4</v>
      </c>
      <c r="C31" s="85" t="s">
        <v>21</v>
      </c>
      <c r="D31" s="87" t="s">
        <v>1144</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1143</v>
      </c>
      <c r="B32" s="84" t="s">
        <v>1145</v>
      </c>
      <c r="C32" s="86" t="s">
        <v>1146</v>
      </c>
      <c r="D32" s="88" t="s">
        <v>1147</v>
      </c>
      <c r="E32" s="88" t="s">
        <v>1148</v>
      </c>
      <c r="F32" s="89" t="s">
        <v>1149</v>
      </c>
      <c r="G32" s="89" t="s">
        <v>1090</v>
      </c>
      <c r="H32" s="89">
        <v>1</v>
      </c>
      <c r="I32" s="91">
        <f>IF(COUNTIF(J32:AW32,"&lt;&gt;")=0,"",SUMPRODUCT(((Recommendations[ImplStatus]="Implemented")+(Recommendations[ImplStatus]="Compensated"))*ISNUMBER(MATCH(Recommendations[Id],J32:AW32,0)))/COUNTIF(J32:AW32,"&lt;&gt;"))</f>
        <v>0</v>
      </c>
      <c r="J32" s="93" t="s">
        <v>97</v>
      </c>
      <c r="K32" s="93" t="s">
        <v>452</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1143</v>
      </c>
      <c r="B33" s="84" t="s">
        <v>1150</v>
      </c>
      <c r="C33" s="86" t="s">
        <v>1151</v>
      </c>
      <c r="D33" s="88" t="s">
        <v>1152</v>
      </c>
      <c r="E33" s="88" t="s">
        <v>1153</v>
      </c>
      <c r="F33" s="89" t="s">
        <v>1149</v>
      </c>
      <c r="G33" s="89" t="s">
        <v>1090</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1143</v>
      </c>
      <c r="B34" s="84" t="s">
        <v>1154</v>
      </c>
      <c r="C34" s="86" t="s">
        <v>1155</v>
      </c>
      <c r="D34" s="88" t="s">
        <v>1156</v>
      </c>
      <c r="E34" s="88" t="s">
        <v>1157</v>
      </c>
      <c r="F34" s="89" t="s">
        <v>1031</v>
      </c>
      <c r="G34" s="89" t="s">
        <v>1074</v>
      </c>
      <c r="H34" s="89">
        <v>1</v>
      </c>
      <c r="I34" s="91">
        <f>IF(COUNTIF(J34:AW34,"&lt;&gt;")=0,"",SUMPRODUCT(((Recommendations[ImplStatus]="Implemented")+(Recommendations[ImplStatus]="Compensated"))*ISNUMBER(MATCH(Recommendations[Id],J34:AW34,0)))/COUNTIF(J34:AW34,"&lt;&gt;"))</f>
        <v>0</v>
      </c>
      <c r="J34" s="93" t="s">
        <v>67</v>
      </c>
      <c r="K34" s="93" t="s">
        <v>275</v>
      </c>
      <c r="L34" s="93" t="s">
        <v>371</v>
      </c>
      <c r="M34" s="93" t="s">
        <v>411</v>
      </c>
      <c r="N34" s="93" t="s">
        <v>625</v>
      </c>
      <c r="O34" s="93" t="s">
        <v>630</v>
      </c>
      <c r="P34" s="93" t="s">
        <v>640</v>
      </c>
      <c r="Q34" s="93" t="s">
        <v>660</v>
      </c>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1143</v>
      </c>
      <c r="B35" s="84" t="s">
        <v>1158</v>
      </c>
      <c r="C35" s="86" t="s">
        <v>1159</v>
      </c>
      <c r="D35" s="88" t="s">
        <v>1160</v>
      </c>
      <c r="E35" s="88" t="s">
        <v>1161</v>
      </c>
      <c r="F35" s="89" t="s">
        <v>1031</v>
      </c>
      <c r="G35" s="89" t="s">
        <v>1074</v>
      </c>
      <c r="H35" s="89">
        <v>1</v>
      </c>
      <c r="I35" s="91">
        <f>IF(COUNTIF(J35:AW35,"&lt;&gt;")=0,"",SUMPRODUCT(((Recommendations[ImplStatus]="Implemented")+(Recommendations[ImplStatus]="Compensated"))*ISNUMBER(MATCH(Recommendations[Id],J35:AW35,0)))/COUNTIF(J35:AW35,"&lt;&gt;"))</f>
        <v>0</v>
      </c>
      <c r="J35" s="93" t="s">
        <v>92</v>
      </c>
      <c r="K35" s="93" t="s">
        <v>102</v>
      </c>
      <c r="L35" s="93" t="s">
        <v>396</v>
      </c>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1143</v>
      </c>
      <c r="B36" s="84" t="s">
        <v>1162</v>
      </c>
      <c r="C36" s="86" t="s">
        <v>1163</v>
      </c>
      <c r="D36" s="88" t="s">
        <v>1164</v>
      </c>
      <c r="E36" s="88" t="s">
        <v>1165</v>
      </c>
      <c r="F36" s="89" t="s">
        <v>1031</v>
      </c>
      <c r="G36" s="89" t="s">
        <v>1074</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1143</v>
      </c>
      <c r="B37" s="84" t="s">
        <v>1166</v>
      </c>
      <c r="C37" s="86" t="s">
        <v>1167</v>
      </c>
      <c r="D37" s="88" t="s">
        <v>1168</v>
      </c>
      <c r="E37" s="88" t="s">
        <v>1169</v>
      </c>
      <c r="F37" s="89" t="s">
        <v>1031</v>
      </c>
      <c r="G37" s="89" t="s">
        <v>1074</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1143</v>
      </c>
      <c r="B38" s="84" t="s">
        <v>1170</v>
      </c>
      <c r="C38" s="86" t="s">
        <v>1171</v>
      </c>
      <c r="D38" s="88" t="s">
        <v>1172</v>
      </c>
      <c r="E38" s="88" t="s">
        <v>1173</v>
      </c>
      <c r="F38" s="89" t="s">
        <v>1174</v>
      </c>
      <c r="G38" s="89" t="s">
        <v>1074</v>
      </c>
      <c r="H38" s="89">
        <v>1</v>
      </c>
      <c r="I38" s="91">
        <f>IF(COUNTIF(J38:AW38,"&lt;&gt;")=0,"",SUMPRODUCT(((Recommendations[ImplStatus]="Implemented")+(Recommendations[ImplStatus]="Compensated"))*ISNUMBER(MATCH(Recommendations[Id],J38:AW38,0)))/COUNTIF(J38:AW38,"&lt;&gt;"))</f>
        <v>0</v>
      </c>
      <c r="J38" s="93" t="s">
        <v>557</v>
      </c>
      <c r="K38" s="93" t="s">
        <v>567</v>
      </c>
      <c r="L38" s="93" t="s">
        <v>572</v>
      </c>
      <c r="M38" s="93" t="s">
        <v>577</v>
      </c>
      <c r="N38" s="93" t="s">
        <v>582</v>
      </c>
      <c r="O38" s="93" t="s">
        <v>587</v>
      </c>
      <c r="P38" s="93" t="s">
        <v>591</v>
      </c>
      <c r="Q38" s="93" t="s">
        <v>595</v>
      </c>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1143</v>
      </c>
      <c r="B39" s="84" t="s">
        <v>1175</v>
      </c>
      <c r="C39" s="86" t="s">
        <v>1176</v>
      </c>
      <c r="D39" s="88" t="s">
        <v>1177</v>
      </c>
      <c r="E39" s="88" t="s">
        <v>1178</v>
      </c>
      <c r="F39" s="89" t="s">
        <v>1031</v>
      </c>
      <c r="G39" s="89" t="s">
        <v>1074</v>
      </c>
      <c r="H39" s="89">
        <v>2</v>
      </c>
      <c r="I39" s="91">
        <f>IF(COUNTIF(J39:AW39,"&lt;&gt;")=0,"",SUMPRODUCT(((Recommendations[ImplStatus]="Implemented")+(Recommendations[ImplStatus]="Compensated"))*ISNUMBER(MATCH(Recommendations[Id],J39:AW39,0)))/COUNTIF(J39:AW39,"&lt;&gt;"))</f>
        <v>0</v>
      </c>
      <c r="J39" s="93" t="s">
        <v>44</v>
      </c>
      <c r="K39" s="93" t="s">
        <v>49</v>
      </c>
      <c r="L39" s="93" t="s">
        <v>54</v>
      </c>
      <c r="M39" s="93" t="s">
        <v>58</v>
      </c>
      <c r="N39" s="93" t="s">
        <v>345</v>
      </c>
      <c r="O39" s="93" t="s">
        <v>527</v>
      </c>
      <c r="P39" s="93" t="s">
        <v>532</v>
      </c>
      <c r="Q39" s="93" t="s">
        <v>547</v>
      </c>
      <c r="R39" s="93" t="s">
        <v>620</v>
      </c>
      <c r="S39" s="93" t="s">
        <v>655</v>
      </c>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1143</v>
      </c>
      <c r="B40" s="84" t="s">
        <v>1179</v>
      </c>
      <c r="C40" s="86" t="s">
        <v>1180</v>
      </c>
      <c r="D40" s="88" t="s">
        <v>1181</v>
      </c>
      <c r="E40" s="88" t="s">
        <v>1182</v>
      </c>
      <c r="F40" s="89" t="s">
        <v>1031</v>
      </c>
      <c r="G40" s="89" t="s">
        <v>1074</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1143</v>
      </c>
      <c r="B41" s="84" t="s">
        <v>1183</v>
      </c>
      <c r="C41" s="86" t="s">
        <v>1184</v>
      </c>
      <c r="D41" s="88" t="s">
        <v>1185</v>
      </c>
      <c r="E41" s="88" t="s">
        <v>1186</v>
      </c>
      <c r="F41" s="89" t="s">
        <v>1031</v>
      </c>
      <c r="G41" s="89" t="s">
        <v>1074</v>
      </c>
      <c r="H41" s="89">
        <v>2</v>
      </c>
      <c r="I41" s="91">
        <f>IF(COUNTIF(J41:AW41,"&lt;&gt;")=0,"",SUMPRODUCT(((Recommendations[ImplStatus]="Implemented")+(Recommendations[ImplStatus]="Compensated"))*ISNUMBER(MATCH(Recommendations[Id],J41:AW41,0)))/COUNTIF(J41:AW41,"&lt;&gt;"))</f>
        <v>0</v>
      </c>
      <c r="J41" s="93" t="s">
        <v>447</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1143</v>
      </c>
      <c r="B42" s="84" t="s">
        <v>1187</v>
      </c>
      <c r="C42" s="86" t="s">
        <v>1188</v>
      </c>
      <c r="D42" s="88" t="s">
        <v>1189</v>
      </c>
      <c r="E42" s="88" t="s">
        <v>1190</v>
      </c>
      <c r="F42" s="89" t="s">
        <v>1089</v>
      </c>
      <c r="G42" s="89" t="s">
        <v>1074</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1143</v>
      </c>
      <c r="B43" s="84" t="s">
        <v>1191</v>
      </c>
      <c r="C43" s="86" t="s">
        <v>1192</v>
      </c>
      <c r="D43" s="88" t="s">
        <v>1193</v>
      </c>
      <c r="E43" s="88" t="s">
        <v>1194</v>
      </c>
      <c r="F43" s="89" t="s">
        <v>1089</v>
      </c>
      <c r="G43" s="89" t="s">
        <v>1074</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1195</v>
      </c>
      <c r="B44" s="83">
        <v>5</v>
      </c>
      <c r="C44" s="85" t="s">
        <v>21</v>
      </c>
      <c r="D44" s="87" t="s">
        <v>1196</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1195</v>
      </c>
      <c r="B45" s="84" t="s">
        <v>1197</v>
      </c>
      <c r="C45" s="86" t="s">
        <v>1198</v>
      </c>
      <c r="D45" s="88" t="s">
        <v>1199</v>
      </c>
      <c r="E45" s="88" t="s">
        <v>1200</v>
      </c>
      <c r="F45" s="89" t="s">
        <v>1174</v>
      </c>
      <c r="G45" s="89" t="s">
        <v>1032</v>
      </c>
      <c r="H45" s="89">
        <v>1</v>
      </c>
      <c r="I45" s="91">
        <f>IF(COUNTIF(J45:AW45,"&lt;&gt;")=0,"",SUMPRODUCT(((Recommendations[ImplStatus]="Implemented")+(Recommendations[ImplStatus]="Compensated"))*ISNUMBER(MATCH(Recommendations[Id],J45:AW45,0)))/COUNTIF(J45:AW45,"&lt;&gt;"))</f>
        <v>0</v>
      </c>
      <c r="J45" s="93" t="s">
        <v>432</v>
      </c>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1195</v>
      </c>
      <c r="B46" s="84" t="s">
        <v>1201</v>
      </c>
      <c r="C46" s="86" t="s">
        <v>1202</v>
      </c>
      <c r="D46" s="88" t="s">
        <v>1203</v>
      </c>
      <c r="E46" s="88" t="s">
        <v>1204</v>
      </c>
      <c r="F46" s="89" t="s">
        <v>1174</v>
      </c>
      <c r="G46" s="89" t="s">
        <v>1074</v>
      </c>
      <c r="H46" s="89">
        <v>1</v>
      </c>
      <c r="I46" s="91" t="str">
        <f>IF(COUNTIF(J46:AW46,"&lt;&gt;")=0,"",SUMPRODUCT(((Recommendations[ImplStatus]="Implemented")+(Recommendations[ImplStatus]="Compensated"))*ISNUMBER(MATCH(Recommendations[Id],J46:AW46,0)))/COUNTIF(J46:AW46,"&lt;&gt;"))</f>
        <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1195</v>
      </c>
      <c r="B47" s="84" t="s">
        <v>1205</v>
      </c>
      <c r="C47" s="86" t="s">
        <v>1206</v>
      </c>
      <c r="D47" s="88" t="s">
        <v>1207</v>
      </c>
      <c r="E47" s="88" t="s">
        <v>1208</v>
      </c>
      <c r="F47" s="89" t="s">
        <v>1174</v>
      </c>
      <c r="G47" s="89" t="s">
        <v>1074</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1195</v>
      </c>
      <c r="B48" s="84" t="s">
        <v>1209</v>
      </c>
      <c r="C48" s="86" t="s">
        <v>1210</v>
      </c>
      <c r="D48" s="88" t="s">
        <v>1211</v>
      </c>
      <c r="E48" s="88" t="s">
        <v>1212</v>
      </c>
      <c r="F48" s="89" t="s">
        <v>1174</v>
      </c>
      <c r="G48" s="89" t="s">
        <v>1074</v>
      </c>
      <c r="H48" s="89">
        <v>1</v>
      </c>
      <c r="I48" s="91">
        <f>IF(COUNTIF(J48:AW48,"&lt;&gt;")=0,"",SUMPRODUCT(((Recommendations[ImplStatus]="Implemented")+(Recommendations[ImplStatus]="Compensated"))*ISNUMBER(MATCH(Recommendations[Id],J48:AW48,0)))/COUNTIF(J48:AW48,"&lt;&gt;"))</f>
        <v>0</v>
      </c>
      <c r="J48" s="93" t="s">
        <v>532</v>
      </c>
      <c r="K48" s="93" t="s">
        <v>547</v>
      </c>
      <c r="L48" s="93" t="s">
        <v>557</v>
      </c>
      <c r="M48" s="93" t="s">
        <v>567</v>
      </c>
      <c r="N48" s="93" t="s">
        <v>572</v>
      </c>
      <c r="O48" s="93" t="s">
        <v>577</v>
      </c>
      <c r="P48" s="93" t="s">
        <v>582</v>
      </c>
      <c r="Q48" s="93" t="s">
        <v>587</v>
      </c>
      <c r="R48" s="93" t="s">
        <v>591</v>
      </c>
      <c r="S48" s="93" t="s">
        <v>595</v>
      </c>
      <c r="T48" s="93" t="s">
        <v>620</v>
      </c>
      <c r="U48" s="93" t="s">
        <v>655</v>
      </c>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1195</v>
      </c>
      <c r="B49" s="84" t="s">
        <v>1213</v>
      </c>
      <c r="C49" s="86" t="s">
        <v>1214</v>
      </c>
      <c r="D49" s="88" t="s">
        <v>1215</v>
      </c>
      <c r="E49" s="88" t="s">
        <v>1216</v>
      </c>
      <c r="F49" s="89" t="s">
        <v>1174</v>
      </c>
      <c r="G49" s="89" t="s">
        <v>1032</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1195</v>
      </c>
      <c r="B50" s="84" t="s">
        <v>1217</v>
      </c>
      <c r="C50" s="86" t="s">
        <v>1218</v>
      </c>
      <c r="D50" s="88" t="s">
        <v>1219</v>
      </c>
      <c r="E50" s="88" t="s">
        <v>1220</v>
      </c>
      <c r="F50" s="89" t="s">
        <v>1174</v>
      </c>
      <c r="G50" s="89" t="s">
        <v>1090</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1221</v>
      </c>
      <c r="B51" s="83">
        <v>6</v>
      </c>
      <c r="C51" s="85" t="s">
        <v>21</v>
      </c>
      <c r="D51" s="87" t="s">
        <v>1222</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1221</v>
      </c>
      <c r="B52" s="84" t="s">
        <v>1223</v>
      </c>
      <c r="C52" s="86" t="s">
        <v>1224</v>
      </c>
      <c r="D52" s="88" t="s">
        <v>1225</v>
      </c>
      <c r="E52" s="88" t="s">
        <v>1226</v>
      </c>
      <c r="F52" s="89" t="s">
        <v>1149</v>
      </c>
      <c r="G52" s="89" t="s">
        <v>1090</v>
      </c>
      <c r="H52" s="89">
        <v>1</v>
      </c>
      <c r="I52" s="91">
        <f>IF(COUNTIF(J52:AW52,"&lt;&gt;")=0,"",SUMPRODUCT(((Recommendations[ImplStatus]="Implemented")+(Recommendations[ImplStatus]="Compensated"))*ISNUMBER(MATCH(Recommendations[Id],J52:AW52,0)))/COUNTIF(J52:AW52,"&lt;&gt;"))</f>
        <v>0</v>
      </c>
      <c r="J52" s="93" t="s">
        <v>418</v>
      </c>
      <c r="K52" s="93" t="s">
        <v>423</v>
      </c>
      <c r="L52" s="93" t="s">
        <v>426</v>
      </c>
      <c r="M52" s="93" t="s">
        <v>429</v>
      </c>
      <c r="N52" s="93" t="s">
        <v>432</v>
      </c>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1221</v>
      </c>
      <c r="B53" s="84" t="s">
        <v>1227</v>
      </c>
      <c r="C53" s="86" t="s">
        <v>1228</v>
      </c>
      <c r="D53" s="88" t="s">
        <v>1229</v>
      </c>
      <c r="E53" s="88" t="s">
        <v>1230</v>
      </c>
      <c r="F53" s="89" t="s">
        <v>1149</v>
      </c>
      <c r="G53" s="89" t="s">
        <v>1090</v>
      </c>
      <c r="H53" s="89">
        <v>1</v>
      </c>
      <c r="I53" s="91">
        <f>IF(COUNTIF(J53:AW53,"&lt;&gt;")=0,"",SUMPRODUCT(((Recommendations[ImplStatus]="Implemented")+(Recommendations[ImplStatus]="Compensated"))*ISNUMBER(MATCH(Recommendations[Id],J53:AW53,0)))/COUNTIF(J53:AW53,"&lt;&gt;"))</f>
        <v>0</v>
      </c>
      <c r="J53" s="93" t="s">
        <v>418</v>
      </c>
      <c r="K53" s="93" t="s">
        <v>423</v>
      </c>
      <c r="L53" s="93" t="s">
        <v>426</v>
      </c>
      <c r="M53" s="93" t="s">
        <v>429</v>
      </c>
      <c r="N53" s="93" t="s">
        <v>432</v>
      </c>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1221</v>
      </c>
      <c r="B54" s="84" t="s">
        <v>1231</v>
      </c>
      <c r="C54" s="86" t="s">
        <v>1232</v>
      </c>
      <c r="D54" s="88" t="s">
        <v>1233</v>
      </c>
      <c r="E54" s="88" t="s">
        <v>1234</v>
      </c>
      <c r="F54" s="89" t="s">
        <v>1174</v>
      </c>
      <c r="G54" s="89" t="s">
        <v>1074</v>
      </c>
      <c r="H54" s="89">
        <v>1</v>
      </c>
      <c r="I54" s="91">
        <f>IF(COUNTIF(J54:AW54,"&lt;&gt;")=0,"",SUMPRODUCT(((Recommendations[ImplStatus]="Implemented")+(Recommendations[ImplStatus]="Compensated"))*ISNUMBER(MATCH(Recommendations[Id],J54:AW54,0)))/COUNTIF(J54:AW54,"&lt;&gt;"))</f>
        <v>0</v>
      </c>
      <c r="J54" s="93" t="s">
        <v>330</v>
      </c>
      <c r="K54" s="93" t="s">
        <v>361</v>
      </c>
      <c r="L54" s="93" t="s">
        <v>391</v>
      </c>
      <c r="M54" s="93" t="s">
        <v>522</v>
      </c>
      <c r="N54" s="93" t="s">
        <v>562</v>
      </c>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1221</v>
      </c>
      <c r="B55" s="84" t="s">
        <v>1235</v>
      </c>
      <c r="C55" s="86" t="s">
        <v>1236</v>
      </c>
      <c r="D55" s="88" t="s">
        <v>1237</v>
      </c>
      <c r="E55" s="88" t="s">
        <v>1238</v>
      </c>
      <c r="F55" s="89" t="s">
        <v>1174</v>
      </c>
      <c r="G55" s="89" t="s">
        <v>1074</v>
      </c>
      <c r="H55" s="89">
        <v>1</v>
      </c>
      <c r="I55" s="91">
        <f>IF(COUNTIF(J55:AW55,"&lt;&gt;")=0,"",SUMPRODUCT(((Recommendations[ImplStatus]="Implemented")+(Recommendations[ImplStatus]="Compensated"))*ISNUMBER(MATCH(Recommendations[Id],J55:AW55,0)))/COUNTIF(J55:AW55,"&lt;&gt;"))</f>
        <v>0</v>
      </c>
      <c r="J55" s="93" t="s">
        <v>330</v>
      </c>
      <c r="K55" s="93" t="s">
        <v>361</v>
      </c>
      <c r="L55" s="93" t="s">
        <v>391</v>
      </c>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1221</v>
      </c>
      <c r="B56" s="84" t="s">
        <v>1239</v>
      </c>
      <c r="C56" s="86" t="s">
        <v>1240</v>
      </c>
      <c r="D56" s="88" t="s">
        <v>1241</v>
      </c>
      <c r="E56" s="88" t="s">
        <v>1242</v>
      </c>
      <c r="F56" s="89" t="s">
        <v>1174</v>
      </c>
      <c r="G56" s="89" t="s">
        <v>1074</v>
      </c>
      <c r="H56" s="89">
        <v>1</v>
      </c>
      <c r="I56" s="91">
        <f>IF(COUNTIF(J56:AW56,"&lt;&gt;")=0,"",SUMPRODUCT(((Recommendations[ImplStatus]="Implemented")+(Recommendations[ImplStatus]="Compensated"))*ISNUMBER(MATCH(Recommendations[Id],J56:AW56,0)))/COUNTIF(J56:AW56,"&lt;&gt;"))</f>
        <v>0</v>
      </c>
      <c r="J56" s="93" t="s">
        <v>522</v>
      </c>
      <c r="K56" s="93" t="s">
        <v>562</v>
      </c>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1221</v>
      </c>
      <c r="B57" s="84" t="s">
        <v>1243</v>
      </c>
      <c r="C57" s="86" t="s">
        <v>1244</v>
      </c>
      <c r="D57" s="88" t="s">
        <v>1245</v>
      </c>
      <c r="E57" s="88" t="s">
        <v>1246</v>
      </c>
      <c r="F57" s="89" t="s">
        <v>1057</v>
      </c>
      <c r="G57" s="89" t="s">
        <v>1032</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1221</v>
      </c>
      <c r="B58" s="84" t="s">
        <v>1247</v>
      </c>
      <c r="C58" s="86" t="s">
        <v>1248</v>
      </c>
      <c r="D58" s="88" t="s">
        <v>1249</v>
      </c>
      <c r="E58" s="88" t="s">
        <v>1250</v>
      </c>
      <c r="F58" s="89" t="s">
        <v>1174</v>
      </c>
      <c r="G58" s="89" t="s">
        <v>1074</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1221</v>
      </c>
      <c r="B59" s="84" t="s">
        <v>1251</v>
      </c>
      <c r="C59" s="86" t="s">
        <v>1252</v>
      </c>
      <c r="D59" s="88" t="s">
        <v>1253</v>
      </c>
      <c r="E59" s="88" t="s">
        <v>1254</v>
      </c>
      <c r="F59" s="89" t="s">
        <v>1174</v>
      </c>
      <c r="G59" s="89" t="s">
        <v>1090</v>
      </c>
      <c r="H59" s="89">
        <v>3</v>
      </c>
      <c r="I59" s="91">
        <f>IF(COUNTIF(J59:AW59,"&lt;&gt;")=0,"",SUMPRODUCT(((Recommendations[ImplStatus]="Implemented")+(Recommendations[ImplStatus]="Compensated"))*ISNUMBER(MATCH(Recommendations[Id],J59:AW59,0)))/COUNTIF(J59:AW59,"&lt;&gt;"))</f>
        <v>0</v>
      </c>
      <c r="J59" s="93" t="s">
        <v>14</v>
      </c>
      <c r="K59" s="93" t="s">
        <v>437</v>
      </c>
      <c r="L59" s="93" t="s">
        <v>497</v>
      </c>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1255</v>
      </c>
      <c r="B60" s="83">
        <v>7</v>
      </c>
      <c r="C60" s="85" t="s">
        <v>21</v>
      </c>
      <c r="D60" s="87" t="s">
        <v>1256</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1255</v>
      </c>
      <c r="B61" s="84" t="s">
        <v>1257</v>
      </c>
      <c r="C61" s="86" t="s">
        <v>1258</v>
      </c>
      <c r="D61" s="88" t="s">
        <v>1259</v>
      </c>
      <c r="E61" s="88" t="s">
        <v>1260</v>
      </c>
      <c r="F61" s="89" t="s">
        <v>1149</v>
      </c>
      <c r="G61" s="89" t="s">
        <v>1090</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1255</v>
      </c>
      <c r="B62" s="84" t="s">
        <v>1261</v>
      </c>
      <c r="C62" s="86" t="s">
        <v>1262</v>
      </c>
      <c r="D62" s="88" t="s">
        <v>1263</v>
      </c>
      <c r="E62" s="88" t="s">
        <v>1264</v>
      </c>
      <c r="F62" s="89" t="s">
        <v>1149</v>
      </c>
      <c r="G62" s="89" t="s">
        <v>1090</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1255</v>
      </c>
      <c r="B63" s="84" t="s">
        <v>1265</v>
      </c>
      <c r="C63" s="86" t="s">
        <v>1266</v>
      </c>
      <c r="D63" s="88" t="s">
        <v>1267</v>
      </c>
      <c r="E63" s="88" t="s">
        <v>1268</v>
      </c>
      <c r="F63" s="89" t="s">
        <v>1057</v>
      </c>
      <c r="G63" s="89" t="s">
        <v>1074</v>
      </c>
      <c r="H63" s="89">
        <v>1</v>
      </c>
      <c r="I63" s="91">
        <f>IF(COUNTIF(J63:AW63,"&lt;&gt;")=0,"",SUMPRODUCT(((Recommendations[ImplStatus]="Implemented")+(Recommendations[ImplStatus]="Compensated"))*ISNUMBER(MATCH(Recommendations[Id],J63:AW63,0)))/COUNTIF(J63:AW63,"&lt;&gt;"))</f>
        <v>0</v>
      </c>
      <c r="J63" s="93" t="s">
        <v>650</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1255</v>
      </c>
      <c r="B64" s="84" t="s">
        <v>1269</v>
      </c>
      <c r="C64" s="86" t="s">
        <v>1270</v>
      </c>
      <c r="D64" s="88" t="s">
        <v>1271</v>
      </c>
      <c r="E64" s="88" t="s">
        <v>1272</v>
      </c>
      <c r="F64" s="89" t="s">
        <v>1057</v>
      </c>
      <c r="G64" s="89" t="s">
        <v>1074</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1255</v>
      </c>
      <c r="B65" s="84" t="s">
        <v>1273</v>
      </c>
      <c r="C65" s="86" t="s">
        <v>1274</v>
      </c>
      <c r="D65" s="88" t="s">
        <v>1275</v>
      </c>
      <c r="E65" s="88" t="s">
        <v>1276</v>
      </c>
      <c r="F65" s="89" t="s">
        <v>1057</v>
      </c>
      <c r="G65" s="89" t="s">
        <v>1032</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1255</v>
      </c>
      <c r="B66" s="84" t="s">
        <v>1277</v>
      </c>
      <c r="C66" s="86" t="s">
        <v>1278</v>
      </c>
      <c r="D66" s="88" t="s">
        <v>1279</v>
      </c>
      <c r="E66" s="88" t="s">
        <v>1280</v>
      </c>
      <c r="F66" s="89" t="s">
        <v>1057</v>
      </c>
      <c r="G66" s="89" t="s">
        <v>1032</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1255</v>
      </c>
      <c r="B67" s="84" t="s">
        <v>1281</v>
      </c>
      <c r="C67" s="86" t="s">
        <v>1282</v>
      </c>
      <c r="D67" s="88" t="s">
        <v>1283</v>
      </c>
      <c r="E67" s="88" t="s">
        <v>1284</v>
      </c>
      <c r="F67" s="89" t="s">
        <v>1057</v>
      </c>
      <c r="G67" s="89" t="s">
        <v>1037</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1285</v>
      </c>
      <c r="B68" s="83">
        <v>8</v>
      </c>
      <c r="C68" s="85" t="s">
        <v>21</v>
      </c>
      <c r="D68" s="87" t="s">
        <v>1286</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1285</v>
      </c>
      <c r="B69" s="84" t="s">
        <v>1287</v>
      </c>
      <c r="C69" s="86" t="s">
        <v>1288</v>
      </c>
      <c r="D69" s="88" t="s">
        <v>1289</v>
      </c>
      <c r="E69" s="88" t="s">
        <v>1290</v>
      </c>
      <c r="F69" s="89" t="s">
        <v>1149</v>
      </c>
      <c r="G69" s="89" t="s">
        <v>1090</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1285</v>
      </c>
      <c r="B70" s="84" t="s">
        <v>1291</v>
      </c>
      <c r="C70" s="86" t="s">
        <v>1292</v>
      </c>
      <c r="D70" s="88" t="s">
        <v>1293</v>
      </c>
      <c r="E70" s="88" t="s">
        <v>1294</v>
      </c>
      <c r="F70" s="89" t="s">
        <v>1089</v>
      </c>
      <c r="G70" s="89" t="s">
        <v>1042</v>
      </c>
      <c r="H70" s="89">
        <v>1</v>
      </c>
      <c r="I70" s="91">
        <f>IF(COUNTIF(J70:AW70,"&lt;&gt;")=0,"",SUMPRODUCT(((Recommendations[ImplStatus]="Implemented")+(Recommendations[ImplStatus]="Compensated"))*ISNUMBER(MATCH(Recommendations[Id],J70:AW70,0)))/COUNTIF(J70:AW70,"&lt;&gt;"))</f>
        <v>0</v>
      </c>
      <c r="J70" s="93" t="s">
        <v>25</v>
      </c>
      <c r="K70" s="93" t="s">
        <v>30</v>
      </c>
      <c r="L70" s="93" t="s">
        <v>34</v>
      </c>
      <c r="M70" s="93" t="s">
        <v>39</v>
      </c>
      <c r="N70" s="93" t="s">
        <v>137</v>
      </c>
      <c r="O70" s="93" t="s">
        <v>153</v>
      </c>
      <c r="P70" s="93" t="s">
        <v>418</v>
      </c>
      <c r="Q70" s="93" t="s">
        <v>423</v>
      </c>
      <c r="R70" s="93" t="s">
        <v>426</v>
      </c>
      <c r="S70" s="93" t="s">
        <v>429</v>
      </c>
      <c r="T70" s="93" t="s">
        <v>457</v>
      </c>
      <c r="U70" s="93" t="s">
        <v>467</v>
      </c>
      <c r="V70" s="93" t="s">
        <v>471</v>
      </c>
      <c r="W70" s="93" t="s">
        <v>475</v>
      </c>
      <c r="X70" s="93" t="s">
        <v>477</v>
      </c>
      <c r="Y70" s="93" t="s">
        <v>482</v>
      </c>
      <c r="Z70" s="93" t="s">
        <v>492</v>
      </c>
      <c r="AA70" s="93" t="s">
        <v>679</v>
      </c>
      <c r="AB70" s="93" t="s">
        <v>689</v>
      </c>
      <c r="AC70" s="93" t="s">
        <v>699</v>
      </c>
      <c r="AD70" s="93" t="s">
        <v>709</v>
      </c>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1285</v>
      </c>
      <c r="B71" s="84" t="s">
        <v>1295</v>
      </c>
      <c r="C71" s="86" t="s">
        <v>1296</v>
      </c>
      <c r="D71" s="88" t="s">
        <v>1297</v>
      </c>
      <c r="E71" s="88" t="s">
        <v>1298</v>
      </c>
      <c r="F71" s="89" t="s">
        <v>1089</v>
      </c>
      <c r="G71" s="89" t="s">
        <v>1074</v>
      </c>
      <c r="H71" s="89">
        <v>1</v>
      </c>
      <c r="I71" s="91">
        <f>IF(COUNTIF(J71:AW71,"&lt;&gt;")=0,"",SUMPRODUCT(((Recommendations[ImplStatus]="Implemented")+(Recommendations[ImplStatus]="Compensated"))*ISNUMBER(MATCH(Recommendations[Id],J71:AW71,0)))/COUNTIF(J71:AW71,"&lt;&gt;"))</f>
        <v>0</v>
      </c>
      <c r="J71" s="93" t="s">
        <v>728</v>
      </c>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1285</v>
      </c>
      <c r="B72" s="84" t="s">
        <v>1299</v>
      </c>
      <c r="C72" s="86" t="s">
        <v>1300</v>
      </c>
      <c r="D72" s="88" t="s">
        <v>1301</v>
      </c>
      <c r="E72" s="88" t="s">
        <v>1302</v>
      </c>
      <c r="F72" s="89" t="s">
        <v>1303</v>
      </c>
      <c r="G72" s="89" t="s">
        <v>1074</v>
      </c>
      <c r="H72" s="89">
        <v>2</v>
      </c>
      <c r="I72" s="91">
        <f>IF(COUNTIF(J72:AW72,"&lt;&gt;")=0,"",SUMPRODUCT(((Recommendations[ImplStatus]="Implemented")+(Recommendations[ImplStatus]="Compensated"))*ISNUMBER(MATCH(Recommendations[Id],J72:AW72,0)))/COUNTIF(J72:AW72,"&lt;&gt;"))</f>
        <v>0</v>
      </c>
      <c r="J72" s="93" t="s">
        <v>492</v>
      </c>
      <c r="K72" s="93" t="s">
        <v>512</v>
      </c>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1285</v>
      </c>
      <c r="B73" s="84" t="s">
        <v>1304</v>
      </c>
      <c r="C73" s="86" t="s">
        <v>1305</v>
      </c>
      <c r="D73" s="88" t="s">
        <v>1306</v>
      </c>
      <c r="E73" s="88" t="s">
        <v>1307</v>
      </c>
      <c r="F73" s="89" t="s">
        <v>1089</v>
      </c>
      <c r="G73" s="89" t="s">
        <v>1042</v>
      </c>
      <c r="H73" s="89">
        <v>2</v>
      </c>
      <c r="I73" s="91">
        <f>IF(COUNTIF(J73:AW73,"&lt;&gt;")=0,"",SUMPRODUCT(((Recommendations[ImplStatus]="Implemented")+(Recommendations[ImplStatus]="Compensated"))*ISNUMBER(MATCH(Recommendations[Id],J73:AW73,0)))/COUNTIF(J73:AW73,"&lt;&gt;"))</f>
        <v>0</v>
      </c>
      <c r="J73" s="93" t="s">
        <v>34</v>
      </c>
      <c r="K73" s="93" t="s">
        <v>39</v>
      </c>
      <c r="L73" s="93" t="s">
        <v>457</v>
      </c>
      <c r="M73" s="93" t="s">
        <v>462</v>
      </c>
      <c r="N73" s="93" t="s">
        <v>465</v>
      </c>
      <c r="O73" s="93" t="s">
        <v>467</v>
      </c>
      <c r="P73" s="93" t="s">
        <v>471</v>
      </c>
      <c r="Q73" s="93" t="s">
        <v>475</v>
      </c>
      <c r="R73" s="93" t="s">
        <v>477</v>
      </c>
      <c r="S73" s="93" t="s">
        <v>482</v>
      </c>
      <c r="T73" s="93" t="s">
        <v>679</v>
      </c>
      <c r="U73" s="93" t="s">
        <v>699</v>
      </c>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1285</v>
      </c>
      <c r="B74" s="84" t="s">
        <v>1308</v>
      </c>
      <c r="C74" s="86" t="s">
        <v>1309</v>
      </c>
      <c r="D74" s="88" t="s">
        <v>1310</v>
      </c>
      <c r="E74" s="88" t="s">
        <v>1311</v>
      </c>
      <c r="F74" s="89" t="s">
        <v>1089</v>
      </c>
      <c r="G74" s="89" t="s">
        <v>1042</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1285</v>
      </c>
      <c r="B75" s="84" t="s">
        <v>1312</v>
      </c>
      <c r="C75" s="86" t="s">
        <v>1313</v>
      </c>
      <c r="D75" s="88" t="s">
        <v>1314</v>
      </c>
      <c r="E75" s="88" t="s">
        <v>1315</v>
      </c>
      <c r="F75" s="89" t="s">
        <v>1089</v>
      </c>
      <c r="G75" s="89" t="s">
        <v>1042</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1285</v>
      </c>
      <c r="B76" s="84" t="s">
        <v>1316</v>
      </c>
      <c r="C76" s="86" t="s">
        <v>1317</v>
      </c>
      <c r="D76" s="88" t="s">
        <v>1318</v>
      </c>
      <c r="E76" s="88" t="s">
        <v>1319</v>
      </c>
      <c r="F76" s="89" t="s">
        <v>1089</v>
      </c>
      <c r="G76" s="89" t="s">
        <v>1042</v>
      </c>
      <c r="H76" s="89">
        <v>2</v>
      </c>
      <c r="I76" s="91">
        <f>IF(COUNTIF(J76:AW76,"&lt;&gt;")=0,"",SUMPRODUCT(((Recommendations[ImplStatus]="Implemented")+(Recommendations[ImplStatus]="Compensated"))*ISNUMBER(MATCH(Recommendations[Id],J76:AW76,0)))/COUNTIF(J76:AW76,"&lt;&gt;"))</f>
        <v>0</v>
      </c>
      <c r="J76" s="93" t="s">
        <v>462</v>
      </c>
      <c r="K76" s="93" t="s">
        <v>465</v>
      </c>
      <c r="L76" s="93" t="s">
        <v>471</v>
      </c>
      <c r="M76" s="93" t="s">
        <v>477</v>
      </c>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1285</v>
      </c>
      <c r="B77" s="84" t="s">
        <v>1320</v>
      </c>
      <c r="C77" s="86" t="s">
        <v>1321</v>
      </c>
      <c r="D77" s="88" t="s">
        <v>1322</v>
      </c>
      <c r="E77" s="88" t="s">
        <v>1323</v>
      </c>
      <c r="F77" s="89" t="s">
        <v>1089</v>
      </c>
      <c r="G77" s="89" t="s">
        <v>1042</v>
      </c>
      <c r="H77" s="89">
        <v>2</v>
      </c>
      <c r="I77" s="91">
        <f>IF(COUNTIF(J77:AW77,"&lt;&gt;")=0,"",SUMPRODUCT(((Recommendations[ImplStatus]="Implemented")+(Recommendations[ImplStatus]="Compensated"))*ISNUMBER(MATCH(Recommendations[Id],J77:AW77,0)))/COUNTIF(J77:AW77,"&lt;&gt;"))</f>
        <v>0</v>
      </c>
      <c r="J77" s="93" t="s">
        <v>689</v>
      </c>
      <c r="K77" s="93" t="s">
        <v>709</v>
      </c>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1285</v>
      </c>
      <c r="B78" s="84" t="s">
        <v>1324</v>
      </c>
      <c r="C78" s="86" t="s">
        <v>1325</v>
      </c>
      <c r="D78" s="88" t="s">
        <v>1326</v>
      </c>
      <c r="E78" s="88" t="s">
        <v>1327</v>
      </c>
      <c r="F78" s="89" t="s">
        <v>1089</v>
      </c>
      <c r="G78" s="89" t="s">
        <v>1074</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1285</v>
      </c>
      <c r="B79" s="84" t="s">
        <v>1328</v>
      </c>
      <c r="C79" s="86" t="s">
        <v>1329</v>
      </c>
      <c r="D79" s="88" t="s">
        <v>1330</v>
      </c>
      <c r="E79" s="88" t="s">
        <v>1331</v>
      </c>
      <c r="F79" s="89" t="s">
        <v>1089</v>
      </c>
      <c r="G79" s="89" t="s">
        <v>1042</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1285</v>
      </c>
      <c r="B80" s="84" t="s">
        <v>1332</v>
      </c>
      <c r="C80" s="86" t="s">
        <v>1333</v>
      </c>
      <c r="D80" s="88" t="s">
        <v>1334</v>
      </c>
      <c r="E80" s="88" t="s">
        <v>1335</v>
      </c>
      <c r="F80" s="89" t="s">
        <v>1089</v>
      </c>
      <c r="G80" s="89" t="s">
        <v>1042</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1336</v>
      </c>
      <c r="B81" s="83">
        <v>9</v>
      </c>
      <c r="C81" s="85" t="s">
        <v>21</v>
      </c>
      <c r="D81" s="87" t="s">
        <v>1337</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1336</v>
      </c>
      <c r="B82" s="84" t="s">
        <v>1338</v>
      </c>
      <c r="C82" s="86" t="s">
        <v>1339</v>
      </c>
      <c r="D82" s="88" t="s">
        <v>1340</v>
      </c>
      <c r="E82" s="88" t="s">
        <v>1341</v>
      </c>
      <c r="F82" s="89" t="s">
        <v>1057</v>
      </c>
      <c r="G82" s="89" t="s">
        <v>1074</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1336</v>
      </c>
      <c r="B83" s="84" t="s">
        <v>1342</v>
      </c>
      <c r="C83" s="86" t="s">
        <v>1343</v>
      </c>
      <c r="D83" s="88" t="s">
        <v>1344</v>
      </c>
      <c r="E83" s="88" t="s">
        <v>1345</v>
      </c>
      <c r="F83" s="89" t="s">
        <v>1031</v>
      </c>
      <c r="G83" s="89" t="s">
        <v>1074</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1336</v>
      </c>
      <c r="B84" s="84" t="s">
        <v>1346</v>
      </c>
      <c r="C84" s="86" t="s">
        <v>1347</v>
      </c>
      <c r="D84" s="88" t="s">
        <v>1348</v>
      </c>
      <c r="E84" s="88" t="s">
        <v>1349</v>
      </c>
      <c r="F84" s="89" t="s">
        <v>1303</v>
      </c>
      <c r="G84" s="89" t="s">
        <v>1074</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1336</v>
      </c>
      <c r="B85" s="84" t="s">
        <v>1350</v>
      </c>
      <c r="C85" s="86" t="s">
        <v>1351</v>
      </c>
      <c r="D85" s="88" t="s">
        <v>1352</v>
      </c>
      <c r="E85" s="88" t="s">
        <v>1353</v>
      </c>
      <c r="F85" s="89" t="s">
        <v>1057</v>
      </c>
      <c r="G85" s="89" t="s">
        <v>1074</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1336</v>
      </c>
      <c r="B86" s="84" t="s">
        <v>1354</v>
      </c>
      <c r="C86" s="86" t="s">
        <v>1355</v>
      </c>
      <c r="D86" s="88" t="s">
        <v>1356</v>
      </c>
      <c r="E86" s="88" t="s">
        <v>1357</v>
      </c>
      <c r="F86" s="89" t="s">
        <v>1303</v>
      </c>
      <c r="G86" s="89" t="s">
        <v>1074</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1336</v>
      </c>
      <c r="B87" s="84" t="s">
        <v>1358</v>
      </c>
      <c r="C87" s="86" t="s">
        <v>1359</v>
      </c>
      <c r="D87" s="88" t="s">
        <v>1360</v>
      </c>
      <c r="E87" s="88" t="s">
        <v>1361</v>
      </c>
      <c r="F87" s="89" t="s">
        <v>1303</v>
      </c>
      <c r="G87" s="89" t="s">
        <v>1074</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1336</v>
      </c>
      <c r="B88" s="84" t="s">
        <v>1362</v>
      </c>
      <c r="C88" s="86" t="s">
        <v>1363</v>
      </c>
      <c r="D88" s="88" t="s">
        <v>1364</v>
      </c>
      <c r="E88" s="88" t="s">
        <v>1365</v>
      </c>
      <c r="F88" s="89" t="s">
        <v>1303</v>
      </c>
      <c r="G88" s="89" t="s">
        <v>1074</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1366</v>
      </c>
      <c r="B89" s="83">
        <v>10</v>
      </c>
      <c r="C89" s="85" t="s">
        <v>21</v>
      </c>
      <c r="D89" s="87" t="s">
        <v>1367</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1366</v>
      </c>
      <c r="B90" s="84" t="s">
        <v>1368</v>
      </c>
      <c r="C90" s="86" t="s">
        <v>1369</v>
      </c>
      <c r="D90" s="88" t="s">
        <v>1370</v>
      </c>
      <c r="E90" s="88" t="s">
        <v>1371</v>
      </c>
      <c r="F90" s="89" t="s">
        <v>1031</v>
      </c>
      <c r="G90" s="89" t="s">
        <v>1042</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1366</v>
      </c>
      <c r="B91" s="84" t="s">
        <v>1372</v>
      </c>
      <c r="C91" s="86" t="s">
        <v>1373</v>
      </c>
      <c r="D91" s="88" t="s">
        <v>1374</v>
      </c>
      <c r="E91" s="88" t="s">
        <v>1375</v>
      </c>
      <c r="F91" s="89" t="s">
        <v>1031</v>
      </c>
      <c r="G91" s="89" t="s">
        <v>1074</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1366</v>
      </c>
      <c r="B92" s="84" t="s">
        <v>1376</v>
      </c>
      <c r="C92" s="86" t="s">
        <v>1377</v>
      </c>
      <c r="D92" s="88" t="s">
        <v>1378</v>
      </c>
      <c r="E92" s="88" t="s">
        <v>1379</v>
      </c>
      <c r="F92" s="89" t="s">
        <v>1031</v>
      </c>
      <c r="G92" s="89" t="s">
        <v>1074</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1366</v>
      </c>
      <c r="B93" s="84" t="s">
        <v>1380</v>
      </c>
      <c r="C93" s="86" t="s">
        <v>1381</v>
      </c>
      <c r="D93" s="88" t="s">
        <v>1382</v>
      </c>
      <c r="E93" s="88" t="s">
        <v>1383</v>
      </c>
      <c r="F93" s="89" t="s">
        <v>1031</v>
      </c>
      <c r="G93" s="89" t="s">
        <v>1042</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1366</v>
      </c>
      <c r="B94" s="84" t="s">
        <v>1384</v>
      </c>
      <c r="C94" s="86" t="s">
        <v>1385</v>
      </c>
      <c r="D94" s="88" t="s">
        <v>1386</v>
      </c>
      <c r="E94" s="88" t="s">
        <v>1387</v>
      </c>
      <c r="F94" s="89" t="s">
        <v>1031</v>
      </c>
      <c r="G94" s="89" t="s">
        <v>1074</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1366</v>
      </c>
      <c r="B95" s="84" t="s">
        <v>1388</v>
      </c>
      <c r="C95" s="86" t="s">
        <v>1389</v>
      </c>
      <c r="D95" s="88" t="s">
        <v>1390</v>
      </c>
      <c r="E95" s="88" t="s">
        <v>1391</v>
      </c>
      <c r="F95" s="89" t="s">
        <v>1031</v>
      </c>
      <c r="G95" s="89" t="s">
        <v>1074</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1366</v>
      </c>
      <c r="B96" s="84" t="s">
        <v>1392</v>
      </c>
      <c r="C96" s="86" t="s">
        <v>1393</v>
      </c>
      <c r="D96" s="88" t="s">
        <v>1394</v>
      </c>
      <c r="E96" s="88" t="s">
        <v>1395</v>
      </c>
      <c r="F96" s="89" t="s">
        <v>1031</v>
      </c>
      <c r="G96" s="89" t="s">
        <v>1042</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1396</v>
      </c>
      <c r="B97" s="83">
        <v>11</v>
      </c>
      <c r="C97" s="85" t="s">
        <v>21</v>
      </c>
      <c r="D97" s="87" t="s">
        <v>1397</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1396</v>
      </c>
      <c r="B98" s="84" t="s">
        <v>1398</v>
      </c>
      <c r="C98" s="86" t="s">
        <v>1399</v>
      </c>
      <c r="D98" s="88" t="s">
        <v>1400</v>
      </c>
      <c r="E98" s="88" t="s">
        <v>1401</v>
      </c>
      <c r="F98" s="89" t="s">
        <v>1149</v>
      </c>
      <c r="G98" s="89" t="s">
        <v>1090</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1396</v>
      </c>
      <c r="B99" s="84" t="s">
        <v>1402</v>
      </c>
      <c r="C99" s="86" t="s">
        <v>1403</v>
      </c>
      <c r="D99" s="88" t="s">
        <v>1404</v>
      </c>
      <c r="E99" s="88" t="s">
        <v>1405</v>
      </c>
      <c r="F99" s="89" t="s">
        <v>1089</v>
      </c>
      <c r="G99" s="89" t="s">
        <v>1406</v>
      </c>
      <c r="H99" s="89">
        <v>1</v>
      </c>
      <c r="I99" s="91">
        <f>IF(COUNTIF(J99:AW99,"&lt;&gt;")=0,"",SUMPRODUCT(((Recommendations[ImplStatus]="Implemented")+(Recommendations[ImplStatus]="Compensated"))*ISNUMBER(MATCH(Recommendations[Id],J99:AW99,0)))/COUNTIF(J99:AW99,"&lt;&gt;"))</f>
        <v>0</v>
      </c>
      <c r="J99" s="93" t="s">
        <v>507</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1396</v>
      </c>
      <c r="B100" s="84" t="s">
        <v>1407</v>
      </c>
      <c r="C100" s="86" t="s">
        <v>1408</v>
      </c>
      <c r="D100" s="88" t="s">
        <v>1409</v>
      </c>
      <c r="E100" s="88" t="s">
        <v>1410</v>
      </c>
      <c r="F100" s="89" t="s">
        <v>1089</v>
      </c>
      <c r="G100" s="89" t="s">
        <v>1074</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1396</v>
      </c>
      <c r="B101" s="84" t="s">
        <v>1411</v>
      </c>
      <c r="C101" s="86" t="s">
        <v>1412</v>
      </c>
      <c r="D101" s="88" t="s">
        <v>1413</v>
      </c>
      <c r="E101" s="88" t="s">
        <v>1414</v>
      </c>
      <c r="F101" s="89" t="s">
        <v>1089</v>
      </c>
      <c r="G101" s="89" t="s">
        <v>1406</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1396</v>
      </c>
      <c r="B102" s="84" t="s">
        <v>1415</v>
      </c>
      <c r="C102" s="86" t="s">
        <v>1416</v>
      </c>
      <c r="D102" s="88" t="s">
        <v>1417</v>
      </c>
      <c r="E102" s="88" t="s">
        <v>1418</v>
      </c>
      <c r="F102" s="89" t="s">
        <v>1089</v>
      </c>
      <c r="G102" s="89" t="s">
        <v>1406</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1419</v>
      </c>
      <c r="B103" s="83">
        <v>12</v>
      </c>
      <c r="C103" s="85" t="s">
        <v>21</v>
      </c>
      <c r="D103" s="87" t="s">
        <v>1420</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1419</v>
      </c>
      <c r="B104" s="84" t="s">
        <v>1421</v>
      </c>
      <c r="C104" s="86" t="s">
        <v>1422</v>
      </c>
      <c r="D104" s="88" t="s">
        <v>1423</v>
      </c>
      <c r="E104" s="88" t="s">
        <v>1424</v>
      </c>
      <c r="F104" s="89" t="s">
        <v>1303</v>
      </c>
      <c r="G104" s="89" t="s">
        <v>1074</v>
      </c>
      <c r="H104" s="89">
        <v>1</v>
      </c>
      <c r="I104" s="91">
        <f>IF(COUNTIF(J104:AW104,"&lt;&gt;")=0,"",SUMPRODUCT(((Recommendations[ImplStatus]="Implemented")+(Recommendations[ImplStatus]="Compensated"))*ISNUMBER(MATCH(Recommendations[Id],J104:AW104,0)))/COUNTIF(J104:AW104,"&lt;&gt;"))</f>
        <v>0</v>
      </c>
      <c r="J104" s="93" t="s">
        <v>650</v>
      </c>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1419</v>
      </c>
      <c r="B105" s="84" t="s">
        <v>1425</v>
      </c>
      <c r="C105" s="86" t="s">
        <v>1426</v>
      </c>
      <c r="D105" s="88" t="s">
        <v>1427</v>
      </c>
      <c r="E105" s="88" t="s">
        <v>1428</v>
      </c>
      <c r="F105" s="89" t="s">
        <v>1303</v>
      </c>
      <c r="G105" s="89" t="s">
        <v>1074</v>
      </c>
      <c r="H105" s="89">
        <v>2</v>
      </c>
      <c r="I105" s="91">
        <f>IF(COUNTIF(J105:AW105,"&lt;&gt;")=0,"",SUMPRODUCT(((Recommendations[ImplStatus]="Implemented")+(Recommendations[ImplStatus]="Compensated"))*ISNUMBER(MATCH(Recommendations[Id],J105:AW105,0)))/COUNTIF(J105:AW105,"&lt;&gt;"))</f>
        <v>0</v>
      </c>
      <c r="J105" s="93" t="s">
        <v>107</v>
      </c>
      <c r="K105" s="93" t="s">
        <v>502</v>
      </c>
      <c r="L105" s="93" t="s">
        <v>645</v>
      </c>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1419</v>
      </c>
      <c r="B106" s="84" t="s">
        <v>1429</v>
      </c>
      <c r="C106" s="86" t="s">
        <v>1430</v>
      </c>
      <c r="D106" s="88" t="s">
        <v>1431</v>
      </c>
      <c r="E106" s="88" t="s">
        <v>1432</v>
      </c>
      <c r="F106" s="89" t="s">
        <v>1303</v>
      </c>
      <c r="G106" s="89" t="s">
        <v>1074</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1419</v>
      </c>
      <c r="B107" s="84" t="s">
        <v>1433</v>
      </c>
      <c r="C107" s="86" t="s">
        <v>1434</v>
      </c>
      <c r="D107" s="88" t="s">
        <v>1435</v>
      </c>
      <c r="E107" s="88" t="s">
        <v>1436</v>
      </c>
      <c r="F107" s="89" t="s">
        <v>1149</v>
      </c>
      <c r="G107" s="89" t="s">
        <v>1090</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1419</v>
      </c>
      <c r="B108" s="84" t="s">
        <v>1437</v>
      </c>
      <c r="C108" s="86" t="s">
        <v>1438</v>
      </c>
      <c r="D108" s="88" t="s">
        <v>1439</v>
      </c>
      <c r="E108" s="88" t="s">
        <v>1440</v>
      </c>
      <c r="F108" s="89" t="s">
        <v>1303</v>
      </c>
      <c r="G108" s="89" t="s">
        <v>1074</v>
      </c>
      <c r="H108" s="89">
        <v>2</v>
      </c>
      <c r="I108" s="91">
        <f>IF(COUNTIF(J108:AW108,"&lt;&gt;")=0,"",SUMPRODUCT(((Recommendations[ImplStatus]="Implemented")+(Recommendations[ImplStatus]="Compensated"))*ISNUMBER(MATCH(Recommendations[Id],J108:AW108,0)))/COUNTIF(J108:AW108,"&lt;&gt;"))</f>
        <v>0</v>
      </c>
      <c r="J108" s="93" t="s">
        <v>517</v>
      </c>
      <c r="K108" s="93" t="s">
        <v>704</v>
      </c>
      <c r="L108" s="93" t="s">
        <v>714</v>
      </c>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1419</v>
      </c>
      <c r="B109" s="84" t="s">
        <v>1441</v>
      </c>
      <c r="C109" s="86" t="s">
        <v>1442</v>
      </c>
      <c r="D109" s="88" t="s">
        <v>1443</v>
      </c>
      <c r="E109" s="88" t="s">
        <v>1444</v>
      </c>
      <c r="F109" s="89" t="s">
        <v>1303</v>
      </c>
      <c r="G109" s="89" t="s">
        <v>1074</v>
      </c>
      <c r="H109" s="89">
        <v>2</v>
      </c>
      <c r="I109" s="91">
        <f>IF(COUNTIF(J109:AW109,"&lt;&gt;")=0,"",SUMPRODUCT(((Recommendations[ImplStatus]="Implemented")+(Recommendations[ImplStatus]="Compensated"))*ISNUMBER(MATCH(Recommendations[Id],J109:AW109,0)))/COUNTIF(J109:AW109,"&lt;&gt;"))</f>
        <v>0</v>
      </c>
      <c r="J109" s="93" t="s">
        <v>381</v>
      </c>
      <c r="K109" s="93" t="s">
        <v>537</v>
      </c>
      <c r="L109" s="93" t="s">
        <v>600</v>
      </c>
      <c r="M109" s="93" t="s">
        <v>605</v>
      </c>
      <c r="N109" s="93" t="s">
        <v>610</v>
      </c>
      <c r="O109" s="93" t="s">
        <v>615</v>
      </c>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1419</v>
      </c>
      <c r="B110" s="84" t="s">
        <v>1445</v>
      </c>
      <c r="C110" s="86" t="s">
        <v>1446</v>
      </c>
      <c r="D110" s="88" t="s">
        <v>1447</v>
      </c>
      <c r="E110" s="88" t="s">
        <v>1448</v>
      </c>
      <c r="F110" s="89" t="s">
        <v>1031</v>
      </c>
      <c r="G110" s="89" t="s">
        <v>1074</v>
      </c>
      <c r="H110" s="89">
        <v>2</v>
      </c>
      <c r="I110" s="91">
        <f>IF(COUNTIF(J110:AW110,"&lt;&gt;")=0,"",SUMPRODUCT(((Recommendations[ImplStatus]="Implemented")+(Recommendations[ImplStatus]="Compensated"))*ISNUMBER(MATCH(Recommendations[Id],J110:AW110,0)))/COUNTIF(J110:AW110,"&lt;&gt;"))</f>
        <v>0</v>
      </c>
      <c r="J110" s="93" t="s">
        <v>281</v>
      </c>
      <c r="K110" s="93" t="s">
        <v>286</v>
      </c>
      <c r="L110" s="93" t="s">
        <v>296</v>
      </c>
      <c r="M110" s="93" t="s">
        <v>301</v>
      </c>
      <c r="N110" s="93" t="s">
        <v>306</v>
      </c>
      <c r="O110" s="93" t="s">
        <v>311</v>
      </c>
      <c r="P110" s="93" t="s">
        <v>321</v>
      </c>
      <c r="Q110" s="93" t="s">
        <v>330</v>
      </c>
      <c r="R110" s="93" t="s">
        <v>335</v>
      </c>
      <c r="S110" s="93" t="s">
        <v>340</v>
      </c>
      <c r="T110" s="93" t="s">
        <v>348</v>
      </c>
      <c r="U110" s="93" t="s">
        <v>361</v>
      </c>
      <c r="V110" s="93" t="s">
        <v>376</v>
      </c>
      <c r="W110" s="93" t="s">
        <v>386</v>
      </c>
      <c r="X110" s="93" t="s">
        <v>391</v>
      </c>
      <c r="Y110" s="93" t="s">
        <v>406</v>
      </c>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1419</v>
      </c>
      <c r="B111" s="84" t="s">
        <v>1449</v>
      </c>
      <c r="C111" s="86" t="s">
        <v>1450</v>
      </c>
      <c r="D111" s="88" t="s">
        <v>1451</v>
      </c>
      <c r="E111" s="88" t="s">
        <v>1452</v>
      </c>
      <c r="F111" s="89" t="s">
        <v>1031</v>
      </c>
      <c r="G111" s="89" t="s">
        <v>1074</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1453</v>
      </c>
      <c r="B112" s="83">
        <v>13</v>
      </c>
      <c r="C112" s="85" t="s">
        <v>21</v>
      </c>
      <c r="D112" s="87" t="s">
        <v>1454</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1453</v>
      </c>
      <c r="B113" s="84" t="s">
        <v>1455</v>
      </c>
      <c r="C113" s="86" t="s">
        <v>1456</v>
      </c>
      <c r="D113" s="88" t="s">
        <v>1457</v>
      </c>
      <c r="E113" s="88" t="s">
        <v>1458</v>
      </c>
      <c r="F113" s="89" t="s">
        <v>1303</v>
      </c>
      <c r="G113" s="89" t="s">
        <v>1042</v>
      </c>
      <c r="H113" s="89">
        <v>2</v>
      </c>
      <c r="I113" s="91">
        <f>IF(COUNTIF(J113:AW113,"&lt;&gt;")=0,"",SUMPRODUCT(((Recommendations[ImplStatus]="Implemented")+(Recommendations[ImplStatus]="Compensated"))*ISNUMBER(MATCH(Recommendations[Id],J113:AW113,0)))/COUNTIF(J113:AW113,"&lt;&gt;"))</f>
        <v>0</v>
      </c>
      <c r="J113" s="93" t="s">
        <v>132</v>
      </c>
      <c r="K113" s="93" t="s">
        <v>231</v>
      </c>
      <c r="L113" s="93" t="s">
        <v>236</v>
      </c>
      <c r="M113" s="93" t="s">
        <v>241</v>
      </c>
      <c r="N113" s="93" t="s">
        <v>260</v>
      </c>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1453</v>
      </c>
      <c r="B114" s="84" t="s">
        <v>1459</v>
      </c>
      <c r="C114" s="86" t="s">
        <v>1460</v>
      </c>
      <c r="D114" s="88" t="s">
        <v>1461</v>
      </c>
      <c r="E114" s="88" t="s">
        <v>1462</v>
      </c>
      <c r="F114" s="89" t="s">
        <v>1031</v>
      </c>
      <c r="G114" s="89" t="s">
        <v>1042</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1453</v>
      </c>
      <c r="B115" s="84" t="s">
        <v>1463</v>
      </c>
      <c r="C115" s="86" t="s">
        <v>1464</v>
      </c>
      <c r="D115" s="88" t="s">
        <v>1465</v>
      </c>
      <c r="E115" s="88" t="s">
        <v>1466</v>
      </c>
      <c r="F115" s="89" t="s">
        <v>1303</v>
      </c>
      <c r="G115" s="89" t="s">
        <v>1042</v>
      </c>
      <c r="H115" s="89">
        <v>2</v>
      </c>
      <c r="I115" s="91">
        <f>IF(COUNTIF(J115:AW115,"&lt;&gt;")=0,"",SUMPRODUCT(((Recommendations[ImplStatus]="Implemented")+(Recommendations[ImplStatus]="Compensated"))*ISNUMBER(MATCH(Recommendations[Id],J115:AW115,0)))/COUNTIF(J115:AW115,"&lt;&gt;"))</f>
        <v>0</v>
      </c>
      <c r="J115" s="93" t="s">
        <v>112</v>
      </c>
      <c r="K115" s="93" t="s">
        <v>117</v>
      </c>
      <c r="L115" s="93" t="s">
        <v>137</v>
      </c>
      <c r="M115" s="93" t="s">
        <v>143</v>
      </c>
      <c r="N115" s="93" t="s">
        <v>148</v>
      </c>
      <c r="O115" s="93" t="s">
        <v>153</v>
      </c>
      <c r="P115" s="93" t="s">
        <v>173</v>
      </c>
      <c r="Q115" s="93" t="s">
        <v>178</v>
      </c>
      <c r="R115" s="93" t="s">
        <v>183</v>
      </c>
      <c r="S115" s="93" t="s">
        <v>188</v>
      </c>
      <c r="T115" s="93" t="s">
        <v>193</v>
      </c>
      <c r="U115" s="93" t="s">
        <v>197</v>
      </c>
      <c r="V115" s="93" t="s">
        <v>202</v>
      </c>
      <c r="W115" s="93" t="s">
        <v>207</v>
      </c>
      <c r="X115" s="93" t="s">
        <v>212</v>
      </c>
      <c r="Y115" s="93" t="s">
        <v>245</v>
      </c>
      <c r="Z115" s="93" t="s">
        <v>250</v>
      </c>
      <c r="AA115" s="93" t="s">
        <v>255</v>
      </c>
      <c r="AB115" s="93" t="s">
        <v>265</v>
      </c>
      <c r="AC115" s="93" t="s">
        <v>270</v>
      </c>
      <c r="AD115" s="93" t="s">
        <v>291</v>
      </c>
      <c r="AE115" s="93" t="s">
        <v>326</v>
      </c>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1453</v>
      </c>
      <c r="B116" s="84" t="s">
        <v>1467</v>
      </c>
      <c r="C116" s="86" t="s">
        <v>1468</v>
      </c>
      <c r="D116" s="88" t="s">
        <v>1469</v>
      </c>
      <c r="E116" s="88" t="s">
        <v>1470</v>
      </c>
      <c r="F116" s="89" t="s">
        <v>1303</v>
      </c>
      <c r="G116" s="89" t="s">
        <v>1074</v>
      </c>
      <c r="H116" s="89">
        <v>2</v>
      </c>
      <c r="I116" s="91">
        <f>IF(COUNTIF(J116:AW116,"&lt;&gt;")=0,"",SUMPRODUCT(((Recommendations[ImplStatus]="Implemented")+(Recommendations[ImplStatus]="Compensated"))*ISNUMBER(MATCH(Recommendations[Id],J116:AW116,0)))/COUNTIF(J116:AW116,"&lt;&gt;"))</f>
        <v>0</v>
      </c>
      <c r="J116" s="93" t="s">
        <v>92</v>
      </c>
      <c r="K116" s="93" t="s">
        <v>102</v>
      </c>
      <c r="L116" s="93" t="s">
        <v>396</v>
      </c>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1453</v>
      </c>
      <c r="B117" s="84" t="s">
        <v>1471</v>
      </c>
      <c r="C117" s="86" t="s">
        <v>1472</v>
      </c>
      <c r="D117" s="88" t="s">
        <v>1473</v>
      </c>
      <c r="E117" s="88" t="s">
        <v>1474</v>
      </c>
      <c r="F117" s="89" t="s">
        <v>1031</v>
      </c>
      <c r="G117" s="89" t="s">
        <v>1074</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1453</v>
      </c>
      <c r="B118" s="84" t="s">
        <v>1475</v>
      </c>
      <c r="C118" s="86" t="s">
        <v>1476</v>
      </c>
      <c r="D118" s="88" t="s">
        <v>1477</v>
      </c>
      <c r="E118" s="88" t="s">
        <v>1478</v>
      </c>
      <c r="F118" s="89" t="s">
        <v>1303</v>
      </c>
      <c r="G118" s="89" t="s">
        <v>1042</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1453</v>
      </c>
      <c r="B119" s="84" t="s">
        <v>1479</v>
      </c>
      <c r="C119" s="86" t="s">
        <v>1480</v>
      </c>
      <c r="D119" s="88" t="s">
        <v>1481</v>
      </c>
      <c r="E119" s="88" t="s">
        <v>1482</v>
      </c>
      <c r="F119" s="89" t="s">
        <v>1031</v>
      </c>
      <c r="G119" s="89" t="s">
        <v>1074</v>
      </c>
      <c r="H119" s="89">
        <v>3</v>
      </c>
      <c r="I119" s="91">
        <f>IF(COUNTIF(J119:AW119,"&lt;&gt;")=0,"",SUMPRODUCT(((Recommendations[ImplStatus]="Implemented")+(Recommendations[ImplStatus]="Compensated"))*ISNUMBER(MATCH(Recommendations[Id],J119:AW119,0)))/COUNTIF(J119:AW119,"&lt;&gt;"))</f>
        <v>0</v>
      </c>
      <c r="J119" s="93" t="s">
        <v>143</v>
      </c>
      <c r="K119" s="93" t="s">
        <v>148</v>
      </c>
      <c r="L119" s="93" t="s">
        <v>173</v>
      </c>
      <c r="M119" s="93" t="s">
        <v>178</v>
      </c>
      <c r="N119" s="93" t="s">
        <v>183</v>
      </c>
      <c r="O119" s="93" t="s">
        <v>188</v>
      </c>
      <c r="P119" s="93" t="s">
        <v>193</v>
      </c>
      <c r="Q119" s="93" t="s">
        <v>197</v>
      </c>
      <c r="R119" s="93" t="s">
        <v>202</v>
      </c>
      <c r="S119" s="93" t="s">
        <v>207</v>
      </c>
      <c r="T119" s="93" t="s">
        <v>212</v>
      </c>
      <c r="U119" s="93" t="s">
        <v>245</v>
      </c>
      <c r="V119" s="93" t="s">
        <v>250</v>
      </c>
      <c r="W119" s="93" t="s">
        <v>255</v>
      </c>
      <c r="X119" s="93" t="s">
        <v>265</v>
      </c>
      <c r="Y119" s="93" t="s">
        <v>270</v>
      </c>
      <c r="Z119" s="93" t="s">
        <v>291</v>
      </c>
      <c r="AA119" s="93" t="s">
        <v>326</v>
      </c>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1453</v>
      </c>
      <c r="B120" s="84" t="s">
        <v>1483</v>
      </c>
      <c r="C120" s="86" t="s">
        <v>1484</v>
      </c>
      <c r="D120" s="88" t="s">
        <v>1485</v>
      </c>
      <c r="E120" s="88" t="s">
        <v>1486</v>
      </c>
      <c r="F120" s="89" t="s">
        <v>1303</v>
      </c>
      <c r="G120" s="89" t="s">
        <v>1074</v>
      </c>
      <c r="H120" s="89">
        <v>3</v>
      </c>
      <c r="I120" s="91">
        <f>IF(COUNTIF(J120:AW120,"&lt;&gt;")=0,"",SUMPRODUCT(((Recommendations[ImplStatus]="Implemented")+(Recommendations[ImplStatus]="Compensated"))*ISNUMBER(MATCH(Recommendations[Id],J120:AW120,0)))/COUNTIF(J120:AW120,"&lt;&gt;"))</f>
        <v>0</v>
      </c>
      <c r="J120" s="93" t="s">
        <v>72</v>
      </c>
      <c r="K120" s="93" t="s">
        <v>78</v>
      </c>
      <c r="L120" s="93" t="s">
        <v>83</v>
      </c>
      <c r="M120" s="93" t="s">
        <v>87</v>
      </c>
      <c r="N120" s="93" t="s">
        <v>112</v>
      </c>
      <c r="O120" s="93" t="s">
        <v>117</v>
      </c>
      <c r="P120" s="93" t="s">
        <v>158</v>
      </c>
      <c r="Q120" s="93" t="s">
        <v>163</v>
      </c>
      <c r="R120" s="93" t="s">
        <v>168</v>
      </c>
      <c r="S120" s="93" t="s">
        <v>217</v>
      </c>
      <c r="T120" s="93" t="s">
        <v>222</v>
      </c>
      <c r="U120" s="93" t="s">
        <v>226</v>
      </c>
      <c r="V120" s="93" t="s">
        <v>635</v>
      </c>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1453</v>
      </c>
      <c r="B121" s="84" t="s">
        <v>1487</v>
      </c>
      <c r="C121" s="86" t="s">
        <v>1488</v>
      </c>
      <c r="D121" s="88" t="s">
        <v>1489</v>
      </c>
      <c r="E121" s="88" t="s">
        <v>1490</v>
      </c>
      <c r="F121" s="89" t="s">
        <v>1303</v>
      </c>
      <c r="G121" s="89" t="s">
        <v>1074</v>
      </c>
      <c r="H121" s="89">
        <v>3</v>
      </c>
      <c r="I121" s="91">
        <f>IF(COUNTIF(J121:AW121,"&lt;&gt;")=0,"",SUMPRODUCT(((Recommendations[ImplStatus]="Implemented")+(Recommendations[ImplStatus]="Compensated"))*ISNUMBER(MATCH(Recommendations[Id],J121:AW121,0)))/COUNTIF(J121:AW121,"&lt;&gt;"))</f>
        <v>0</v>
      </c>
      <c r="J121" s="93" t="s">
        <v>356</v>
      </c>
      <c r="K121" s="93" t="s">
        <v>366</v>
      </c>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1453</v>
      </c>
      <c r="B122" s="84" t="s">
        <v>1491</v>
      </c>
      <c r="C122" s="86" t="s">
        <v>1492</v>
      </c>
      <c r="D122" s="88" t="s">
        <v>1493</v>
      </c>
      <c r="E122" s="88" t="s">
        <v>1494</v>
      </c>
      <c r="F122" s="89" t="s">
        <v>1303</v>
      </c>
      <c r="G122" s="89" t="s">
        <v>1074</v>
      </c>
      <c r="H122" s="89">
        <v>3</v>
      </c>
      <c r="I122" s="91">
        <f>IF(COUNTIF(J122:AW122,"&lt;&gt;")=0,"",SUMPRODUCT(((Recommendations[ImplStatus]="Implemented")+(Recommendations[ImplStatus]="Compensated"))*ISNUMBER(MATCH(Recommendations[Id],J122:AW122,0)))/COUNTIF(J122:AW122,"&lt;&gt;"))</f>
        <v>0</v>
      </c>
      <c r="J122" s="93" t="s">
        <v>92</v>
      </c>
      <c r="K122" s="93" t="s">
        <v>102</v>
      </c>
      <c r="L122" s="93" t="s">
        <v>396</v>
      </c>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1453</v>
      </c>
      <c r="B123" s="84" t="s">
        <v>1495</v>
      </c>
      <c r="C123" s="86" t="s">
        <v>1496</v>
      </c>
      <c r="D123" s="88" t="s">
        <v>1497</v>
      </c>
      <c r="E123" s="88" t="s">
        <v>1498</v>
      </c>
      <c r="F123" s="89" t="s">
        <v>1303</v>
      </c>
      <c r="G123" s="89" t="s">
        <v>1042</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1499</v>
      </c>
      <c r="B124" s="83">
        <v>14</v>
      </c>
      <c r="C124" s="85" t="s">
        <v>21</v>
      </c>
      <c r="D124" s="87" t="s">
        <v>1500</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1499</v>
      </c>
      <c r="B125" s="84" t="s">
        <v>1501</v>
      </c>
      <c r="C125" s="86" t="s">
        <v>1502</v>
      </c>
      <c r="D125" s="88" t="s">
        <v>1503</v>
      </c>
      <c r="E125" s="88" t="s">
        <v>1504</v>
      </c>
      <c r="F125" s="89" t="s">
        <v>1149</v>
      </c>
      <c r="G125" s="89" t="s">
        <v>1090</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1499</v>
      </c>
      <c r="B126" s="84" t="s">
        <v>1505</v>
      </c>
      <c r="C126" s="86" t="s">
        <v>1506</v>
      </c>
      <c r="D126" s="88" t="s">
        <v>1507</v>
      </c>
      <c r="E126" s="88" t="s">
        <v>1508</v>
      </c>
      <c r="F126" s="89" t="s">
        <v>1174</v>
      </c>
      <c r="G126" s="89" t="s">
        <v>1074</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1499</v>
      </c>
      <c r="B127" s="84" t="s">
        <v>1509</v>
      </c>
      <c r="C127" s="86" t="s">
        <v>1510</v>
      </c>
      <c r="D127" s="88" t="s">
        <v>1511</v>
      </c>
      <c r="E127" s="88" t="s">
        <v>1512</v>
      </c>
      <c r="F127" s="89" t="s">
        <v>1174</v>
      </c>
      <c r="G127" s="89" t="s">
        <v>1074</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1499</v>
      </c>
      <c r="B128" s="84" t="s">
        <v>1513</v>
      </c>
      <c r="C128" s="86" t="s">
        <v>1514</v>
      </c>
      <c r="D128" s="88" t="s">
        <v>1515</v>
      </c>
      <c r="E128" s="88" t="s">
        <v>1516</v>
      </c>
      <c r="F128" s="89" t="s">
        <v>1174</v>
      </c>
      <c r="G128" s="89" t="s">
        <v>1074</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1499</v>
      </c>
      <c r="B129" s="84" t="s">
        <v>1517</v>
      </c>
      <c r="C129" s="86" t="s">
        <v>1518</v>
      </c>
      <c r="D129" s="88" t="s">
        <v>1519</v>
      </c>
      <c r="E129" s="88" t="s">
        <v>1520</v>
      </c>
      <c r="F129" s="89" t="s">
        <v>1174</v>
      </c>
      <c r="G129" s="89" t="s">
        <v>1074</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1499</v>
      </c>
      <c r="B130" s="84" t="s">
        <v>1521</v>
      </c>
      <c r="C130" s="86" t="s">
        <v>1522</v>
      </c>
      <c r="D130" s="88" t="s">
        <v>1523</v>
      </c>
      <c r="E130" s="88" t="s">
        <v>1524</v>
      </c>
      <c r="F130" s="89" t="s">
        <v>1174</v>
      </c>
      <c r="G130" s="89" t="s">
        <v>1074</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1499</v>
      </c>
      <c r="B131" s="84" t="s">
        <v>1525</v>
      </c>
      <c r="C131" s="86" t="s">
        <v>1526</v>
      </c>
      <c r="D131" s="88" t="s">
        <v>1527</v>
      </c>
      <c r="E131" s="88" t="s">
        <v>1528</v>
      </c>
      <c r="F131" s="89" t="s">
        <v>1174</v>
      </c>
      <c r="G131" s="89" t="s">
        <v>1074</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1499</v>
      </c>
      <c r="B132" s="84" t="s">
        <v>1529</v>
      </c>
      <c r="C132" s="86" t="s">
        <v>1530</v>
      </c>
      <c r="D132" s="88" t="s">
        <v>1531</v>
      </c>
      <c r="E132" s="88" t="s">
        <v>1532</v>
      </c>
      <c r="F132" s="89" t="s">
        <v>1174</v>
      </c>
      <c r="G132" s="89" t="s">
        <v>1074</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1499</v>
      </c>
      <c r="B133" s="84" t="s">
        <v>1533</v>
      </c>
      <c r="C133" s="86" t="s">
        <v>1534</v>
      </c>
      <c r="D133" s="88" t="s">
        <v>1535</v>
      </c>
      <c r="E133" s="88" t="s">
        <v>1536</v>
      </c>
      <c r="F133" s="89" t="s">
        <v>1174</v>
      </c>
      <c r="G133" s="89" t="s">
        <v>1074</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1537</v>
      </c>
      <c r="B134" s="83">
        <v>15</v>
      </c>
      <c r="C134" s="85" t="s">
        <v>21</v>
      </c>
      <c r="D134" s="87" t="s">
        <v>1538</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1537</v>
      </c>
      <c r="B135" s="84" t="s">
        <v>1539</v>
      </c>
      <c r="C135" s="86" t="s">
        <v>1540</v>
      </c>
      <c r="D135" s="88" t="s">
        <v>1541</v>
      </c>
      <c r="E135" s="88" t="s">
        <v>1542</v>
      </c>
      <c r="F135" s="89" t="s">
        <v>1174</v>
      </c>
      <c r="G135" s="89" t="s">
        <v>1032</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1537</v>
      </c>
      <c r="B136" s="84" t="s">
        <v>1543</v>
      </c>
      <c r="C136" s="86" t="s">
        <v>1544</v>
      </c>
      <c r="D136" s="88" t="s">
        <v>1545</v>
      </c>
      <c r="E136" s="88" t="s">
        <v>1546</v>
      </c>
      <c r="F136" s="89" t="s">
        <v>1149</v>
      </c>
      <c r="G136" s="89" t="s">
        <v>1090</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1537</v>
      </c>
      <c r="B137" s="84" t="s">
        <v>1547</v>
      </c>
      <c r="C137" s="86" t="s">
        <v>1548</v>
      </c>
      <c r="D137" s="88" t="s">
        <v>1549</v>
      </c>
      <c r="E137" s="88" t="s">
        <v>1550</v>
      </c>
      <c r="F137" s="89" t="s">
        <v>1174</v>
      </c>
      <c r="G137" s="89" t="s">
        <v>1090</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1537</v>
      </c>
      <c r="B138" s="84" t="s">
        <v>1551</v>
      </c>
      <c r="C138" s="86" t="s">
        <v>1552</v>
      </c>
      <c r="D138" s="88" t="s">
        <v>1553</v>
      </c>
      <c r="E138" s="88" t="s">
        <v>1554</v>
      </c>
      <c r="F138" s="89" t="s">
        <v>1149</v>
      </c>
      <c r="G138" s="89" t="s">
        <v>1090</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1537</v>
      </c>
      <c r="B139" s="84" t="s">
        <v>1555</v>
      </c>
      <c r="C139" s="86" t="s">
        <v>1556</v>
      </c>
      <c r="D139" s="88" t="s">
        <v>1557</v>
      </c>
      <c r="E139" s="88" t="s">
        <v>1558</v>
      </c>
      <c r="F139" s="89" t="s">
        <v>1174</v>
      </c>
      <c r="G139" s="89" t="s">
        <v>1090</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1537</v>
      </c>
      <c r="B140" s="84" t="s">
        <v>1559</v>
      </c>
      <c r="C140" s="86" t="s">
        <v>1560</v>
      </c>
      <c r="D140" s="88" t="s">
        <v>1561</v>
      </c>
      <c r="E140" s="88" t="s">
        <v>1562</v>
      </c>
      <c r="F140" s="89" t="s">
        <v>1089</v>
      </c>
      <c r="G140" s="89" t="s">
        <v>1090</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1537</v>
      </c>
      <c r="B141" s="84" t="s">
        <v>1563</v>
      </c>
      <c r="C141" s="86" t="s">
        <v>1564</v>
      </c>
      <c r="D141" s="88" t="s">
        <v>1565</v>
      </c>
      <c r="E141" s="88" t="s">
        <v>1566</v>
      </c>
      <c r="F141" s="89" t="s">
        <v>1089</v>
      </c>
      <c r="G141" s="89" t="s">
        <v>1074</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1567</v>
      </c>
      <c r="B142" s="83">
        <v>16</v>
      </c>
      <c r="C142" s="85" t="s">
        <v>21</v>
      </c>
      <c r="D142" s="87" t="s">
        <v>1568</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1567</v>
      </c>
      <c r="B143" s="84" t="s">
        <v>1569</v>
      </c>
      <c r="C143" s="86" t="s">
        <v>1570</v>
      </c>
      <c r="D143" s="88" t="s">
        <v>1571</v>
      </c>
      <c r="E143" s="88" t="s">
        <v>1572</v>
      </c>
      <c r="F143" s="89" t="s">
        <v>1149</v>
      </c>
      <c r="G143" s="89" t="s">
        <v>1090</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1567</v>
      </c>
      <c r="B144" s="84" t="s">
        <v>1573</v>
      </c>
      <c r="C144" s="86" t="s">
        <v>1574</v>
      </c>
      <c r="D144" s="88" t="s">
        <v>1575</v>
      </c>
      <c r="E144" s="88" t="s">
        <v>1576</v>
      </c>
      <c r="F144" s="89" t="s">
        <v>1149</v>
      </c>
      <c r="G144" s="89" t="s">
        <v>1090</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1567</v>
      </c>
      <c r="B145" s="84" t="s">
        <v>1577</v>
      </c>
      <c r="C145" s="86" t="s">
        <v>1578</v>
      </c>
      <c r="D145" s="88" t="s">
        <v>1579</v>
      </c>
      <c r="E145" s="88" t="s">
        <v>1580</v>
      </c>
      <c r="F145" s="89" t="s">
        <v>1057</v>
      </c>
      <c r="G145" s="89" t="s">
        <v>1042</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1567</v>
      </c>
      <c r="B146" s="84" t="s">
        <v>1581</v>
      </c>
      <c r="C146" s="86" t="s">
        <v>1582</v>
      </c>
      <c r="D146" s="88" t="s">
        <v>1583</v>
      </c>
      <c r="E146" s="88" t="s">
        <v>1584</v>
      </c>
      <c r="F146" s="89" t="s">
        <v>1057</v>
      </c>
      <c r="G146" s="89" t="s">
        <v>1032</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1567</v>
      </c>
      <c r="B147" s="84" t="s">
        <v>1585</v>
      </c>
      <c r="C147" s="86" t="s">
        <v>1586</v>
      </c>
      <c r="D147" s="88" t="s">
        <v>1587</v>
      </c>
      <c r="E147" s="88" t="s">
        <v>1588</v>
      </c>
      <c r="F147" s="89" t="s">
        <v>1057</v>
      </c>
      <c r="G147" s="89" t="s">
        <v>1074</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1567</v>
      </c>
      <c r="B148" s="84" t="s">
        <v>1589</v>
      </c>
      <c r="C148" s="86" t="s">
        <v>1590</v>
      </c>
      <c r="D148" s="88" t="s">
        <v>1591</v>
      </c>
      <c r="E148" s="88" t="s">
        <v>1592</v>
      </c>
      <c r="F148" s="89" t="s">
        <v>1149</v>
      </c>
      <c r="G148" s="89" t="s">
        <v>1090</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1567</v>
      </c>
      <c r="B149" s="84" t="s">
        <v>1593</v>
      </c>
      <c r="C149" s="86" t="s">
        <v>1594</v>
      </c>
      <c r="D149" s="88" t="s">
        <v>1595</v>
      </c>
      <c r="E149" s="88" t="s">
        <v>1596</v>
      </c>
      <c r="F149" s="89" t="s">
        <v>1057</v>
      </c>
      <c r="G149" s="89" t="s">
        <v>1074</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1567</v>
      </c>
      <c r="B150" s="84" t="s">
        <v>1597</v>
      </c>
      <c r="C150" s="86" t="s">
        <v>1598</v>
      </c>
      <c r="D150" s="88" t="s">
        <v>1599</v>
      </c>
      <c r="E150" s="88" t="s">
        <v>1600</v>
      </c>
      <c r="F150" s="89" t="s">
        <v>1303</v>
      </c>
      <c r="G150" s="89" t="s">
        <v>1074</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1567</v>
      </c>
      <c r="B151" s="84" t="s">
        <v>1601</v>
      </c>
      <c r="C151" s="86" t="s">
        <v>1602</v>
      </c>
      <c r="D151" s="88" t="s">
        <v>1603</v>
      </c>
      <c r="E151" s="88" t="s">
        <v>1604</v>
      </c>
      <c r="F151" s="89" t="s">
        <v>1174</v>
      </c>
      <c r="G151" s="89" t="s">
        <v>1074</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1567</v>
      </c>
      <c r="B152" s="84" t="s">
        <v>1605</v>
      </c>
      <c r="C152" s="86" t="s">
        <v>1606</v>
      </c>
      <c r="D152" s="88" t="s">
        <v>1607</v>
      </c>
      <c r="E152" s="88" t="s">
        <v>1608</v>
      </c>
      <c r="F152" s="89" t="s">
        <v>1057</v>
      </c>
      <c r="G152" s="89" t="s">
        <v>1074</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1567</v>
      </c>
      <c r="B153" s="84" t="s">
        <v>1609</v>
      </c>
      <c r="C153" s="86" t="s">
        <v>1610</v>
      </c>
      <c r="D153" s="88" t="s">
        <v>1611</v>
      </c>
      <c r="E153" s="88" t="s">
        <v>1612</v>
      </c>
      <c r="F153" s="89" t="s">
        <v>1057</v>
      </c>
      <c r="G153" s="89" t="s">
        <v>1074</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1567</v>
      </c>
      <c r="B154" s="84" t="s">
        <v>1613</v>
      </c>
      <c r="C154" s="86" t="s">
        <v>1614</v>
      </c>
      <c r="D154" s="88" t="s">
        <v>1615</v>
      </c>
      <c r="E154" s="88" t="s">
        <v>1616</v>
      </c>
      <c r="F154" s="89" t="s">
        <v>1057</v>
      </c>
      <c r="G154" s="89" t="s">
        <v>1074</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1567</v>
      </c>
      <c r="B155" s="84" t="s">
        <v>1617</v>
      </c>
      <c r="C155" s="86" t="s">
        <v>1618</v>
      </c>
      <c r="D155" s="88" t="s">
        <v>1619</v>
      </c>
      <c r="E155" s="88" t="s">
        <v>1620</v>
      </c>
      <c r="F155" s="89" t="s">
        <v>1057</v>
      </c>
      <c r="G155" s="89" t="s">
        <v>1042</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1567</v>
      </c>
      <c r="B156" s="84" t="s">
        <v>1621</v>
      </c>
      <c r="C156" s="86" t="s">
        <v>1622</v>
      </c>
      <c r="D156" s="88" t="s">
        <v>1623</v>
      </c>
      <c r="E156" s="88" t="s">
        <v>1624</v>
      </c>
      <c r="F156" s="89" t="s">
        <v>1057</v>
      </c>
      <c r="G156" s="89" t="s">
        <v>1074</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1625</v>
      </c>
      <c r="B157" s="83">
        <v>17</v>
      </c>
      <c r="C157" s="85" t="s">
        <v>21</v>
      </c>
      <c r="D157" s="87" t="s">
        <v>1626</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1625</v>
      </c>
      <c r="B158" s="84" t="s">
        <v>1627</v>
      </c>
      <c r="C158" s="86" t="s">
        <v>1628</v>
      </c>
      <c r="D158" s="88" t="s">
        <v>1629</v>
      </c>
      <c r="E158" s="88" t="s">
        <v>1630</v>
      </c>
      <c r="F158" s="89" t="s">
        <v>1174</v>
      </c>
      <c r="G158" s="89" t="s">
        <v>1037</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1625</v>
      </c>
      <c r="B159" s="84" t="s">
        <v>1631</v>
      </c>
      <c r="C159" s="86" t="s">
        <v>1632</v>
      </c>
      <c r="D159" s="88" t="s">
        <v>1633</v>
      </c>
      <c r="E159" s="88" t="s">
        <v>1634</v>
      </c>
      <c r="F159" s="89" t="s">
        <v>1149</v>
      </c>
      <c r="G159" s="89" t="s">
        <v>1090</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1625</v>
      </c>
      <c r="B160" s="84" t="s">
        <v>1635</v>
      </c>
      <c r="C160" s="86" t="s">
        <v>1636</v>
      </c>
      <c r="D160" s="88" t="s">
        <v>1637</v>
      </c>
      <c r="E160" s="88" t="s">
        <v>1638</v>
      </c>
      <c r="F160" s="89" t="s">
        <v>1149</v>
      </c>
      <c r="G160" s="89" t="s">
        <v>1090</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1625</v>
      </c>
      <c r="B161" s="84" t="s">
        <v>1639</v>
      </c>
      <c r="C161" s="86" t="s">
        <v>1640</v>
      </c>
      <c r="D161" s="88" t="s">
        <v>1641</v>
      </c>
      <c r="E161" s="88" t="s">
        <v>1642</v>
      </c>
      <c r="F161" s="89" t="s">
        <v>1149</v>
      </c>
      <c r="G161" s="89" t="s">
        <v>1090</v>
      </c>
      <c r="H161" s="89">
        <v>2</v>
      </c>
      <c r="I161" s="91">
        <f>IF(COUNTIF(J161:AW161,"&lt;&gt;")=0,"",SUMPRODUCT(((Recommendations[ImplStatus]="Implemented")+(Recommendations[ImplStatus]="Compensated"))*ISNUMBER(MATCH(Recommendations[Id],J161:AW161,0)))/COUNTIF(J161:AW161,"&lt;&gt;"))</f>
        <v>0</v>
      </c>
      <c r="J161" s="93" t="s">
        <v>122</v>
      </c>
      <c r="K161" s="93" t="s">
        <v>127</v>
      </c>
      <c r="L161" s="93" t="s">
        <v>132</v>
      </c>
      <c r="M161" s="93" t="s">
        <v>231</v>
      </c>
      <c r="N161" s="93" t="s">
        <v>236</v>
      </c>
      <c r="O161" s="93" t="s">
        <v>241</v>
      </c>
      <c r="P161" s="93" t="s">
        <v>260</v>
      </c>
      <c r="Q161" s="93" t="s">
        <v>487</v>
      </c>
      <c r="R161" s="93" t="s">
        <v>665</v>
      </c>
      <c r="S161" s="93" t="s">
        <v>670</v>
      </c>
      <c r="T161" s="93" t="s">
        <v>674</v>
      </c>
      <c r="U161" s="93" t="s">
        <v>684</v>
      </c>
      <c r="V161" s="93" t="s">
        <v>719</v>
      </c>
      <c r="W161" s="93" t="s">
        <v>724</v>
      </c>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1625</v>
      </c>
      <c r="B162" s="84" t="s">
        <v>1643</v>
      </c>
      <c r="C162" s="86" t="s">
        <v>1644</v>
      </c>
      <c r="D162" s="88" t="s">
        <v>1645</v>
      </c>
      <c r="E162" s="88" t="s">
        <v>1646</v>
      </c>
      <c r="F162" s="89" t="s">
        <v>1174</v>
      </c>
      <c r="G162" s="89" t="s">
        <v>1037</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1625</v>
      </c>
      <c r="B163" s="84" t="s">
        <v>1647</v>
      </c>
      <c r="C163" s="86" t="s">
        <v>1648</v>
      </c>
      <c r="D163" s="88" t="s">
        <v>1649</v>
      </c>
      <c r="E163" s="88" t="s">
        <v>1650</v>
      </c>
      <c r="F163" s="89" t="s">
        <v>1174</v>
      </c>
      <c r="G163" s="89" t="s">
        <v>1037</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1625</v>
      </c>
      <c r="B164" s="84" t="s">
        <v>1651</v>
      </c>
      <c r="C164" s="86" t="s">
        <v>1652</v>
      </c>
      <c r="D164" s="88" t="s">
        <v>1653</v>
      </c>
      <c r="E164" s="88" t="s">
        <v>1654</v>
      </c>
      <c r="F164" s="89" t="s">
        <v>1174</v>
      </c>
      <c r="G164" s="89" t="s">
        <v>1406</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1625</v>
      </c>
      <c r="B165" s="84" t="s">
        <v>1655</v>
      </c>
      <c r="C165" s="86" t="s">
        <v>1656</v>
      </c>
      <c r="D165" s="88" t="s">
        <v>1657</v>
      </c>
      <c r="E165" s="88" t="s">
        <v>1658</v>
      </c>
      <c r="F165" s="89" t="s">
        <v>1174</v>
      </c>
      <c r="G165" s="89" t="s">
        <v>1406</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1625</v>
      </c>
      <c r="B166" s="84" t="s">
        <v>1659</v>
      </c>
      <c r="C166" s="86" t="s">
        <v>1660</v>
      </c>
      <c r="D166" s="88" t="s">
        <v>1661</v>
      </c>
      <c r="E166" s="88" t="s">
        <v>1662</v>
      </c>
      <c r="F166" s="89" t="s">
        <v>1149</v>
      </c>
      <c r="G166" s="89" t="s">
        <v>1406</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1663</v>
      </c>
      <c r="B167" s="83">
        <v>18</v>
      </c>
      <c r="C167" s="85" t="s">
        <v>21</v>
      </c>
      <c r="D167" s="87" t="s">
        <v>1664</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1663</v>
      </c>
      <c r="B168" s="84" t="s">
        <v>1665</v>
      </c>
      <c r="C168" s="86" t="s">
        <v>1666</v>
      </c>
      <c r="D168" s="88" t="s">
        <v>1667</v>
      </c>
      <c r="E168" s="88" t="s">
        <v>1668</v>
      </c>
      <c r="F168" s="89" t="s">
        <v>1149</v>
      </c>
      <c r="G168" s="89" t="s">
        <v>1090</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1663</v>
      </c>
      <c r="B169" s="84" t="s">
        <v>1669</v>
      </c>
      <c r="C169" s="86" t="s">
        <v>1670</v>
      </c>
      <c r="D169" s="88" t="s">
        <v>1671</v>
      </c>
      <c r="E169" s="88" t="s">
        <v>1672</v>
      </c>
      <c r="F169" s="89" t="s">
        <v>1303</v>
      </c>
      <c r="G169" s="89" t="s">
        <v>1042</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1663</v>
      </c>
      <c r="B170" s="84" t="s">
        <v>1673</v>
      </c>
      <c r="C170" s="86" t="s">
        <v>1674</v>
      </c>
      <c r="D170" s="88" t="s">
        <v>1675</v>
      </c>
      <c r="E170" s="88" t="s">
        <v>1676</v>
      </c>
      <c r="F170" s="89" t="s">
        <v>1303</v>
      </c>
      <c r="G170" s="89" t="s">
        <v>1074</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1663</v>
      </c>
      <c r="B171" s="84" t="s">
        <v>1677</v>
      </c>
      <c r="C171" s="86" t="s">
        <v>1678</v>
      </c>
      <c r="D171" s="88" t="s">
        <v>1679</v>
      </c>
      <c r="E171" s="88" t="s">
        <v>1680</v>
      </c>
      <c r="F171" s="89" t="s">
        <v>1303</v>
      </c>
      <c r="G171" s="89" t="s">
        <v>1074</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1663</v>
      </c>
      <c r="B172" s="94" t="s">
        <v>1681</v>
      </c>
      <c r="C172" s="95" t="s">
        <v>1682</v>
      </c>
      <c r="D172" s="96" t="s">
        <v>1683</v>
      </c>
      <c r="E172" s="96" t="s">
        <v>1684</v>
      </c>
      <c r="F172" s="97" t="s">
        <v>1303</v>
      </c>
      <c r="G172" s="97" t="s">
        <v>1042</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733</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IFERROR(INDEX('Recommendations'!$H$2:$H$149, MATCH(J2,'Recommendations'!$A$2:$A$149,0))="Implemented", FALSE))</xm:f>
            <x14:dxf>
              <font>
                <color rgb="FF000000"/>
              </font>
              <fill>
                <patternFill>
                  <bgColor rgb="FF3C7D22"/>
                </patternFill>
              </fill>
            </x14:dxf>
          </x14:cfRule>
          <x14:cfRule type="expression" priority="2" id="{00000000-000E-0000-0400-000002000000}">
            <xm:f>AND(J2&lt;&gt;"", IFERROR(INDEX('Recommendations'!$H$2:$H$149, MATCH(J2,'Recommendations'!$A$2:$A$149,0))="Compensated", FALSE))</xm:f>
            <x14:dxf>
              <font>
                <color rgb="FF000000"/>
              </font>
              <fill>
                <patternFill>
                  <bgColor rgb="FFC6E0B4"/>
                </patternFill>
              </fill>
            </x14:dxf>
          </x14:cfRule>
          <x14:cfRule type="expression" priority="3" id="{00000000-000E-0000-0400-000003000000}">
            <xm:f>AND(J2&lt;&gt;"", IFERROR(INDEX('Recommendations'!$H$2:$H$149, MATCH(J2,'Recommendations'!$A$2:$A$149,0))="Testing", FALSE))</xm:f>
            <x14:dxf>
              <font>
                <color rgb="FF000000"/>
              </font>
              <fill>
                <patternFill>
                  <bgColor rgb="FFFFC000"/>
                </patternFill>
              </fill>
            </x14:dxf>
          </x14:cfRule>
          <x14:cfRule type="expression" priority="4" id="{00000000-000E-0000-0400-000004000000}">
            <xm:f>AND(J2&lt;&gt;"", IFERROR(INDEX('Recommendations'!$H$2:$H$149, MATCH(J2,'Recommendations'!$A$2:$A$149,0))="Failed", FALSE))</xm:f>
            <x14:dxf>
              <font>
                <color rgb="FF000000"/>
              </font>
              <fill>
                <patternFill>
                  <bgColor rgb="FFD82891"/>
                </patternFill>
              </fill>
            </x14:dxf>
          </x14:cfRule>
          <x14:cfRule type="expression" priority="5" id="{00000000-000E-0000-0400-000005000000}">
            <xm:f>AND(J2&lt;&gt;"", IFERROR(INDEX('Recommendations'!$H$2:$H$149, MATCH(J2,'Recommendations'!$A$2:$A$149,0))="Risk Accepted", FALSE))</xm:f>
            <x14:dxf>
              <font>
                <color rgb="FF000000"/>
              </font>
              <fill>
                <patternFill>
                  <bgColor rgb="FFD9D9D9"/>
                </patternFill>
              </fill>
            </x14:dxf>
          </x14:cfRule>
          <x14:cfRule type="expression" priority="6" id="{00000000-000E-0000-0400-000006000000}">
            <xm:f>AND(J2&lt;&gt;"", IFERROR(INDEX('Recommendations'!$H$2:$H$149, MATCH(J2,'Recommendations'!$A$2:$A$149,0))="N/A",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1685</v>
      </c>
      <c r="C1" s="124" t="s">
        <v>10</v>
      </c>
      <c r="D1" s="124" t="s">
        <v>890</v>
      </c>
      <c r="E1" s="124" t="s">
        <v>1686</v>
      </c>
      <c r="F1" s="124" t="s">
        <v>1687</v>
      </c>
      <c r="G1" s="124" t="s">
        <v>984</v>
      </c>
      <c r="H1" s="124" t="s">
        <v>985</v>
      </c>
      <c r="I1" s="124" t="s">
        <v>986</v>
      </c>
      <c r="J1" s="124" t="s">
        <v>987</v>
      </c>
      <c r="K1" s="124" t="s">
        <v>988</v>
      </c>
      <c r="L1" s="124" t="s">
        <v>989</v>
      </c>
      <c r="M1" s="124" t="s">
        <v>990</v>
      </c>
      <c r="N1" s="124" t="s">
        <v>991</v>
      </c>
      <c r="O1" s="124" t="s">
        <v>992</v>
      </c>
      <c r="P1" s="124" t="s">
        <v>993</v>
      </c>
      <c r="Q1" s="124" t="s">
        <v>994</v>
      </c>
      <c r="R1" s="124" t="s">
        <v>995</v>
      </c>
      <c r="S1" s="124" t="s">
        <v>996</v>
      </c>
      <c r="T1" s="124" t="s">
        <v>997</v>
      </c>
      <c r="U1" s="124" t="s">
        <v>998</v>
      </c>
      <c r="V1" s="124" t="s">
        <v>999</v>
      </c>
      <c r="W1" s="124" t="s">
        <v>1000</v>
      </c>
      <c r="X1" s="124" t="s">
        <v>1001</v>
      </c>
      <c r="Y1" s="124" t="s">
        <v>1002</v>
      </c>
      <c r="Z1" s="124" t="s">
        <v>1003</v>
      </c>
      <c r="AA1" s="124" t="s">
        <v>1004</v>
      </c>
      <c r="AB1" s="124" t="s">
        <v>1005</v>
      </c>
      <c r="AC1" s="124" t="s">
        <v>1006</v>
      </c>
      <c r="AD1" s="124" t="s">
        <v>1007</v>
      </c>
      <c r="AE1" s="124" t="s">
        <v>1008</v>
      </c>
      <c r="AF1" s="124" t="s">
        <v>1009</v>
      </c>
      <c r="AG1" s="124" t="s">
        <v>1010</v>
      </c>
      <c r="AH1" s="124" t="s">
        <v>1011</v>
      </c>
      <c r="AI1" s="124" t="s">
        <v>1012</v>
      </c>
      <c r="AJ1" s="124" t="s">
        <v>1013</v>
      </c>
      <c r="AK1" s="124" t="s">
        <v>1014</v>
      </c>
      <c r="AL1" s="124" t="s">
        <v>1015</v>
      </c>
      <c r="AM1" s="124" t="s">
        <v>1016</v>
      </c>
      <c r="AN1" s="124" t="s">
        <v>1017</v>
      </c>
      <c r="AO1" s="124" t="s">
        <v>1018</v>
      </c>
      <c r="AP1" s="124" t="s">
        <v>1019</v>
      </c>
      <c r="AQ1" s="124" t="s">
        <v>1020</v>
      </c>
      <c r="AR1" s="124" t="s">
        <v>1021</v>
      </c>
      <c r="AS1" s="124" t="s">
        <v>1022</v>
      </c>
      <c r="AT1" s="124" t="s">
        <v>1023</v>
      </c>
      <c r="AU1" s="125" t="s">
        <v>1024</v>
      </c>
    </row>
    <row r="2" spans="1:47" ht="60" customHeight="1" x14ac:dyDescent="0.35">
      <c r="A2" s="119" t="s">
        <v>1688</v>
      </c>
      <c r="B2" s="109" t="s">
        <v>1689</v>
      </c>
      <c r="C2" s="110" t="s">
        <v>1690</v>
      </c>
      <c r="D2" s="110" t="s">
        <v>1691</v>
      </c>
      <c r="E2" s="110" t="s">
        <v>1692</v>
      </c>
      <c r="F2" s="111" t="s">
        <v>1693</v>
      </c>
      <c r="G2" s="112">
        <f>IF(COUNTIF(H2:AU2,"&lt;&gt;")=0,"",SUMPRODUCT(((Recommendations[ImplStatus]="Implemented")+(Recommendations[ImplStatus]="Compensated"))*ISNUMBER(MATCH(Recommendations[Id],H2:AU2,0)))/COUNTIF(H2:AU2,"&lt;&gt;"))</f>
        <v>0</v>
      </c>
      <c r="H2" s="113" t="s">
        <v>67</v>
      </c>
      <c r="I2" s="113" t="s">
        <v>371</v>
      </c>
      <c r="J2" s="113" t="s">
        <v>447</v>
      </c>
      <c r="K2" s="113" t="s">
        <v>625</v>
      </c>
      <c r="L2" s="113" t="s">
        <v>630</v>
      </c>
      <c r="M2" s="113" t="s">
        <v>660</v>
      </c>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1694</v>
      </c>
      <c r="B3" s="109" t="s">
        <v>1695</v>
      </c>
      <c r="C3" s="110" t="s">
        <v>1696</v>
      </c>
      <c r="D3" s="110" t="s">
        <v>1697</v>
      </c>
      <c r="E3" s="110" t="s">
        <v>1698</v>
      </c>
      <c r="F3" s="111" t="s">
        <v>1699</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1700</v>
      </c>
      <c r="B4" s="109" t="s">
        <v>1701</v>
      </c>
      <c r="C4" s="110" t="s">
        <v>1702</v>
      </c>
      <c r="D4" s="110" t="s">
        <v>1703</v>
      </c>
      <c r="E4" s="110" t="s">
        <v>1704</v>
      </c>
      <c r="F4" s="111" t="s">
        <v>1705</v>
      </c>
      <c r="G4" s="112">
        <f>IF(COUNTIF(H4:AU4,"&lt;&gt;")=0,"",SUMPRODUCT(((Recommendations[ImplStatus]="Implemented")+(Recommendations[ImplStatus]="Compensated"))*ISNUMBER(MATCH(Recommendations[Id],H4:AU4,0)))/COUNTIF(H4:AU4,"&lt;&gt;"))</f>
        <v>0</v>
      </c>
      <c r="H4" s="113" t="s">
        <v>112</v>
      </c>
      <c r="I4" s="113" t="s">
        <v>117</v>
      </c>
      <c r="J4" s="113" t="s">
        <v>137</v>
      </c>
      <c r="K4" s="113" t="s">
        <v>143</v>
      </c>
      <c r="L4" s="113" t="s">
        <v>148</v>
      </c>
      <c r="M4" s="113" t="s">
        <v>153</v>
      </c>
      <c r="N4" s="113" t="s">
        <v>173</v>
      </c>
      <c r="O4" s="113" t="s">
        <v>178</v>
      </c>
      <c r="P4" s="113" t="s">
        <v>183</v>
      </c>
      <c r="Q4" s="113" t="s">
        <v>188</v>
      </c>
      <c r="R4" s="113" t="s">
        <v>193</v>
      </c>
      <c r="S4" s="113" t="s">
        <v>197</v>
      </c>
      <c r="T4" s="113" t="s">
        <v>202</v>
      </c>
      <c r="U4" s="113" t="s">
        <v>207</v>
      </c>
      <c r="V4" s="113" t="s">
        <v>212</v>
      </c>
      <c r="W4" s="113" t="s">
        <v>245</v>
      </c>
      <c r="X4" s="113" t="s">
        <v>250</v>
      </c>
      <c r="Y4" s="113" t="s">
        <v>255</v>
      </c>
      <c r="Z4" s="113" t="s">
        <v>265</v>
      </c>
      <c r="AA4" s="113" t="s">
        <v>270</v>
      </c>
      <c r="AB4" s="113" t="s">
        <v>291</v>
      </c>
      <c r="AC4" s="113" t="s">
        <v>326</v>
      </c>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1706</v>
      </c>
      <c r="B5" s="109" t="s">
        <v>1707</v>
      </c>
      <c r="C5" s="110" t="s">
        <v>1708</v>
      </c>
      <c r="D5" s="110" t="s">
        <v>1709</v>
      </c>
      <c r="E5" s="110" t="s">
        <v>1710</v>
      </c>
      <c r="F5" s="111" t="s">
        <v>1711</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1712</v>
      </c>
      <c r="B6" s="109" t="s">
        <v>1713</v>
      </c>
      <c r="C6" s="110" t="s">
        <v>1714</v>
      </c>
      <c r="D6" s="110" t="s">
        <v>1715</v>
      </c>
      <c r="E6" s="110" t="s">
        <v>21</v>
      </c>
      <c r="F6" s="111" t="s">
        <v>1716</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1717</v>
      </c>
      <c r="B7" s="109" t="s">
        <v>11</v>
      </c>
      <c r="C7" s="110" t="s">
        <v>1718</v>
      </c>
      <c r="D7" s="110" t="s">
        <v>1719</v>
      </c>
      <c r="E7" s="110" t="s">
        <v>21</v>
      </c>
      <c r="F7" s="111" t="s">
        <v>1720</v>
      </c>
      <c r="G7" s="112">
        <f>IF(COUNTIF(H7:AU7,"&lt;&gt;")=0,"",SUMPRODUCT(((Recommendations[ImplStatus]="Implemented")+(Recommendations[ImplStatus]="Compensated"))*ISNUMBER(MATCH(Recommendations[Id],H7:AU7,0)))/COUNTIF(H7:AU7,"&lt;&gt;"))</f>
        <v>0</v>
      </c>
      <c r="H7" s="113" t="s">
        <v>25</v>
      </c>
      <c r="I7" s="113" t="s">
        <v>30</v>
      </c>
      <c r="J7" s="113" t="s">
        <v>34</v>
      </c>
      <c r="K7" s="113" t="s">
        <v>39</v>
      </c>
      <c r="L7" s="113" t="s">
        <v>137</v>
      </c>
      <c r="M7" s="113" t="s">
        <v>153</v>
      </c>
      <c r="N7" s="113" t="s">
        <v>457</v>
      </c>
      <c r="O7" s="113" t="s">
        <v>462</v>
      </c>
      <c r="P7" s="113" t="s">
        <v>465</v>
      </c>
      <c r="Q7" s="113" t="s">
        <v>467</v>
      </c>
      <c r="R7" s="113" t="s">
        <v>471</v>
      </c>
      <c r="S7" s="113" t="s">
        <v>475</v>
      </c>
      <c r="T7" s="113" t="s">
        <v>477</v>
      </c>
      <c r="U7" s="113" t="s">
        <v>482</v>
      </c>
      <c r="V7" s="113" t="s">
        <v>492</v>
      </c>
      <c r="W7" s="113" t="s">
        <v>679</v>
      </c>
      <c r="X7" s="113" t="s">
        <v>689</v>
      </c>
      <c r="Y7" s="113" t="s">
        <v>699</v>
      </c>
      <c r="Z7" s="113" t="s">
        <v>709</v>
      </c>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1721</v>
      </c>
      <c r="B8" s="109" t="s">
        <v>1722</v>
      </c>
      <c r="C8" s="110" t="s">
        <v>1723</v>
      </c>
      <c r="D8" s="110" t="s">
        <v>1724</v>
      </c>
      <c r="E8" s="110" t="s">
        <v>21</v>
      </c>
      <c r="F8" s="111" t="s">
        <v>1725</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1726</v>
      </c>
      <c r="B9" s="109" t="s">
        <v>1727</v>
      </c>
      <c r="C9" s="110" t="s">
        <v>1728</v>
      </c>
      <c r="D9" s="110" t="s">
        <v>1729</v>
      </c>
      <c r="E9" s="110" t="s">
        <v>21</v>
      </c>
      <c r="F9" s="111" t="s">
        <v>1730</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1731</v>
      </c>
      <c r="B10" s="109" t="s">
        <v>1732</v>
      </c>
      <c r="C10" s="110" t="s">
        <v>1733</v>
      </c>
      <c r="D10" s="110" t="s">
        <v>1734</v>
      </c>
      <c r="E10" s="110" t="s">
        <v>21</v>
      </c>
      <c r="F10" s="111" t="s">
        <v>1735</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1736</v>
      </c>
      <c r="B11" s="109" t="s">
        <v>1737</v>
      </c>
      <c r="C11" s="110" t="s">
        <v>1738</v>
      </c>
      <c r="D11" s="110" t="s">
        <v>1739</v>
      </c>
      <c r="E11" s="110" t="s">
        <v>21</v>
      </c>
      <c r="F11" s="111" t="s">
        <v>1740</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1741</v>
      </c>
      <c r="B12" s="109" t="s">
        <v>1742</v>
      </c>
      <c r="C12" s="110" t="s">
        <v>1743</v>
      </c>
      <c r="D12" s="110" t="s">
        <v>1744</v>
      </c>
      <c r="E12" s="110" t="s">
        <v>21</v>
      </c>
      <c r="F12" s="111" t="s">
        <v>1745</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1746</v>
      </c>
      <c r="B13" s="109" t="s">
        <v>1747</v>
      </c>
      <c r="C13" s="110" t="s">
        <v>1748</v>
      </c>
      <c r="D13" s="110" t="s">
        <v>1749</v>
      </c>
      <c r="E13" s="110" t="s">
        <v>21</v>
      </c>
      <c r="F13" s="111" t="s">
        <v>1750</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1751</v>
      </c>
      <c r="B14" s="109" t="s">
        <v>1752</v>
      </c>
      <c r="C14" s="110" t="s">
        <v>1753</v>
      </c>
      <c r="D14" s="110" t="s">
        <v>1754</v>
      </c>
      <c r="E14" s="110" t="s">
        <v>21</v>
      </c>
      <c r="F14" s="111" t="s">
        <v>1755</v>
      </c>
      <c r="G14" s="112">
        <f>IF(COUNTIF(H14:AU14,"&lt;&gt;")=0,"",SUMPRODUCT(((Recommendations[ImplStatus]="Implemented")+(Recommendations[ImplStatus]="Compensated"))*ISNUMBER(MATCH(Recommendations[Id],H14:AU14,0)))/COUNTIF(H14:AU14,"&lt;&gt;"))</f>
        <v>0</v>
      </c>
      <c r="H14" s="113" t="s">
        <v>44</v>
      </c>
      <c r="I14" s="113" t="s">
        <v>49</v>
      </c>
      <c r="J14" s="113" t="s">
        <v>54</v>
      </c>
      <c r="K14" s="113" t="s">
        <v>58</v>
      </c>
      <c r="L14" s="113" t="s">
        <v>345</v>
      </c>
      <c r="M14" s="113" t="s">
        <v>527</v>
      </c>
      <c r="N14" s="113" t="s">
        <v>532</v>
      </c>
      <c r="O14" s="113" t="s">
        <v>547</v>
      </c>
      <c r="P14" s="113" t="s">
        <v>620</v>
      </c>
      <c r="Q14" s="113" t="s">
        <v>655</v>
      </c>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1756</v>
      </c>
      <c r="B15" s="109" t="s">
        <v>1757</v>
      </c>
      <c r="C15" s="110" t="s">
        <v>1758</v>
      </c>
      <c r="D15" s="110" t="s">
        <v>1759</v>
      </c>
      <c r="E15" s="110" t="s">
        <v>21</v>
      </c>
      <c r="F15" s="111" t="s">
        <v>1760</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1761</v>
      </c>
      <c r="B16" s="109" t="s">
        <v>1762</v>
      </c>
      <c r="C16" s="110" t="s">
        <v>1763</v>
      </c>
      <c r="D16" s="110" t="s">
        <v>1764</v>
      </c>
      <c r="E16" s="110" t="s">
        <v>21</v>
      </c>
      <c r="F16" s="111" t="s">
        <v>1765</v>
      </c>
      <c r="G16" s="112">
        <f>IF(COUNTIF(H16:AU16,"&lt;&gt;")=0,"",SUMPRODUCT(((Recommendations[ImplStatus]="Implemented")+(Recommendations[ImplStatus]="Compensated"))*ISNUMBER(MATCH(Recommendations[Id],H16:AU16,0)))/COUNTIF(H16:AU16,"&lt;&gt;"))</f>
        <v>0</v>
      </c>
      <c r="H16" s="113" t="s">
        <v>281</v>
      </c>
      <c r="I16" s="113" t="s">
        <v>286</v>
      </c>
      <c r="J16" s="113" t="s">
        <v>296</v>
      </c>
      <c r="K16" s="113" t="s">
        <v>301</v>
      </c>
      <c r="L16" s="113" t="s">
        <v>306</v>
      </c>
      <c r="M16" s="113" t="s">
        <v>311</v>
      </c>
      <c r="N16" s="113" t="s">
        <v>321</v>
      </c>
      <c r="O16" s="113" t="s">
        <v>330</v>
      </c>
      <c r="P16" s="113" t="s">
        <v>335</v>
      </c>
      <c r="Q16" s="113" t="s">
        <v>340</v>
      </c>
      <c r="R16" s="113" t="s">
        <v>348</v>
      </c>
      <c r="S16" s="113" t="s">
        <v>361</v>
      </c>
      <c r="T16" s="113" t="s">
        <v>376</v>
      </c>
      <c r="U16" s="113" t="s">
        <v>381</v>
      </c>
      <c r="V16" s="113" t="s">
        <v>386</v>
      </c>
      <c r="W16" s="113" t="s">
        <v>391</v>
      </c>
      <c r="X16" s="113" t="s">
        <v>406</v>
      </c>
      <c r="Y16" s="113" t="s">
        <v>605</v>
      </c>
      <c r="Z16" s="113" t="s">
        <v>615</v>
      </c>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1766</v>
      </c>
      <c r="B17" s="109" t="s">
        <v>1767</v>
      </c>
      <c r="C17" s="110" t="s">
        <v>1768</v>
      </c>
      <c r="D17" s="110" t="s">
        <v>1769</v>
      </c>
      <c r="E17" s="110" t="s">
        <v>21</v>
      </c>
      <c r="F17" s="111" t="s">
        <v>1770</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1771</v>
      </c>
      <c r="B18" s="109" t="s">
        <v>1772</v>
      </c>
      <c r="C18" s="110" t="s">
        <v>1773</v>
      </c>
      <c r="D18" s="110" t="s">
        <v>1774</v>
      </c>
      <c r="E18" s="110" t="s">
        <v>21</v>
      </c>
      <c r="F18" s="111" t="s">
        <v>1775</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1776</v>
      </c>
      <c r="B19" s="109" t="s">
        <v>1777</v>
      </c>
      <c r="C19" s="110" t="s">
        <v>1778</v>
      </c>
      <c r="D19" s="110" t="s">
        <v>1779</v>
      </c>
      <c r="E19" s="110" t="s">
        <v>21</v>
      </c>
      <c r="F19" s="111" t="s">
        <v>1780</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1781</v>
      </c>
      <c r="B20" s="109" t="s">
        <v>1782</v>
      </c>
      <c r="C20" s="110" t="s">
        <v>1783</v>
      </c>
      <c r="D20" s="110" t="s">
        <v>1784</v>
      </c>
      <c r="E20" s="110" t="s">
        <v>21</v>
      </c>
      <c r="F20" s="111" t="s">
        <v>1785</v>
      </c>
      <c r="G20" s="112">
        <f>IF(COUNTIF(H20:AU20,"&lt;&gt;")=0,"",SUMPRODUCT(((Recommendations[ImplStatus]="Implemented")+(Recommendations[ImplStatus]="Compensated"))*ISNUMBER(MATCH(Recommendations[Id],H20:AU20,0)))/COUNTIF(H20:AU20,"&lt;&gt;"))</f>
        <v>0</v>
      </c>
      <c r="H20" s="113" t="s">
        <v>72</v>
      </c>
      <c r="I20" s="113" t="s">
        <v>78</v>
      </c>
      <c r="J20" s="113" t="s">
        <v>83</v>
      </c>
      <c r="K20" s="113" t="s">
        <v>87</v>
      </c>
      <c r="L20" s="113" t="s">
        <v>92</v>
      </c>
      <c r="M20" s="113" t="s">
        <v>102</v>
      </c>
      <c r="N20" s="113" t="s">
        <v>107</v>
      </c>
      <c r="O20" s="113" t="s">
        <v>158</v>
      </c>
      <c r="P20" s="113" t="s">
        <v>163</v>
      </c>
      <c r="Q20" s="113" t="s">
        <v>168</v>
      </c>
      <c r="R20" s="113" t="s">
        <v>217</v>
      </c>
      <c r="S20" s="113" t="s">
        <v>222</v>
      </c>
      <c r="T20" s="113" t="s">
        <v>226</v>
      </c>
      <c r="U20" s="113" t="s">
        <v>396</v>
      </c>
      <c r="V20" s="113" t="s">
        <v>635</v>
      </c>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1786</v>
      </c>
      <c r="B21" s="109" t="s">
        <v>1787</v>
      </c>
      <c r="C21" s="110" t="s">
        <v>1788</v>
      </c>
      <c r="D21" s="110" t="s">
        <v>1789</v>
      </c>
      <c r="E21" s="110" t="s">
        <v>1790</v>
      </c>
      <c r="F21" s="111" t="s">
        <v>1791</v>
      </c>
      <c r="G21" s="112">
        <f>IF(COUNTIF(H21:AU21,"&lt;&gt;")=0,"",SUMPRODUCT(((Recommendations[ImplStatus]="Implemented")+(Recommendations[ImplStatus]="Compensated"))*ISNUMBER(MATCH(Recommendations[Id],H21:AU21,0)))/COUNTIF(H21:AU21,"&lt;&gt;"))</f>
        <v>0</v>
      </c>
      <c r="H21" s="113" t="s">
        <v>275</v>
      </c>
      <c r="I21" s="113" t="s">
        <v>411</v>
      </c>
      <c r="J21" s="113" t="s">
        <v>640</v>
      </c>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1792</v>
      </c>
      <c r="B22" s="109" t="s">
        <v>1793</v>
      </c>
      <c r="C22" s="110" t="s">
        <v>1794</v>
      </c>
      <c r="D22" s="110" t="s">
        <v>1795</v>
      </c>
      <c r="E22" s="110" t="s">
        <v>1796</v>
      </c>
      <c r="F22" s="111" t="s">
        <v>1797</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1798</v>
      </c>
      <c r="B23" s="109" t="s">
        <v>1799</v>
      </c>
      <c r="C23" s="110" t="s">
        <v>1800</v>
      </c>
      <c r="D23" s="110" t="s">
        <v>1801</v>
      </c>
      <c r="E23" s="110" t="s">
        <v>1802</v>
      </c>
      <c r="F23" s="111" t="s">
        <v>1803</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1804</v>
      </c>
      <c r="B24" s="109" t="s">
        <v>1805</v>
      </c>
      <c r="C24" s="110" t="s">
        <v>1806</v>
      </c>
      <c r="D24" s="110" t="s">
        <v>1807</v>
      </c>
      <c r="E24" s="110" t="s">
        <v>21</v>
      </c>
      <c r="F24" s="111" t="s">
        <v>1808</v>
      </c>
      <c r="G24" s="112">
        <f>IF(COUNTIF(H24:AU24,"&lt;&gt;")=0,"",SUMPRODUCT(((Recommendations[ImplStatus]="Implemented")+(Recommendations[ImplStatus]="Compensated"))*ISNUMBER(MATCH(Recommendations[Id],H24:AU24,0)))/COUNTIF(H24:AU24,"&lt;&gt;"))</f>
        <v>0</v>
      </c>
      <c r="H24" s="113" t="s">
        <v>330</v>
      </c>
      <c r="I24" s="113" t="s">
        <v>361</v>
      </c>
      <c r="J24" s="113" t="s">
        <v>391</v>
      </c>
      <c r="K24" s="113" t="s">
        <v>517</v>
      </c>
      <c r="L24" s="113" t="s">
        <v>522</v>
      </c>
      <c r="M24" s="113" t="s">
        <v>562</v>
      </c>
      <c r="N24" s="113" t="s">
        <v>704</v>
      </c>
      <c r="O24" s="113" t="s">
        <v>714</v>
      </c>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1809</v>
      </c>
      <c r="B25" s="109" t="s">
        <v>1810</v>
      </c>
      <c r="C25" s="110" t="s">
        <v>1811</v>
      </c>
      <c r="D25" s="110" t="s">
        <v>21</v>
      </c>
      <c r="E25" s="110" t="s">
        <v>21</v>
      </c>
      <c r="F25" s="111" t="s">
        <v>1812</v>
      </c>
      <c r="G25" s="112">
        <f>IF(COUNTIF(H25:AU25,"&lt;&gt;")=0,"",SUMPRODUCT(((Recommendations[ImplStatus]="Implemented")+(Recommendations[ImplStatus]="Compensated"))*ISNUMBER(MATCH(Recommendations[Id],H25:AU25,0)))/COUNTIF(H25:AU25,"&lt;&gt;"))</f>
        <v>0</v>
      </c>
      <c r="H25" s="113" t="s">
        <v>537</v>
      </c>
      <c r="I25" s="113" t="s">
        <v>600</v>
      </c>
      <c r="J25" s="113" t="s">
        <v>610</v>
      </c>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1813</v>
      </c>
      <c r="B26" s="109" t="s">
        <v>1814</v>
      </c>
      <c r="C26" s="110" t="s">
        <v>1815</v>
      </c>
      <c r="D26" s="110" t="s">
        <v>1816</v>
      </c>
      <c r="E26" s="110" t="s">
        <v>21</v>
      </c>
      <c r="F26" s="111" t="s">
        <v>1817</v>
      </c>
      <c r="G26" s="112">
        <f>IF(COUNTIF(H26:AU26,"&lt;&gt;")=0,"",SUMPRODUCT(((Recommendations[ImplStatus]="Implemented")+(Recommendations[ImplStatus]="Compensated"))*ISNUMBER(MATCH(Recommendations[Id],H26:AU26,0)))/COUNTIF(H26:AU26,"&lt;&gt;"))</f>
        <v>0</v>
      </c>
      <c r="H26" s="113" t="s">
        <v>107</v>
      </c>
      <c r="I26" s="113" t="s">
        <v>356</v>
      </c>
      <c r="J26" s="113" t="s">
        <v>366</v>
      </c>
      <c r="K26" s="113" t="s">
        <v>502</v>
      </c>
      <c r="L26" s="113" t="s">
        <v>645</v>
      </c>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1818</v>
      </c>
      <c r="B27" s="109" t="s">
        <v>1819</v>
      </c>
      <c r="C27" s="110" t="s">
        <v>1820</v>
      </c>
      <c r="D27" s="110" t="s">
        <v>1821</v>
      </c>
      <c r="E27" s="110" t="s">
        <v>1822</v>
      </c>
      <c r="F27" s="111" t="s">
        <v>1823</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1824</v>
      </c>
      <c r="B28" s="109" t="s">
        <v>1825</v>
      </c>
      <c r="C28" s="110" t="s">
        <v>1826</v>
      </c>
      <c r="D28" s="110" t="s">
        <v>21</v>
      </c>
      <c r="E28" s="110" t="s">
        <v>21</v>
      </c>
      <c r="F28" s="111" t="s">
        <v>1827</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1828</v>
      </c>
      <c r="B29" s="109" t="s">
        <v>1829</v>
      </c>
      <c r="C29" s="110" t="s">
        <v>1830</v>
      </c>
      <c r="D29" s="110" t="s">
        <v>1831</v>
      </c>
      <c r="E29" s="110" t="s">
        <v>1832</v>
      </c>
      <c r="F29" s="111" t="s">
        <v>1833</v>
      </c>
      <c r="G29" s="112" t="str">
        <f>IF(COUNTIF(H29:AU29,"&lt;&gt;")=0,"",SUMPRODUCT(((Recommendations[ImplStatus]="Implemented")+(Recommendations[ImplStatus]="Compensated"))*ISNUMBER(MATCH(Recommendations[Id],H29:AU29,0)))/COUNTIF(H29:AU29,"&lt;&gt;"))</f>
        <v/>
      </c>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1834</v>
      </c>
      <c r="B30" s="109" t="s">
        <v>1835</v>
      </c>
      <c r="C30" s="110" t="s">
        <v>1836</v>
      </c>
      <c r="D30" s="110" t="s">
        <v>1837</v>
      </c>
      <c r="E30" s="110" t="s">
        <v>21</v>
      </c>
      <c r="F30" s="111" t="s">
        <v>1838</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1839</v>
      </c>
      <c r="B31" s="109" t="s">
        <v>1840</v>
      </c>
      <c r="C31" s="110" t="s">
        <v>1841</v>
      </c>
      <c r="D31" s="110" t="s">
        <v>1842</v>
      </c>
      <c r="E31" s="110" t="s">
        <v>1843</v>
      </c>
      <c r="F31" s="111" t="s">
        <v>1844</v>
      </c>
      <c r="G31" s="112">
        <f>IF(COUNTIF(H31:AU31,"&lt;&gt;")=0,"",SUMPRODUCT(((Recommendations[ImplStatus]="Implemented")+(Recommendations[ImplStatus]="Compensated"))*ISNUMBER(MATCH(Recommendations[Id],H31:AU31,0)))/COUNTIF(H31:AU31,"&lt;&gt;"))</f>
        <v>0</v>
      </c>
      <c r="H31" s="113" t="s">
        <v>14</v>
      </c>
      <c r="I31" s="113" t="s">
        <v>418</v>
      </c>
      <c r="J31" s="113" t="s">
        <v>423</v>
      </c>
      <c r="K31" s="113" t="s">
        <v>426</v>
      </c>
      <c r="L31" s="113" t="s">
        <v>429</v>
      </c>
      <c r="M31" s="113" t="s">
        <v>432</v>
      </c>
      <c r="N31" s="113" t="s">
        <v>437</v>
      </c>
      <c r="O31" s="113" t="s">
        <v>462</v>
      </c>
      <c r="P31" s="113" t="s">
        <v>465</v>
      </c>
      <c r="Q31" s="113" t="s">
        <v>497</v>
      </c>
      <c r="R31" s="113" t="s">
        <v>532</v>
      </c>
      <c r="S31" s="113" t="s">
        <v>547</v>
      </c>
      <c r="T31" s="113" t="s">
        <v>557</v>
      </c>
      <c r="U31" s="113" t="s">
        <v>567</v>
      </c>
      <c r="V31" s="113" t="s">
        <v>572</v>
      </c>
      <c r="W31" s="113" t="s">
        <v>577</v>
      </c>
      <c r="X31" s="113" t="s">
        <v>582</v>
      </c>
      <c r="Y31" s="113" t="s">
        <v>587</v>
      </c>
      <c r="Z31" s="113" t="s">
        <v>591</v>
      </c>
      <c r="AA31" s="113" t="s">
        <v>595</v>
      </c>
      <c r="AB31" s="113" t="s">
        <v>620</v>
      </c>
      <c r="AC31" s="113" t="s">
        <v>655</v>
      </c>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1845</v>
      </c>
      <c r="B32" s="109" t="s">
        <v>1846</v>
      </c>
      <c r="C32" s="110" t="s">
        <v>1847</v>
      </c>
      <c r="D32" s="110" t="s">
        <v>1848</v>
      </c>
      <c r="E32" s="110" t="s">
        <v>1849</v>
      </c>
      <c r="F32" s="111" t="s">
        <v>1850</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1851</v>
      </c>
      <c r="B33" s="109" t="s">
        <v>1852</v>
      </c>
      <c r="C33" s="110" t="s">
        <v>1853</v>
      </c>
      <c r="D33" s="110" t="s">
        <v>1854</v>
      </c>
      <c r="E33" s="110" t="s">
        <v>21</v>
      </c>
      <c r="F33" s="111" t="s">
        <v>1855</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1856</v>
      </c>
      <c r="B34" s="109" t="s">
        <v>1857</v>
      </c>
      <c r="C34" s="110" t="s">
        <v>1858</v>
      </c>
      <c r="D34" s="110" t="s">
        <v>1859</v>
      </c>
      <c r="E34" s="110" t="s">
        <v>21</v>
      </c>
      <c r="F34" s="111" t="s">
        <v>1860</v>
      </c>
      <c r="G34" s="112">
        <f>IF(COUNTIF(H34:AU34,"&lt;&gt;")=0,"",SUMPRODUCT(((Recommendations[ImplStatus]="Implemented")+(Recommendations[ImplStatus]="Compensated"))*ISNUMBER(MATCH(Recommendations[Id],H34:AU34,0)))/COUNTIF(H34:AU34,"&lt;&gt;"))</f>
        <v>0</v>
      </c>
      <c r="H34" s="113" t="s">
        <v>728</v>
      </c>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1861</v>
      </c>
      <c r="B35" s="109" t="s">
        <v>1862</v>
      </c>
      <c r="C35" s="110" t="s">
        <v>1863</v>
      </c>
      <c r="D35" s="110" t="s">
        <v>1864</v>
      </c>
      <c r="E35" s="110" t="s">
        <v>1865</v>
      </c>
      <c r="F35" s="111" t="s">
        <v>1866</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1867</v>
      </c>
      <c r="B36" s="109" t="s">
        <v>1868</v>
      </c>
      <c r="C36" s="110" t="s">
        <v>1869</v>
      </c>
      <c r="D36" s="110" t="s">
        <v>1870</v>
      </c>
      <c r="E36" s="110" t="s">
        <v>1871</v>
      </c>
      <c r="F36" s="111" t="s">
        <v>1872</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1873</v>
      </c>
      <c r="B37" s="109" t="s">
        <v>1874</v>
      </c>
      <c r="C37" s="110" t="s">
        <v>1875</v>
      </c>
      <c r="D37" s="110" t="s">
        <v>1876</v>
      </c>
      <c r="E37" s="110" t="s">
        <v>21</v>
      </c>
      <c r="F37" s="111" t="s">
        <v>1877</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1878</v>
      </c>
      <c r="B38" s="109" t="s">
        <v>1879</v>
      </c>
      <c r="C38" s="110" t="s">
        <v>1880</v>
      </c>
      <c r="D38" s="110" t="s">
        <v>1881</v>
      </c>
      <c r="E38" s="110" t="s">
        <v>1882</v>
      </c>
      <c r="F38" s="111" t="s">
        <v>1883</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1884</v>
      </c>
      <c r="B39" s="109" t="s">
        <v>1885</v>
      </c>
      <c r="C39" s="110" t="s">
        <v>1886</v>
      </c>
      <c r="D39" s="110" t="s">
        <v>1887</v>
      </c>
      <c r="E39" s="110" t="s">
        <v>21</v>
      </c>
      <c r="F39" s="111" t="s">
        <v>1888</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1889</v>
      </c>
      <c r="B40" s="109" t="s">
        <v>1890</v>
      </c>
      <c r="C40" s="110" t="s">
        <v>1891</v>
      </c>
      <c r="D40" s="110" t="s">
        <v>1892</v>
      </c>
      <c r="E40" s="110" t="s">
        <v>1893</v>
      </c>
      <c r="F40" s="111" t="s">
        <v>1894</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1895</v>
      </c>
      <c r="B41" s="109" t="s">
        <v>1896</v>
      </c>
      <c r="C41" s="110" t="s">
        <v>1897</v>
      </c>
      <c r="D41" s="110" t="s">
        <v>1898</v>
      </c>
      <c r="E41" s="110" t="s">
        <v>1899</v>
      </c>
      <c r="F41" s="111" t="s">
        <v>1900</v>
      </c>
      <c r="G41" s="112">
        <f>IF(COUNTIF(H41:AU41,"&lt;&gt;")=0,"",SUMPRODUCT(((Recommendations[ImplStatus]="Implemented")+(Recommendations[ImplStatus]="Compensated"))*ISNUMBER(MATCH(Recommendations[Id],H41:AU41,0)))/COUNTIF(H41:AU41,"&lt;&gt;"))</f>
        <v>0</v>
      </c>
      <c r="H41" s="113" t="s">
        <v>650</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1901</v>
      </c>
      <c r="B42" s="109" t="s">
        <v>1902</v>
      </c>
      <c r="C42" s="110" t="s">
        <v>1903</v>
      </c>
      <c r="D42" s="110" t="s">
        <v>1904</v>
      </c>
      <c r="E42" s="110" t="s">
        <v>1905</v>
      </c>
      <c r="F42" s="111" t="s">
        <v>1906</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1907</v>
      </c>
      <c r="B43" s="109" t="s">
        <v>1908</v>
      </c>
      <c r="C43" s="110" t="s">
        <v>1909</v>
      </c>
      <c r="D43" s="110" t="s">
        <v>1910</v>
      </c>
      <c r="E43" s="110" t="s">
        <v>1911</v>
      </c>
      <c r="F43" s="111" t="s">
        <v>1912</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1913</v>
      </c>
      <c r="B44" s="109" t="s">
        <v>1914</v>
      </c>
      <c r="C44" s="110" t="s">
        <v>1915</v>
      </c>
      <c r="D44" s="110" t="s">
        <v>1916</v>
      </c>
      <c r="E44" s="110" t="s">
        <v>21</v>
      </c>
      <c r="F44" s="111" t="s">
        <v>1917</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1918</v>
      </c>
      <c r="B45" s="114" t="s">
        <v>1919</v>
      </c>
      <c r="C45" s="115" t="s">
        <v>1920</v>
      </c>
      <c r="D45" s="115" t="s">
        <v>1921</v>
      </c>
      <c r="E45" s="115" t="s">
        <v>1922</v>
      </c>
      <c r="F45" s="116" t="s">
        <v>1923</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733</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IFERROR(INDEX('Recommendations'!$H$2:$H$149, MATCH(H2,'Recommendations'!$A$2:$A$149,0))="Implemented", FALSE))</xm:f>
            <x14:dxf>
              <font>
                <color rgb="FF000000"/>
              </font>
              <fill>
                <patternFill>
                  <bgColor rgb="FF3C7D22"/>
                </patternFill>
              </fill>
            </x14:dxf>
          </x14:cfRule>
          <x14:cfRule type="expression" priority="2" id="{00000000-000E-0000-0500-000002000000}">
            <xm:f>AND(H2&lt;&gt;"", IFERROR(INDEX('Recommendations'!$H$2:$H$149, MATCH(H2,'Recommendations'!$A$2:$A$149,0))="Compensated", FALSE))</xm:f>
            <x14:dxf>
              <font>
                <color rgb="FF000000"/>
              </font>
              <fill>
                <patternFill>
                  <bgColor rgb="FFC6E0B4"/>
                </patternFill>
              </fill>
            </x14:dxf>
          </x14:cfRule>
          <x14:cfRule type="expression" priority="3" id="{00000000-000E-0000-0500-000003000000}">
            <xm:f>AND(H2&lt;&gt;"", IFERROR(INDEX('Recommendations'!$H$2:$H$149, MATCH(H2,'Recommendations'!$A$2:$A$149,0))="Testing", FALSE))</xm:f>
            <x14:dxf>
              <font>
                <color rgb="FF000000"/>
              </font>
              <fill>
                <patternFill>
                  <bgColor rgb="FFFFC000"/>
                </patternFill>
              </fill>
            </x14:dxf>
          </x14:cfRule>
          <x14:cfRule type="expression" priority="4" id="{00000000-000E-0000-0500-000004000000}">
            <xm:f>AND(H2&lt;&gt;"", IFERROR(INDEX('Recommendations'!$H$2:$H$149, MATCH(H2,'Recommendations'!$A$2:$A$149,0))="Failed", FALSE))</xm:f>
            <x14:dxf>
              <font>
                <color rgb="FF000000"/>
              </font>
              <fill>
                <patternFill>
                  <bgColor rgb="FFD82891"/>
                </patternFill>
              </fill>
            </x14:dxf>
          </x14:cfRule>
          <x14:cfRule type="expression" priority="5" id="{00000000-000E-0000-0500-000005000000}">
            <xm:f>AND(H2&lt;&gt;"", IFERROR(INDEX('Recommendations'!$H$2:$H$149, MATCH(H2,'Recommendations'!$A$2:$A$149,0))="Risk Accepted", FALSE))</xm:f>
            <x14:dxf>
              <font>
                <color rgb="FF000000"/>
              </font>
              <fill>
                <patternFill>
                  <bgColor rgb="FFD9D9D9"/>
                </patternFill>
              </fill>
            </x14:dxf>
          </x14:cfRule>
          <x14:cfRule type="expression" priority="6" id="{00000000-000E-0000-0500-000006000000}">
            <xm:f>AND(H2&lt;&gt;"", IFERROR(INDEX('Recommendations'!$H$2:$H$149, MATCH(H2,'Recommendations'!$A$2:$A$149,0))="N/A",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1924</v>
      </c>
      <c r="B1" s="148" t="s">
        <v>978</v>
      </c>
      <c r="C1" s="148" t="s">
        <v>0</v>
      </c>
      <c r="D1" s="148" t="s">
        <v>979</v>
      </c>
      <c r="E1" s="148" t="s">
        <v>1925</v>
      </c>
      <c r="F1" s="148" t="s">
        <v>1926</v>
      </c>
      <c r="G1" s="148" t="s">
        <v>1927</v>
      </c>
      <c r="H1" s="148" t="s">
        <v>1928</v>
      </c>
      <c r="I1" s="148" t="s">
        <v>984</v>
      </c>
      <c r="J1" s="148" t="s">
        <v>985</v>
      </c>
      <c r="K1" s="148" t="s">
        <v>986</v>
      </c>
      <c r="L1" s="148" t="s">
        <v>987</v>
      </c>
      <c r="M1" s="148" t="s">
        <v>988</v>
      </c>
      <c r="N1" s="148" t="s">
        <v>989</v>
      </c>
      <c r="O1" s="148" t="s">
        <v>990</v>
      </c>
      <c r="P1" s="148" t="s">
        <v>991</v>
      </c>
      <c r="Q1" s="148" t="s">
        <v>992</v>
      </c>
      <c r="R1" s="148" t="s">
        <v>993</v>
      </c>
      <c r="S1" s="148" t="s">
        <v>994</v>
      </c>
      <c r="T1" s="148" t="s">
        <v>995</v>
      </c>
      <c r="U1" s="148" t="s">
        <v>996</v>
      </c>
      <c r="V1" s="148" t="s">
        <v>997</v>
      </c>
      <c r="W1" s="148" t="s">
        <v>998</v>
      </c>
      <c r="X1" s="148" t="s">
        <v>999</v>
      </c>
      <c r="Y1" s="148" t="s">
        <v>1000</v>
      </c>
      <c r="Z1" s="148" t="s">
        <v>1001</v>
      </c>
      <c r="AA1" s="148" t="s">
        <v>1002</v>
      </c>
      <c r="AB1" s="148" t="s">
        <v>1003</v>
      </c>
      <c r="AC1" s="148" t="s">
        <v>1004</v>
      </c>
      <c r="AD1" s="148" t="s">
        <v>1005</v>
      </c>
      <c r="AE1" s="148" t="s">
        <v>1006</v>
      </c>
      <c r="AF1" s="148" t="s">
        <v>1007</v>
      </c>
      <c r="AG1" s="148" t="s">
        <v>1008</v>
      </c>
      <c r="AH1" s="148" t="s">
        <v>1009</v>
      </c>
      <c r="AI1" s="148" t="s">
        <v>1010</v>
      </c>
      <c r="AJ1" s="148" t="s">
        <v>1011</v>
      </c>
      <c r="AK1" s="148" t="s">
        <v>1012</v>
      </c>
      <c r="AL1" s="148" t="s">
        <v>1013</v>
      </c>
      <c r="AM1" s="148" t="s">
        <v>1014</v>
      </c>
      <c r="AN1" s="148" t="s">
        <v>1015</v>
      </c>
      <c r="AO1" s="148" t="s">
        <v>1016</v>
      </c>
      <c r="AP1" s="148" t="s">
        <v>1017</v>
      </c>
      <c r="AQ1" s="148" t="s">
        <v>1018</v>
      </c>
      <c r="AR1" s="148" t="s">
        <v>1019</v>
      </c>
      <c r="AS1" s="148" t="s">
        <v>1020</v>
      </c>
      <c r="AT1" s="148" t="s">
        <v>1021</v>
      </c>
      <c r="AU1" s="148" t="s">
        <v>1022</v>
      </c>
      <c r="AV1" s="148" t="s">
        <v>1023</v>
      </c>
      <c r="AW1" s="149" t="s">
        <v>1024</v>
      </c>
    </row>
    <row r="2" spans="1:49" ht="60" customHeight="1" outlineLevel="1" x14ac:dyDescent="0.35">
      <c r="A2" s="141" t="s">
        <v>1929</v>
      </c>
      <c r="B2" s="127"/>
      <c r="C2" s="126" t="s">
        <v>1930</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1929</v>
      </c>
      <c r="B3" s="128" t="s">
        <v>1195</v>
      </c>
      <c r="C3" s="129" t="s">
        <v>1931</v>
      </c>
      <c r="D3" s="131" t="s">
        <v>1932</v>
      </c>
      <c r="E3" s="131" t="s">
        <v>1933</v>
      </c>
      <c r="F3" s="131" t="s">
        <v>1934</v>
      </c>
      <c r="G3" s="131" t="s">
        <v>1935</v>
      </c>
      <c r="H3" s="131" t="s">
        <v>1936</v>
      </c>
      <c r="I3" s="133">
        <f>IF(COUNTIF(J3:AW3,"&lt;&gt;")=0,"",SUMPRODUCT(((Recommendations[ImplStatus]="Implemented")+(Recommendations[ImplStatus]="Compensated"))*ISNUMBER(MATCH(Recommendations[Id],J3:AW3,0)))/COUNTIF(J3:AW3,"&lt;&gt;"))</f>
        <v>0</v>
      </c>
      <c r="J3" s="135" t="s">
        <v>14</v>
      </c>
      <c r="K3" s="135" t="s">
        <v>418</v>
      </c>
      <c r="L3" s="135" t="s">
        <v>423</v>
      </c>
      <c r="M3" s="135" t="s">
        <v>426</v>
      </c>
      <c r="N3" s="135" t="s">
        <v>429</v>
      </c>
      <c r="O3" s="135" t="s">
        <v>432</v>
      </c>
      <c r="P3" s="135" t="s">
        <v>437</v>
      </c>
      <c r="Q3" s="135" t="s">
        <v>497</v>
      </c>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1929</v>
      </c>
      <c r="B4" s="128" t="s">
        <v>1937</v>
      </c>
      <c r="C4" s="129" t="s">
        <v>1938</v>
      </c>
      <c r="D4" s="131" t="s">
        <v>1939</v>
      </c>
      <c r="E4" s="131" t="s">
        <v>1940</v>
      </c>
      <c r="F4" s="131" t="s">
        <v>1941</v>
      </c>
      <c r="G4" s="131" t="s">
        <v>1942</v>
      </c>
      <c r="H4" s="131" t="s">
        <v>1943</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1929</v>
      </c>
      <c r="B5" s="128" t="s">
        <v>1944</v>
      </c>
      <c r="C5" s="129" t="s">
        <v>1945</v>
      </c>
      <c r="D5" s="131" t="s">
        <v>1946</v>
      </c>
      <c r="E5" s="131" t="s">
        <v>1947</v>
      </c>
      <c r="F5" s="131" t="s">
        <v>1948</v>
      </c>
      <c r="G5" s="131" t="s">
        <v>1949</v>
      </c>
      <c r="H5" s="131" t="s">
        <v>1950</v>
      </c>
      <c r="I5" s="133">
        <f>IF(COUNTIF(J5:AW5,"&lt;&gt;")=0,"",SUMPRODUCT(((Recommendations[ImplStatus]="Implemented")+(Recommendations[ImplStatus]="Compensated"))*ISNUMBER(MATCH(Recommendations[Id],J5:AW5,0)))/COUNTIF(J5:AW5,"&lt;&gt;"))</f>
        <v>0</v>
      </c>
      <c r="J5" s="135" t="s">
        <v>92</v>
      </c>
      <c r="K5" s="135" t="s">
        <v>102</v>
      </c>
      <c r="L5" s="135" t="s">
        <v>396</v>
      </c>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1929</v>
      </c>
      <c r="B6" s="128" t="s">
        <v>1951</v>
      </c>
      <c r="C6" s="129" t="s">
        <v>1952</v>
      </c>
      <c r="D6" s="131" t="s">
        <v>1953</v>
      </c>
      <c r="E6" s="131" t="s">
        <v>1954</v>
      </c>
      <c r="F6" s="131" t="s">
        <v>1955</v>
      </c>
      <c r="G6" s="131" t="s">
        <v>1956</v>
      </c>
      <c r="H6" s="131" t="s">
        <v>1957</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1929</v>
      </c>
      <c r="B7" s="128" t="s">
        <v>1958</v>
      </c>
      <c r="C7" s="129" t="s">
        <v>1959</v>
      </c>
      <c r="D7" s="131" t="s">
        <v>1960</v>
      </c>
      <c r="E7" s="131" t="s">
        <v>1961</v>
      </c>
      <c r="F7" s="131" t="s">
        <v>1962</v>
      </c>
      <c r="G7" s="131" t="s">
        <v>1963</v>
      </c>
      <c r="H7" s="131" t="s">
        <v>1964</v>
      </c>
      <c r="I7" s="133">
        <f>IF(COUNTIF(J7:AW7,"&lt;&gt;")=0,"",SUMPRODUCT(((Recommendations[ImplStatus]="Implemented")+(Recommendations[ImplStatus]="Compensated"))*ISNUMBER(MATCH(Recommendations[Id],J7:AW7,0)))/COUNTIF(J7:AW7,"&lt;&gt;"))</f>
        <v>0</v>
      </c>
      <c r="J7" s="135" t="s">
        <v>14</v>
      </c>
      <c r="K7" s="135" t="s">
        <v>437</v>
      </c>
      <c r="L7" s="135" t="s">
        <v>497</v>
      </c>
      <c r="M7" s="135" t="s">
        <v>532</v>
      </c>
      <c r="N7" s="135" t="s">
        <v>547</v>
      </c>
      <c r="O7" s="135" t="s">
        <v>557</v>
      </c>
      <c r="P7" s="135" t="s">
        <v>567</v>
      </c>
      <c r="Q7" s="135" t="s">
        <v>572</v>
      </c>
      <c r="R7" s="135" t="s">
        <v>577</v>
      </c>
      <c r="S7" s="135" t="s">
        <v>582</v>
      </c>
      <c r="T7" s="135" t="s">
        <v>587</v>
      </c>
      <c r="U7" s="135" t="s">
        <v>591</v>
      </c>
      <c r="V7" s="135" t="s">
        <v>595</v>
      </c>
      <c r="W7" s="135" t="s">
        <v>620</v>
      </c>
      <c r="X7" s="135" t="s">
        <v>655</v>
      </c>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1929</v>
      </c>
      <c r="B8" s="128" t="s">
        <v>1965</v>
      </c>
      <c r="C8" s="129" t="s">
        <v>1966</v>
      </c>
      <c r="D8" s="131" t="s">
        <v>1967</v>
      </c>
      <c r="E8" s="131" t="s">
        <v>1968</v>
      </c>
      <c r="F8" s="131" t="s">
        <v>1969</v>
      </c>
      <c r="G8" s="131" t="s">
        <v>1963</v>
      </c>
      <c r="H8" s="131" t="s">
        <v>1970</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1929</v>
      </c>
      <c r="B9" s="128" t="s">
        <v>1971</v>
      </c>
      <c r="C9" s="129" t="s">
        <v>1972</v>
      </c>
      <c r="D9" s="131" t="s">
        <v>1973</v>
      </c>
      <c r="E9" s="131" t="s">
        <v>1974</v>
      </c>
      <c r="F9" s="131" t="s">
        <v>1975</v>
      </c>
      <c r="G9" s="131" t="s">
        <v>1976</v>
      </c>
      <c r="H9" s="131" t="s">
        <v>1977</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1929</v>
      </c>
      <c r="B10" s="128" t="s">
        <v>1978</v>
      </c>
      <c r="C10" s="129" t="s">
        <v>1979</v>
      </c>
      <c r="D10" s="131" t="s">
        <v>1980</v>
      </c>
      <c r="E10" s="131" t="s">
        <v>1981</v>
      </c>
      <c r="F10" s="131" t="s">
        <v>1982</v>
      </c>
      <c r="G10" s="131" t="s">
        <v>1983</v>
      </c>
      <c r="H10" s="131" t="s">
        <v>1984</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1929</v>
      </c>
      <c r="B11" s="128" t="s">
        <v>1985</v>
      </c>
      <c r="C11" s="129" t="s">
        <v>1986</v>
      </c>
      <c r="D11" s="131" t="s">
        <v>1987</v>
      </c>
      <c r="E11" s="131" t="s">
        <v>1988</v>
      </c>
      <c r="F11" s="131" t="s">
        <v>1989</v>
      </c>
      <c r="G11" s="131" t="s">
        <v>1990</v>
      </c>
      <c r="H11" s="131" t="s">
        <v>1991</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1929</v>
      </c>
      <c r="B12" s="128" t="s">
        <v>1992</v>
      </c>
      <c r="C12" s="129" t="s">
        <v>1993</v>
      </c>
      <c r="D12" s="131" t="s">
        <v>1994</v>
      </c>
      <c r="E12" s="131" t="s">
        <v>1995</v>
      </c>
      <c r="F12" s="131" t="s">
        <v>1996</v>
      </c>
      <c r="G12" s="131" t="s">
        <v>1983</v>
      </c>
      <c r="H12" s="131" t="s">
        <v>1997</v>
      </c>
      <c r="I12" s="133">
        <f>IF(COUNTIF(J12:AW12,"&lt;&gt;")=0,"",SUMPRODUCT(((Recommendations[ImplStatus]="Implemented")+(Recommendations[ImplStatus]="Compensated"))*ISNUMBER(MATCH(Recommendations[Id],J12:AW12,0)))/COUNTIF(J12:AW12,"&lt;&gt;"))</f>
        <v>0</v>
      </c>
      <c r="J12" s="135" t="s">
        <v>275</v>
      </c>
      <c r="K12" s="135" t="s">
        <v>411</v>
      </c>
      <c r="L12" s="135" t="s">
        <v>640</v>
      </c>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1929</v>
      </c>
      <c r="B13" s="128" t="s">
        <v>1998</v>
      </c>
      <c r="C13" s="129" t="s">
        <v>1999</v>
      </c>
      <c r="D13" s="131" t="s">
        <v>2000</v>
      </c>
      <c r="E13" s="131" t="s">
        <v>2001</v>
      </c>
      <c r="F13" s="131" t="s">
        <v>2002</v>
      </c>
      <c r="G13" s="131" t="s">
        <v>1983</v>
      </c>
      <c r="H13" s="131" t="s">
        <v>2003</v>
      </c>
      <c r="I13" s="133">
        <f>IF(COUNTIF(J13:AW13,"&lt;&gt;")=0,"",SUMPRODUCT(((Recommendations[ImplStatus]="Implemented")+(Recommendations[ImplStatus]="Compensated"))*ISNUMBER(MATCH(Recommendations[Id],J13:AW13,0)))/COUNTIF(J13:AW13,"&lt;&gt;"))</f>
        <v>0</v>
      </c>
      <c r="J13" s="135" t="s">
        <v>67</v>
      </c>
      <c r="K13" s="135" t="s">
        <v>371</v>
      </c>
      <c r="L13" s="135" t="s">
        <v>625</v>
      </c>
      <c r="M13" s="135" t="s">
        <v>630</v>
      </c>
      <c r="N13" s="135" t="s">
        <v>660</v>
      </c>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1929</v>
      </c>
      <c r="B14" s="128" t="s">
        <v>2004</v>
      </c>
      <c r="C14" s="129" t="s">
        <v>2005</v>
      </c>
      <c r="D14" s="131" t="s">
        <v>2006</v>
      </c>
      <c r="E14" s="131" t="s">
        <v>2007</v>
      </c>
      <c r="F14" s="131" t="s">
        <v>2008</v>
      </c>
      <c r="G14" s="131" t="s">
        <v>2009</v>
      </c>
      <c r="H14" s="131" t="s">
        <v>2010</v>
      </c>
      <c r="I14" s="133">
        <f>IF(COUNTIF(J14:AW14,"&lt;&gt;")=0,"",SUMPRODUCT(((Recommendations[ImplStatus]="Implemented")+(Recommendations[ImplStatus]="Compensated"))*ISNUMBER(MATCH(Recommendations[Id],J14:AW14,0)))/COUNTIF(J14:AW14,"&lt;&gt;"))</f>
        <v>0</v>
      </c>
      <c r="J14" s="135" t="s">
        <v>281</v>
      </c>
      <c r="K14" s="135" t="s">
        <v>286</v>
      </c>
      <c r="L14" s="135" t="s">
        <v>296</v>
      </c>
      <c r="M14" s="135" t="s">
        <v>301</v>
      </c>
      <c r="N14" s="135" t="s">
        <v>306</v>
      </c>
      <c r="O14" s="135" t="s">
        <v>311</v>
      </c>
      <c r="P14" s="135" t="s">
        <v>321</v>
      </c>
      <c r="Q14" s="135" t="s">
        <v>335</v>
      </c>
      <c r="R14" s="135" t="s">
        <v>340</v>
      </c>
      <c r="S14" s="135" t="s">
        <v>348</v>
      </c>
      <c r="T14" s="135" t="s">
        <v>376</v>
      </c>
      <c r="U14" s="135" t="s">
        <v>386</v>
      </c>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1929</v>
      </c>
      <c r="B15" s="128" t="s">
        <v>2011</v>
      </c>
      <c r="C15" s="129" t="s">
        <v>2012</v>
      </c>
      <c r="D15" s="131" t="s">
        <v>2013</v>
      </c>
      <c r="E15" s="131" t="s">
        <v>2014</v>
      </c>
      <c r="F15" s="131" t="s">
        <v>2015</v>
      </c>
      <c r="G15" s="131" t="s">
        <v>2016</v>
      </c>
      <c r="H15" s="131" t="s">
        <v>2017</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1929</v>
      </c>
      <c r="B16" s="128" t="s">
        <v>2018</v>
      </c>
      <c r="C16" s="129" t="s">
        <v>2019</v>
      </c>
      <c r="D16" s="131" t="s">
        <v>2020</v>
      </c>
      <c r="E16" s="131" t="s">
        <v>2021</v>
      </c>
      <c r="F16" s="131" t="s">
        <v>2022</v>
      </c>
      <c r="G16" s="131" t="s">
        <v>2023</v>
      </c>
      <c r="H16" s="131" t="s">
        <v>2024</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1929</v>
      </c>
      <c r="B17" s="128" t="s">
        <v>2025</v>
      </c>
      <c r="C17" s="129" t="s">
        <v>2026</v>
      </c>
      <c r="D17" s="131" t="s">
        <v>2027</v>
      </c>
      <c r="E17" s="131" t="s">
        <v>2028</v>
      </c>
      <c r="F17" s="131" t="s">
        <v>2029</v>
      </c>
      <c r="G17" s="131" t="s">
        <v>2030</v>
      </c>
      <c r="H17" s="131" t="s">
        <v>2031</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1929</v>
      </c>
      <c r="B18" s="128" t="s">
        <v>2032</v>
      </c>
      <c r="C18" s="129" t="s">
        <v>2033</v>
      </c>
      <c r="D18" s="131" t="s">
        <v>2034</v>
      </c>
      <c r="E18" s="131" t="s">
        <v>2035</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2036</v>
      </c>
      <c r="B19" s="127"/>
      <c r="C19" s="126" t="s">
        <v>2037</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2036</v>
      </c>
      <c r="B20" s="128" t="s">
        <v>2038</v>
      </c>
      <c r="C20" s="129" t="s">
        <v>2039</v>
      </c>
      <c r="D20" s="131" t="s">
        <v>2040</v>
      </c>
      <c r="E20" s="131" t="s">
        <v>2041</v>
      </c>
      <c r="F20" s="131" t="s">
        <v>2042</v>
      </c>
      <c r="G20" s="131" t="s">
        <v>2043</v>
      </c>
      <c r="H20" s="131" t="s">
        <v>2044</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2036</v>
      </c>
      <c r="B21" s="128" t="s">
        <v>2045</v>
      </c>
      <c r="C21" s="129" t="s">
        <v>2046</v>
      </c>
      <c r="D21" s="131" t="s">
        <v>2047</v>
      </c>
      <c r="E21" s="131" t="s">
        <v>2048</v>
      </c>
      <c r="F21" s="131" t="s">
        <v>2049</v>
      </c>
      <c r="G21" s="131" t="s">
        <v>2050</v>
      </c>
      <c r="H21" s="131" t="s">
        <v>2051</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2052</v>
      </c>
      <c r="B22" s="127"/>
      <c r="C22" s="126" t="s">
        <v>2053</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2052</v>
      </c>
      <c r="B23" s="128" t="s">
        <v>2054</v>
      </c>
      <c r="C23" s="129" t="s">
        <v>2055</v>
      </c>
      <c r="D23" s="131" t="s">
        <v>2056</v>
      </c>
      <c r="E23" s="131" t="s">
        <v>2057</v>
      </c>
      <c r="F23" s="131" t="s">
        <v>2058</v>
      </c>
      <c r="G23" s="131" t="s">
        <v>2059</v>
      </c>
      <c r="H23" s="131" t="s">
        <v>2060</v>
      </c>
      <c r="I23" s="133">
        <f>IF(COUNTIF(J23:AW23,"&lt;&gt;")=0,"",SUMPRODUCT(((Recommendations[ImplStatus]="Implemented")+(Recommendations[ImplStatus]="Compensated"))*ISNUMBER(MATCH(Recommendations[Id],J23:AW23,0)))/COUNTIF(J23:AW23,"&lt;&gt;"))</f>
        <v>0</v>
      </c>
      <c r="J23" s="135" t="s">
        <v>25</v>
      </c>
      <c r="K23" s="135" t="s">
        <v>30</v>
      </c>
      <c r="L23" s="135" t="s">
        <v>34</v>
      </c>
      <c r="M23" s="135" t="s">
        <v>39</v>
      </c>
      <c r="N23" s="135" t="s">
        <v>137</v>
      </c>
      <c r="O23" s="135" t="s">
        <v>153</v>
      </c>
      <c r="P23" s="135" t="s">
        <v>418</v>
      </c>
      <c r="Q23" s="135" t="s">
        <v>423</v>
      </c>
      <c r="R23" s="135" t="s">
        <v>426</v>
      </c>
      <c r="S23" s="135" t="s">
        <v>429</v>
      </c>
      <c r="T23" s="135" t="s">
        <v>432</v>
      </c>
      <c r="U23" s="135" t="s">
        <v>457</v>
      </c>
      <c r="V23" s="135" t="s">
        <v>462</v>
      </c>
      <c r="W23" s="135" t="s">
        <v>465</v>
      </c>
      <c r="X23" s="135" t="s">
        <v>467</v>
      </c>
      <c r="Y23" s="135" t="s">
        <v>471</v>
      </c>
      <c r="Z23" s="135" t="s">
        <v>475</v>
      </c>
      <c r="AA23" s="135" t="s">
        <v>477</v>
      </c>
      <c r="AB23" s="135" t="s">
        <v>482</v>
      </c>
      <c r="AC23" s="135" t="s">
        <v>492</v>
      </c>
      <c r="AD23" s="135" t="s">
        <v>679</v>
      </c>
      <c r="AE23" s="135" t="s">
        <v>689</v>
      </c>
      <c r="AF23" s="135" t="s">
        <v>699</v>
      </c>
      <c r="AG23" s="135" t="s">
        <v>709</v>
      </c>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2052</v>
      </c>
      <c r="B24" s="128" t="s">
        <v>2061</v>
      </c>
      <c r="C24" s="129" t="s">
        <v>2062</v>
      </c>
      <c r="D24" s="131" t="s">
        <v>2063</v>
      </c>
      <c r="E24" s="131" t="s">
        <v>2064</v>
      </c>
      <c r="F24" s="131" t="s">
        <v>2065</v>
      </c>
      <c r="G24" s="131" t="s">
        <v>2066</v>
      </c>
      <c r="H24" s="131" t="s">
        <v>2067</v>
      </c>
      <c r="I24" s="133">
        <f>IF(COUNTIF(J24:AW24,"&lt;&gt;")=0,"",SUMPRODUCT(((Recommendations[ImplStatus]="Implemented")+(Recommendations[ImplStatus]="Compensated"))*ISNUMBER(MATCH(Recommendations[Id],J24:AW24,0)))/COUNTIF(J24:AW24,"&lt;&gt;"))</f>
        <v>0</v>
      </c>
      <c r="J24" s="135" t="s">
        <v>30</v>
      </c>
      <c r="K24" s="135" t="s">
        <v>34</v>
      </c>
      <c r="L24" s="135" t="s">
        <v>39</v>
      </c>
      <c r="M24" s="135" t="s">
        <v>457</v>
      </c>
      <c r="N24" s="135" t="s">
        <v>462</v>
      </c>
      <c r="O24" s="135" t="s">
        <v>465</v>
      </c>
      <c r="P24" s="135" t="s">
        <v>467</v>
      </c>
      <c r="Q24" s="135" t="s">
        <v>471</v>
      </c>
      <c r="R24" s="135" t="s">
        <v>475</v>
      </c>
      <c r="S24" s="135" t="s">
        <v>477</v>
      </c>
      <c r="T24" s="135" t="s">
        <v>482</v>
      </c>
      <c r="U24" s="135" t="s">
        <v>679</v>
      </c>
      <c r="V24" s="135" t="s">
        <v>699</v>
      </c>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2052</v>
      </c>
      <c r="B25" s="128" t="s">
        <v>2068</v>
      </c>
      <c r="C25" s="129" t="s">
        <v>2069</v>
      </c>
      <c r="D25" s="131" t="s">
        <v>2070</v>
      </c>
      <c r="E25" s="131" t="s">
        <v>2071</v>
      </c>
      <c r="F25" s="131" t="s">
        <v>2072</v>
      </c>
      <c r="G25" s="131" t="s">
        <v>2073</v>
      </c>
      <c r="H25" s="131" t="s">
        <v>2074</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2052</v>
      </c>
      <c r="B26" s="128" t="s">
        <v>2075</v>
      </c>
      <c r="C26" s="129" t="s">
        <v>2076</v>
      </c>
      <c r="D26" s="131" t="s">
        <v>2077</v>
      </c>
      <c r="E26" s="131" t="s">
        <v>2078</v>
      </c>
      <c r="F26" s="131" t="s">
        <v>2079</v>
      </c>
      <c r="G26" s="131" t="s">
        <v>2066</v>
      </c>
      <c r="H26" s="131" t="s">
        <v>2080</v>
      </c>
      <c r="I26" s="133">
        <f>IF(COUNTIF(J26:AW26,"&lt;&gt;")=0,"",SUMPRODUCT(((Recommendations[ImplStatus]="Implemented")+(Recommendations[ImplStatus]="Compensated"))*ISNUMBER(MATCH(Recommendations[Id],J26:AW26,0)))/COUNTIF(J26:AW26,"&lt;&gt;"))</f>
        <v>0</v>
      </c>
      <c r="J26" s="135" t="s">
        <v>122</v>
      </c>
      <c r="K26" s="135" t="s">
        <v>127</v>
      </c>
      <c r="L26" s="135" t="s">
        <v>487</v>
      </c>
      <c r="M26" s="135" t="s">
        <v>665</v>
      </c>
      <c r="N26" s="135" t="s">
        <v>670</v>
      </c>
      <c r="O26" s="135" t="s">
        <v>674</v>
      </c>
      <c r="P26" s="135" t="s">
        <v>684</v>
      </c>
      <c r="Q26" s="135" t="s">
        <v>689</v>
      </c>
      <c r="R26" s="135" t="s">
        <v>709</v>
      </c>
      <c r="S26" s="135" t="s">
        <v>719</v>
      </c>
      <c r="T26" s="135" t="s">
        <v>724</v>
      </c>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2052</v>
      </c>
      <c r="B27" s="128" t="s">
        <v>2081</v>
      </c>
      <c r="C27" s="129" t="s">
        <v>2082</v>
      </c>
      <c r="D27" s="131" t="s">
        <v>2083</v>
      </c>
      <c r="E27" s="131" t="s">
        <v>2084</v>
      </c>
      <c r="F27" s="131" t="s">
        <v>2085</v>
      </c>
      <c r="G27" s="131" t="s">
        <v>2086</v>
      </c>
      <c r="H27" s="131" t="s">
        <v>2087</v>
      </c>
      <c r="I27" s="133">
        <f>IF(COUNTIF(J27:AW27,"&lt;&gt;")=0,"",SUMPRODUCT(((Recommendations[ImplStatus]="Implemented")+(Recommendations[ImplStatus]="Compensated"))*ISNUMBER(MATCH(Recommendations[Id],J27:AW27,0)))/COUNTIF(J27:AW27,"&lt;&gt;"))</f>
        <v>0</v>
      </c>
      <c r="J27" s="135" t="s">
        <v>728</v>
      </c>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2052</v>
      </c>
      <c r="B28" s="128" t="s">
        <v>2088</v>
      </c>
      <c r="C28" s="129" t="s">
        <v>2089</v>
      </c>
      <c r="D28" s="131" t="s">
        <v>2090</v>
      </c>
      <c r="E28" s="131" t="s">
        <v>2091</v>
      </c>
      <c r="F28" s="131" t="s">
        <v>2092</v>
      </c>
      <c r="G28" s="131" t="s">
        <v>2093</v>
      </c>
      <c r="H28" s="131" t="s">
        <v>2094</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2052</v>
      </c>
      <c r="B29" s="128" t="s">
        <v>2095</v>
      </c>
      <c r="C29" s="129" t="s">
        <v>2096</v>
      </c>
      <c r="D29" s="131" t="s">
        <v>2097</v>
      </c>
      <c r="E29" s="131" t="s">
        <v>2098</v>
      </c>
      <c r="F29" s="131" t="s">
        <v>2099</v>
      </c>
      <c r="G29" s="131" t="s">
        <v>1983</v>
      </c>
      <c r="H29" s="131" t="s">
        <v>2100</v>
      </c>
      <c r="I29" s="133">
        <f>IF(COUNTIF(J29:AW29,"&lt;&gt;")=0,"",SUMPRODUCT(((Recommendations[ImplStatus]="Implemented")+(Recommendations[ImplStatus]="Compensated"))*ISNUMBER(MATCH(Recommendations[Id],J29:AW29,0)))/COUNTIF(J29:AW29,"&lt;&gt;"))</f>
        <v>0</v>
      </c>
      <c r="J29" s="135" t="s">
        <v>492</v>
      </c>
      <c r="K29" s="135" t="s">
        <v>512</v>
      </c>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2052</v>
      </c>
      <c r="B30" s="128" t="s">
        <v>2101</v>
      </c>
      <c r="C30" s="129" t="s">
        <v>2102</v>
      </c>
      <c r="D30" s="131" t="s">
        <v>2103</v>
      </c>
      <c r="E30" s="131" t="s">
        <v>2104</v>
      </c>
      <c r="F30" s="131" t="s">
        <v>2105</v>
      </c>
      <c r="G30" s="131" t="s">
        <v>2066</v>
      </c>
      <c r="H30" s="131" t="s">
        <v>2106</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2107</v>
      </c>
      <c r="B31" s="127"/>
      <c r="C31" s="126" t="s">
        <v>2108</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2107</v>
      </c>
      <c r="B32" s="128" t="s">
        <v>2109</v>
      </c>
      <c r="C32" s="129" t="s">
        <v>2110</v>
      </c>
      <c r="D32" s="131" t="s">
        <v>2111</v>
      </c>
      <c r="E32" s="131" t="s">
        <v>2112</v>
      </c>
      <c r="F32" s="131" t="s">
        <v>2113</v>
      </c>
      <c r="G32" s="131" t="s">
        <v>2114</v>
      </c>
      <c r="H32" s="131" t="s">
        <v>2115</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2107</v>
      </c>
      <c r="B33" s="128" t="s">
        <v>2116</v>
      </c>
      <c r="C33" s="129" t="s">
        <v>2117</v>
      </c>
      <c r="D33" s="131" t="s">
        <v>2118</v>
      </c>
      <c r="E33" s="131" t="s">
        <v>2119</v>
      </c>
      <c r="F33" s="131" t="s">
        <v>2120</v>
      </c>
      <c r="G33" s="131" t="s">
        <v>2121</v>
      </c>
      <c r="H33" s="131" t="s">
        <v>2122</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2107</v>
      </c>
      <c r="B34" s="128" t="s">
        <v>2123</v>
      </c>
      <c r="C34" s="129" t="s">
        <v>2124</v>
      </c>
      <c r="D34" s="131" t="s">
        <v>2125</v>
      </c>
      <c r="E34" s="131" t="s">
        <v>2126</v>
      </c>
      <c r="F34" s="131" t="s">
        <v>2127</v>
      </c>
      <c r="G34" s="131" t="s">
        <v>2128</v>
      </c>
      <c r="H34" s="131" t="s">
        <v>2129</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2107</v>
      </c>
      <c r="B35" s="128" t="s">
        <v>2130</v>
      </c>
      <c r="C35" s="129" t="s">
        <v>2131</v>
      </c>
      <c r="D35" s="131" t="s">
        <v>2132</v>
      </c>
      <c r="E35" s="131" t="s">
        <v>2133</v>
      </c>
      <c r="F35" s="131" t="s">
        <v>2134</v>
      </c>
      <c r="G35" s="131" t="s">
        <v>2135</v>
      </c>
      <c r="H35" s="131" t="s">
        <v>2136</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2107</v>
      </c>
      <c r="B36" s="128" t="s">
        <v>2137</v>
      </c>
      <c r="C36" s="129" t="s">
        <v>2138</v>
      </c>
      <c r="D36" s="131" t="s">
        <v>2139</v>
      </c>
      <c r="E36" s="131" t="s">
        <v>2140</v>
      </c>
      <c r="F36" s="131" t="s">
        <v>2141</v>
      </c>
      <c r="G36" s="131" t="s">
        <v>2142</v>
      </c>
      <c r="H36" s="131" t="s">
        <v>2143</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2107</v>
      </c>
      <c r="B37" s="128" t="s">
        <v>2144</v>
      </c>
      <c r="C37" s="129" t="s">
        <v>2145</v>
      </c>
      <c r="D37" s="131" t="s">
        <v>2146</v>
      </c>
      <c r="E37" s="131" t="s">
        <v>2147</v>
      </c>
      <c r="F37" s="131" t="s">
        <v>2148</v>
      </c>
      <c r="G37" s="131" t="s">
        <v>2149</v>
      </c>
      <c r="H37" s="131" t="s">
        <v>2150</v>
      </c>
      <c r="I37" s="133">
        <f>IF(COUNTIF(J37:AW37,"&lt;&gt;")=0,"",SUMPRODUCT(((Recommendations[ImplStatus]="Implemented")+(Recommendations[ImplStatus]="Compensated"))*ISNUMBER(MATCH(Recommendations[Id],J37:AW37,0)))/COUNTIF(J37:AW37,"&lt;&gt;"))</f>
        <v>0</v>
      </c>
      <c r="J37" s="135" t="s">
        <v>44</v>
      </c>
      <c r="K37" s="135" t="s">
        <v>49</v>
      </c>
      <c r="L37" s="135" t="s">
        <v>54</v>
      </c>
      <c r="M37" s="135" t="s">
        <v>58</v>
      </c>
      <c r="N37" s="135" t="s">
        <v>345</v>
      </c>
      <c r="O37" s="135" t="s">
        <v>527</v>
      </c>
      <c r="P37" s="135" t="s">
        <v>532</v>
      </c>
      <c r="Q37" s="135" t="s">
        <v>547</v>
      </c>
      <c r="R37" s="135" t="s">
        <v>620</v>
      </c>
      <c r="S37" s="135" t="s">
        <v>655</v>
      </c>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2107</v>
      </c>
      <c r="B38" s="128" t="s">
        <v>2151</v>
      </c>
      <c r="C38" s="129" t="s">
        <v>2152</v>
      </c>
      <c r="D38" s="131" t="s">
        <v>2153</v>
      </c>
      <c r="E38" s="131" t="s">
        <v>2154</v>
      </c>
      <c r="F38" s="131" t="s">
        <v>2155</v>
      </c>
      <c r="G38" s="131" t="s">
        <v>2156</v>
      </c>
      <c r="H38" s="131" t="s">
        <v>2157</v>
      </c>
      <c r="I38" s="133">
        <f>IF(COUNTIF(J38:AW38,"&lt;&gt;")=0,"",SUMPRODUCT(((Recommendations[ImplStatus]="Implemented")+(Recommendations[ImplStatus]="Compensated"))*ISNUMBER(MATCH(Recommendations[Id],J38:AW38,0)))/COUNTIF(J38:AW38,"&lt;&gt;"))</f>
        <v>0</v>
      </c>
      <c r="J38" s="135" t="s">
        <v>44</v>
      </c>
      <c r="K38" s="135" t="s">
        <v>345</v>
      </c>
      <c r="L38" s="135" t="s">
        <v>527</v>
      </c>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2107</v>
      </c>
      <c r="B39" s="128" t="s">
        <v>2158</v>
      </c>
      <c r="C39" s="129" t="s">
        <v>2159</v>
      </c>
      <c r="D39" s="131" t="s">
        <v>2160</v>
      </c>
      <c r="E39" s="131" t="s">
        <v>2161</v>
      </c>
      <c r="F39" s="131" t="s">
        <v>2162</v>
      </c>
      <c r="G39" s="131" t="s">
        <v>2163</v>
      </c>
      <c r="H39" s="131" t="s">
        <v>2164</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2107</v>
      </c>
      <c r="B40" s="128" t="s">
        <v>2165</v>
      </c>
      <c r="C40" s="129" t="s">
        <v>2166</v>
      </c>
      <c r="D40" s="131" t="s">
        <v>2167</v>
      </c>
      <c r="E40" s="131" t="s">
        <v>2168</v>
      </c>
      <c r="F40" s="131" t="s">
        <v>2169</v>
      </c>
      <c r="G40" s="131" t="s">
        <v>2170</v>
      </c>
      <c r="H40" s="131" t="s">
        <v>2171</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2107</v>
      </c>
      <c r="B41" s="128" t="s">
        <v>2172</v>
      </c>
      <c r="C41" s="129" t="s">
        <v>2173</v>
      </c>
      <c r="D41" s="131" t="s">
        <v>2174</v>
      </c>
      <c r="E41" s="131" t="s">
        <v>2175</v>
      </c>
      <c r="F41" s="131" t="s">
        <v>2176</v>
      </c>
      <c r="G41" s="131" t="s">
        <v>2114</v>
      </c>
      <c r="H41" s="131" t="s">
        <v>2177</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2178</v>
      </c>
      <c r="B42" s="127"/>
      <c r="C42" s="126" t="s">
        <v>2179</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2178</v>
      </c>
      <c r="B43" s="128" t="s">
        <v>2180</v>
      </c>
      <c r="C43" s="129" t="s">
        <v>2181</v>
      </c>
      <c r="D43" s="131" t="s">
        <v>2182</v>
      </c>
      <c r="E43" s="131" t="s">
        <v>2183</v>
      </c>
      <c r="F43" s="131" t="s">
        <v>2184</v>
      </c>
      <c r="G43" s="131" t="s">
        <v>2185</v>
      </c>
      <c r="H43" s="131" t="s">
        <v>2186</v>
      </c>
      <c r="I43" s="133">
        <f>IF(COUNTIF(J43:AW43,"&lt;&gt;")=0,"",SUMPRODUCT(((Recommendations[ImplStatus]="Implemented")+(Recommendations[ImplStatus]="Compensated"))*ISNUMBER(MATCH(Recommendations[Id],J43:AW43,0)))/COUNTIF(J43:AW43,"&lt;&gt;"))</f>
        <v>0</v>
      </c>
      <c r="J43" s="135" t="s">
        <v>517</v>
      </c>
      <c r="K43" s="135" t="s">
        <v>557</v>
      </c>
      <c r="L43" s="135" t="s">
        <v>567</v>
      </c>
      <c r="M43" s="135" t="s">
        <v>572</v>
      </c>
      <c r="N43" s="135" t="s">
        <v>577</v>
      </c>
      <c r="O43" s="135" t="s">
        <v>582</v>
      </c>
      <c r="P43" s="135" t="s">
        <v>587</v>
      </c>
      <c r="Q43" s="135" t="s">
        <v>591</v>
      </c>
      <c r="R43" s="135" t="s">
        <v>595</v>
      </c>
      <c r="S43" s="135" t="s">
        <v>704</v>
      </c>
      <c r="T43" s="135" t="s">
        <v>714</v>
      </c>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2178</v>
      </c>
      <c r="B44" s="128" t="s">
        <v>2187</v>
      </c>
      <c r="C44" s="129" t="s">
        <v>2188</v>
      </c>
      <c r="D44" s="131" t="s">
        <v>2189</v>
      </c>
      <c r="E44" s="131" t="s">
        <v>2190</v>
      </c>
      <c r="F44" s="131" t="s">
        <v>2191</v>
      </c>
      <c r="G44" s="131" t="s">
        <v>2192</v>
      </c>
      <c r="H44" s="131" t="s">
        <v>2193</v>
      </c>
      <c r="I44" s="133">
        <f>IF(COUNTIF(J44:AW44,"&lt;&gt;")=0,"",SUMPRODUCT(((Recommendations[ImplStatus]="Implemented")+(Recommendations[ImplStatus]="Compensated"))*ISNUMBER(MATCH(Recommendations[Id],J44:AW44,0)))/COUNTIF(J44:AW44,"&lt;&gt;"))</f>
        <v>0</v>
      </c>
      <c r="J44" s="135" t="s">
        <v>517</v>
      </c>
      <c r="K44" s="135" t="s">
        <v>704</v>
      </c>
      <c r="L44" s="135" t="s">
        <v>714</v>
      </c>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2178</v>
      </c>
      <c r="B45" s="128" t="s">
        <v>2194</v>
      </c>
      <c r="C45" s="129" t="s">
        <v>2195</v>
      </c>
      <c r="D45" s="131" t="s">
        <v>2196</v>
      </c>
      <c r="E45" s="131" t="s">
        <v>2197</v>
      </c>
      <c r="F45" s="131" t="s">
        <v>2198</v>
      </c>
      <c r="G45" s="131" t="s">
        <v>2199</v>
      </c>
      <c r="H45" s="131" t="s">
        <v>2200</v>
      </c>
      <c r="I45" s="133">
        <f>IF(COUNTIF(J45:AW45,"&lt;&gt;")=0,"",SUMPRODUCT(((Recommendations[ImplStatus]="Implemented")+(Recommendations[ImplStatus]="Compensated"))*ISNUMBER(MATCH(Recommendations[Id],J45:AW45,0)))/COUNTIF(J45:AW45,"&lt;&gt;"))</f>
        <v>0</v>
      </c>
      <c r="J45" s="135" t="s">
        <v>330</v>
      </c>
      <c r="K45" s="135" t="s">
        <v>361</v>
      </c>
      <c r="L45" s="135" t="s">
        <v>391</v>
      </c>
      <c r="M45" s="135" t="s">
        <v>522</v>
      </c>
      <c r="N45" s="135" t="s">
        <v>562</v>
      </c>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2178</v>
      </c>
      <c r="B46" s="128" t="s">
        <v>2201</v>
      </c>
      <c r="C46" s="129" t="s">
        <v>2202</v>
      </c>
      <c r="D46" s="131" t="s">
        <v>2203</v>
      </c>
      <c r="E46" s="131" t="s">
        <v>2204</v>
      </c>
      <c r="F46" s="131" t="s">
        <v>2205</v>
      </c>
      <c r="G46" s="131" t="s">
        <v>2199</v>
      </c>
      <c r="H46" s="131" t="s">
        <v>2206</v>
      </c>
      <c r="I46" s="133">
        <f>IF(COUNTIF(J46:AW46,"&lt;&gt;")=0,"",SUMPRODUCT(((Recommendations[ImplStatus]="Implemented")+(Recommendations[ImplStatus]="Compensated"))*ISNUMBER(MATCH(Recommendations[Id],J46:AW46,0)))/COUNTIF(J46:AW46,"&lt;&gt;"))</f>
        <v>0</v>
      </c>
      <c r="J46" s="135" t="s">
        <v>330</v>
      </c>
      <c r="K46" s="135" t="s">
        <v>361</v>
      </c>
      <c r="L46" s="135" t="s">
        <v>391</v>
      </c>
      <c r="M46" s="135" t="s">
        <v>522</v>
      </c>
      <c r="N46" s="135" t="s">
        <v>562</v>
      </c>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2178</v>
      </c>
      <c r="B47" s="128" t="s">
        <v>2207</v>
      </c>
      <c r="C47" s="129" t="s">
        <v>2208</v>
      </c>
      <c r="D47" s="131" t="s">
        <v>2209</v>
      </c>
      <c r="E47" s="131" t="s">
        <v>2210</v>
      </c>
      <c r="F47" s="131" t="s">
        <v>2211</v>
      </c>
      <c r="G47" s="131" t="s">
        <v>2212</v>
      </c>
      <c r="H47" s="131" t="s">
        <v>2213</v>
      </c>
      <c r="I47" s="133">
        <f>IF(COUNTIF(J47:AW47,"&lt;&gt;")=0,"",SUMPRODUCT(((Recommendations[ImplStatus]="Implemented")+(Recommendations[ImplStatus]="Compensated"))*ISNUMBER(MATCH(Recommendations[Id],J47:AW47,0)))/COUNTIF(J47:AW47,"&lt;&gt;"))</f>
        <v>0</v>
      </c>
      <c r="J47" s="135" t="s">
        <v>447</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2178</v>
      </c>
      <c r="B48" s="128" t="s">
        <v>2214</v>
      </c>
      <c r="C48" s="129" t="s">
        <v>2215</v>
      </c>
      <c r="D48" s="131" t="s">
        <v>2216</v>
      </c>
      <c r="E48" s="131" t="s">
        <v>2217</v>
      </c>
      <c r="F48" s="131" t="s">
        <v>2218</v>
      </c>
      <c r="G48" s="131" t="s">
        <v>2219</v>
      </c>
      <c r="H48" s="131" t="s">
        <v>2220</v>
      </c>
      <c r="I48" s="133" t="str">
        <f>IF(COUNTIF(J48:AW48,"&lt;&gt;")=0,"",SUMPRODUCT(((Recommendations[ImplStatus]="Implemented")+(Recommendations[ImplStatus]="Compensated"))*ISNUMBER(MATCH(Recommendations[Id],J48:AW48,0)))/COUNTIF(J48:AW48,"&lt;&gt;"))</f>
        <v/>
      </c>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2178</v>
      </c>
      <c r="B49" s="128" t="s">
        <v>2221</v>
      </c>
      <c r="C49" s="129" t="s">
        <v>2222</v>
      </c>
      <c r="D49" s="131" t="s">
        <v>2223</v>
      </c>
      <c r="E49" s="131" t="s">
        <v>2224</v>
      </c>
      <c r="F49" s="131" t="s">
        <v>2225</v>
      </c>
      <c r="G49" s="131" t="s">
        <v>1983</v>
      </c>
      <c r="H49" s="131" t="s">
        <v>2226</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2178</v>
      </c>
      <c r="B50" s="128" t="s">
        <v>2227</v>
      </c>
      <c r="C50" s="129" t="s">
        <v>2228</v>
      </c>
      <c r="D50" s="131" t="s">
        <v>2229</v>
      </c>
      <c r="E50" s="131" t="s">
        <v>2230</v>
      </c>
      <c r="F50" s="131" t="s">
        <v>2231</v>
      </c>
      <c r="G50" s="131" t="s">
        <v>2232</v>
      </c>
      <c r="H50" s="131" t="s">
        <v>2233</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2234</v>
      </c>
      <c r="B51" s="127"/>
      <c r="C51" s="126" t="s">
        <v>2235</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2234</v>
      </c>
      <c r="B52" s="128" t="s">
        <v>2236</v>
      </c>
      <c r="C52" s="129" t="s">
        <v>2237</v>
      </c>
      <c r="D52" s="131" t="s">
        <v>2238</v>
      </c>
      <c r="E52" s="131" t="s">
        <v>2239</v>
      </c>
      <c r="F52" s="131" t="s">
        <v>2240</v>
      </c>
      <c r="G52" s="131" t="s">
        <v>2241</v>
      </c>
      <c r="H52" s="131" t="s">
        <v>2242</v>
      </c>
      <c r="I52" s="133">
        <f>IF(COUNTIF(J52:AW52,"&lt;&gt;")=0,"",SUMPRODUCT(((Recommendations[ImplStatus]="Implemented")+(Recommendations[ImplStatus]="Compensated"))*ISNUMBER(MATCH(Recommendations[Id],J52:AW52,0)))/COUNTIF(J52:AW52,"&lt;&gt;"))</f>
        <v>0</v>
      </c>
      <c r="J52" s="135" t="s">
        <v>122</v>
      </c>
      <c r="K52" s="135" t="s">
        <v>127</v>
      </c>
      <c r="L52" s="135" t="s">
        <v>132</v>
      </c>
      <c r="M52" s="135" t="s">
        <v>231</v>
      </c>
      <c r="N52" s="135" t="s">
        <v>236</v>
      </c>
      <c r="O52" s="135" t="s">
        <v>241</v>
      </c>
      <c r="P52" s="135" t="s">
        <v>260</v>
      </c>
      <c r="Q52" s="135" t="s">
        <v>487</v>
      </c>
      <c r="R52" s="135" t="s">
        <v>665</v>
      </c>
      <c r="S52" s="135" t="s">
        <v>670</v>
      </c>
      <c r="T52" s="135" t="s">
        <v>674</v>
      </c>
      <c r="U52" s="135" t="s">
        <v>684</v>
      </c>
      <c r="V52" s="135" t="s">
        <v>719</v>
      </c>
      <c r="W52" s="135" t="s">
        <v>724</v>
      </c>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2234</v>
      </c>
      <c r="B53" s="128" t="s">
        <v>2243</v>
      </c>
      <c r="C53" s="129" t="s">
        <v>2244</v>
      </c>
      <c r="D53" s="131" t="s">
        <v>2245</v>
      </c>
      <c r="E53" s="131" t="s">
        <v>2246</v>
      </c>
      <c r="F53" s="131" t="s">
        <v>2247</v>
      </c>
      <c r="G53" s="131" t="s">
        <v>2248</v>
      </c>
      <c r="H53" s="131" t="s">
        <v>2249</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2234</v>
      </c>
      <c r="B54" s="128" t="s">
        <v>2250</v>
      </c>
      <c r="C54" s="129" t="s">
        <v>2251</v>
      </c>
      <c r="D54" s="131" t="s">
        <v>2252</v>
      </c>
      <c r="E54" s="131" t="s">
        <v>2253</v>
      </c>
      <c r="F54" s="131" t="s">
        <v>2254</v>
      </c>
      <c r="G54" s="131" t="s">
        <v>2255</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2234</v>
      </c>
      <c r="B55" s="128" t="s">
        <v>2256</v>
      </c>
      <c r="C55" s="129" t="s">
        <v>2257</v>
      </c>
      <c r="D55" s="131" t="s">
        <v>2258</v>
      </c>
      <c r="E55" s="131" t="s">
        <v>2259</v>
      </c>
      <c r="F55" s="131" t="s">
        <v>2260</v>
      </c>
      <c r="G55" s="131" t="s">
        <v>2261</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2234</v>
      </c>
      <c r="B56" s="128" t="s">
        <v>2262</v>
      </c>
      <c r="C56" s="129" t="s">
        <v>2263</v>
      </c>
      <c r="D56" s="131" t="s">
        <v>2264</v>
      </c>
      <c r="E56" s="131" t="s">
        <v>2265</v>
      </c>
      <c r="F56" s="131" t="s">
        <v>2266</v>
      </c>
      <c r="G56" s="131" t="s">
        <v>2267</v>
      </c>
      <c r="H56" s="131" t="s">
        <v>2268</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2269</v>
      </c>
      <c r="B57" s="127"/>
      <c r="C57" s="126" t="s">
        <v>2270</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2269</v>
      </c>
      <c r="B58" s="128" t="s">
        <v>2271</v>
      </c>
      <c r="C58" s="129" t="s">
        <v>2272</v>
      </c>
      <c r="D58" s="131" t="s">
        <v>2273</v>
      </c>
      <c r="E58" s="131" t="s">
        <v>2274</v>
      </c>
      <c r="F58" s="131" t="s">
        <v>2275</v>
      </c>
      <c r="G58" s="131" t="s">
        <v>2276</v>
      </c>
      <c r="H58" s="131" t="s">
        <v>2277</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2269</v>
      </c>
      <c r="B59" s="128" t="s">
        <v>2278</v>
      </c>
      <c r="C59" s="129" t="s">
        <v>2279</v>
      </c>
      <c r="D59" s="131" t="s">
        <v>2280</v>
      </c>
      <c r="E59" s="131" t="s">
        <v>2281</v>
      </c>
      <c r="F59" s="131" t="s">
        <v>2282</v>
      </c>
      <c r="G59" s="131" t="s">
        <v>2283</v>
      </c>
      <c r="H59" s="131" t="s">
        <v>2284</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2269</v>
      </c>
      <c r="B60" s="128" t="s">
        <v>2285</v>
      </c>
      <c r="C60" s="129" t="s">
        <v>2286</v>
      </c>
      <c r="D60" s="131" t="s">
        <v>2287</v>
      </c>
      <c r="E60" s="131" t="s">
        <v>2288</v>
      </c>
      <c r="F60" s="131" t="s">
        <v>2289</v>
      </c>
      <c r="G60" s="131" t="s">
        <v>2290</v>
      </c>
      <c r="H60" s="131" t="s">
        <v>2291</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2292</v>
      </c>
      <c r="B61" s="127"/>
      <c r="C61" s="126" t="s">
        <v>2293</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2292</v>
      </c>
      <c r="B62" s="128" t="s">
        <v>2294</v>
      </c>
      <c r="C62" s="129" t="s">
        <v>2295</v>
      </c>
      <c r="D62" s="131" t="s">
        <v>2296</v>
      </c>
      <c r="E62" s="131" t="s">
        <v>2297</v>
      </c>
      <c r="F62" s="131" t="s">
        <v>2298</v>
      </c>
      <c r="G62" s="131" t="s">
        <v>2299</v>
      </c>
      <c r="H62" s="131" t="s">
        <v>2300</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2292</v>
      </c>
      <c r="B63" s="128" t="s">
        <v>2301</v>
      </c>
      <c r="C63" s="129" t="s">
        <v>2302</v>
      </c>
      <c r="D63" s="131" t="s">
        <v>2303</v>
      </c>
      <c r="E63" s="131" t="s">
        <v>2304</v>
      </c>
      <c r="F63" s="131" t="s">
        <v>2305</v>
      </c>
      <c r="G63" s="131" t="s">
        <v>2306</v>
      </c>
      <c r="H63" s="131" t="s">
        <v>2307</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2292</v>
      </c>
      <c r="B64" s="128" t="s">
        <v>2308</v>
      </c>
      <c r="C64" s="129" t="s">
        <v>2309</v>
      </c>
      <c r="D64" s="131" t="s">
        <v>2310</v>
      </c>
      <c r="E64" s="131" t="s">
        <v>2311</v>
      </c>
      <c r="F64" s="131" t="s">
        <v>2312</v>
      </c>
      <c r="G64" s="131" t="s">
        <v>2313</v>
      </c>
      <c r="H64" s="131" t="s">
        <v>2314</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2292</v>
      </c>
      <c r="B65" s="128" t="s">
        <v>2315</v>
      </c>
      <c r="C65" s="129" t="s">
        <v>2316</v>
      </c>
      <c r="D65" s="131" t="s">
        <v>2317</v>
      </c>
      <c r="E65" s="131" t="s">
        <v>2318</v>
      </c>
      <c r="F65" s="131" t="s">
        <v>2319</v>
      </c>
      <c r="G65" s="131" t="s">
        <v>2320</v>
      </c>
      <c r="H65" s="131" t="s">
        <v>2321</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2292</v>
      </c>
      <c r="B66" s="128" t="s">
        <v>2322</v>
      </c>
      <c r="C66" s="129" t="s">
        <v>2323</v>
      </c>
      <c r="D66" s="131" t="s">
        <v>2324</v>
      </c>
      <c r="E66" s="131" t="s">
        <v>2325</v>
      </c>
      <c r="F66" s="131" t="s">
        <v>2326</v>
      </c>
      <c r="G66" s="131" t="s">
        <v>2327</v>
      </c>
      <c r="H66" s="131" t="s">
        <v>2328</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2292</v>
      </c>
      <c r="B67" s="128" t="s">
        <v>2329</v>
      </c>
      <c r="C67" s="129" t="s">
        <v>2330</v>
      </c>
      <c r="D67" s="131" t="s">
        <v>2331</v>
      </c>
      <c r="E67" s="131" t="s">
        <v>2332</v>
      </c>
      <c r="F67" s="131" t="s">
        <v>2333</v>
      </c>
      <c r="G67" s="131" t="s">
        <v>2334</v>
      </c>
      <c r="H67" s="131" t="s">
        <v>2335</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2292</v>
      </c>
      <c r="B68" s="128" t="s">
        <v>2336</v>
      </c>
      <c r="C68" s="129" t="s">
        <v>2337</v>
      </c>
      <c r="D68" s="131" t="s">
        <v>2338</v>
      </c>
      <c r="E68" s="131" t="s">
        <v>2339</v>
      </c>
      <c r="F68" s="131" t="s">
        <v>2340</v>
      </c>
      <c r="G68" s="131" t="s">
        <v>2341</v>
      </c>
      <c r="H68" s="131" t="s">
        <v>2342</v>
      </c>
      <c r="I68" s="133">
        <f>IF(COUNTIF(J68:AW68,"&lt;&gt;")=0,"",SUMPRODUCT(((Recommendations[ImplStatus]="Implemented")+(Recommendations[ImplStatus]="Compensated"))*ISNUMBER(MATCH(Recommendations[Id],J68:AW68,0)))/COUNTIF(J68:AW68,"&lt;&gt;"))</f>
        <v>0</v>
      </c>
      <c r="J68" s="135" t="s">
        <v>507</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2343</v>
      </c>
      <c r="B69" s="127"/>
      <c r="C69" s="126" t="s">
        <v>2344</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2343</v>
      </c>
      <c r="B70" s="128" t="s">
        <v>2345</v>
      </c>
      <c r="C70" s="129" t="s">
        <v>2346</v>
      </c>
      <c r="D70" s="131" t="s">
        <v>2347</v>
      </c>
      <c r="E70" s="131" t="s">
        <v>2348</v>
      </c>
      <c r="F70" s="131" t="s">
        <v>2349</v>
      </c>
      <c r="G70" s="131" t="s">
        <v>2350</v>
      </c>
      <c r="H70" s="131" t="s">
        <v>2351</v>
      </c>
      <c r="I70" s="133">
        <f>IF(COUNTIF(J70:AW70,"&lt;&gt;")=0,"",SUMPRODUCT(((Recommendations[ImplStatus]="Implemented")+(Recommendations[ImplStatus]="Compensated"))*ISNUMBER(MATCH(Recommendations[Id],J70:AW70,0)))/COUNTIF(J70:AW70,"&lt;&gt;"))</f>
        <v>0</v>
      </c>
      <c r="J70" s="135" t="s">
        <v>452</v>
      </c>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2343</v>
      </c>
      <c r="B71" s="128" t="s">
        <v>2352</v>
      </c>
      <c r="C71" s="129" t="s">
        <v>2353</v>
      </c>
      <c r="D71" s="131" t="s">
        <v>2354</v>
      </c>
      <c r="E71" s="131" t="s">
        <v>2355</v>
      </c>
      <c r="F71" s="131" t="s">
        <v>2356</v>
      </c>
      <c r="G71" s="131" t="s">
        <v>2357</v>
      </c>
      <c r="H71" s="131" t="s">
        <v>2358</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2359</v>
      </c>
      <c r="B72" s="127"/>
      <c r="C72" s="126" t="s">
        <v>2360</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2359</v>
      </c>
      <c r="B73" s="128" t="s">
        <v>2361</v>
      </c>
      <c r="C73" s="129" t="s">
        <v>2362</v>
      </c>
      <c r="D73" s="131" t="s">
        <v>2363</v>
      </c>
      <c r="E73" s="131" t="s">
        <v>2364</v>
      </c>
      <c r="F73" s="131" t="s">
        <v>2365</v>
      </c>
      <c r="G73" s="131" t="s">
        <v>2366</v>
      </c>
      <c r="H73" s="131" t="s">
        <v>2367</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2359</v>
      </c>
      <c r="B74" s="128" t="s">
        <v>2368</v>
      </c>
      <c r="C74" s="129" t="s">
        <v>2369</v>
      </c>
      <c r="D74" s="131" t="s">
        <v>2370</v>
      </c>
      <c r="E74" s="131" t="s">
        <v>2371</v>
      </c>
      <c r="F74" s="131" t="s">
        <v>2372</v>
      </c>
      <c r="G74" s="131" t="s">
        <v>2373</v>
      </c>
      <c r="H74" s="131" t="s">
        <v>2374</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2359</v>
      </c>
      <c r="B75" s="128" t="s">
        <v>2375</v>
      </c>
      <c r="C75" s="129" t="s">
        <v>2376</v>
      </c>
      <c r="D75" s="131" t="s">
        <v>2377</v>
      </c>
      <c r="E75" s="131" t="s">
        <v>2378</v>
      </c>
      <c r="F75" s="131" t="s">
        <v>2379</v>
      </c>
      <c r="G75" s="131" t="s">
        <v>2380</v>
      </c>
      <c r="H75" s="131" t="s">
        <v>2381</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2359</v>
      </c>
      <c r="B76" s="128" t="s">
        <v>2382</v>
      </c>
      <c r="C76" s="129" t="s">
        <v>2383</v>
      </c>
      <c r="D76" s="131" t="s">
        <v>2384</v>
      </c>
      <c r="E76" s="131" t="s">
        <v>2385</v>
      </c>
      <c r="F76" s="131" t="s">
        <v>2386</v>
      </c>
      <c r="G76" s="131" t="s">
        <v>2387</v>
      </c>
      <c r="H76" s="131" t="s">
        <v>2388</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2359</v>
      </c>
      <c r="B77" s="128" t="s">
        <v>2389</v>
      </c>
      <c r="C77" s="129" t="s">
        <v>2390</v>
      </c>
      <c r="D77" s="131" t="s">
        <v>2391</v>
      </c>
      <c r="E77" s="131" t="s">
        <v>2392</v>
      </c>
      <c r="F77" s="131" t="s">
        <v>2393</v>
      </c>
      <c r="G77" s="131" t="s">
        <v>2387</v>
      </c>
      <c r="H77" s="131" t="s">
        <v>2394</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2395</v>
      </c>
      <c r="B78" s="127"/>
      <c r="C78" s="126" t="s">
        <v>2396</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2395</v>
      </c>
      <c r="B79" s="128" t="s">
        <v>2395</v>
      </c>
      <c r="C79" s="129" t="s">
        <v>2397</v>
      </c>
      <c r="D79" s="131" t="s">
        <v>2398</v>
      </c>
      <c r="E79" s="131" t="s">
        <v>2399</v>
      </c>
      <c r="F79" s="131" t="s">
        <v>2400</v>
      </c>
      <c r="G79" s="131" t="s">
        <v>2401</v>
      </c>
      <c r="H79" s="131" t="s">
        <v>2402</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2395</v>
      </c>
      <c r="B80" s="128" t="s">
        <v>2403</v>
      </c>
      <c r="C80" s="129" t="s">
        <v>2404</v>
      </c>
      <c r="D80" s="131" t="s">
        <v>2405</v>
      </c>
      <c r="E80" s="131" t="s">
        <v>2406</v>
      </c>
      <c r="F80" s="131" t="s">
        <v>2407</v>
      </c>
      <c r="G80" s="131" t="s">
        <v>2408</v>
      </c>
      <c r="H80" s="131" t="s">
        <v>2409</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2395</v>
      </c>
      <c r="B81" s="128" t="s">
        <v>2410</v>
      </c>
      <c r="C81" s="129" t="s">
        <v>2411</v>
      </c>
      <c r="D81" s="131" t="s">
        <v>2412</v>
      </c>
      <c r="E81" s="131" t="s">
        <v>2413</v>
      </c>
      <c r="F81" s="131" t="s">
        <v>2414</v>
      </c>
      <c r="G81" s="131" t="s">
        <v>2415</v>
      </c>
      <c r="H81" s="131" t="s">
        <v>2416</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2417</v>
      </c>
      <c r="B82" s="127"/>
      <c r="C82" s="126" t="s">
        <v>2418</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2417</v>
      </c>
      <c r="B83" s="128" t="s">
        <v>2419</v>
      </c>
      <c r="C83" s="129" t="s">
        <v>2420</v>
      </c>
      <c r="D83" s="131" t="s">
        <v>2421</v>
      </c>
      <c r="E83" s="131" t="s">
        <v>2422</v>
      </c>
      <c r="F83" s="131" t="s">
        <v>2423</v>
      </c>
      <c r="G83" s="131" t="s">
        <v>2424</v>
      </c>
      <c r="H83" s="131" t="s">
        <v>2425</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2417</v>
      </c>
      <c r="B84" s="128" t="s">
        <v>2426</v>
      </c>
      <c r="C84" s="129" t="s">
        <v>2427</v>
      </c>
      <c r="D84" s="131" t="s">
        <v>2428</v>
      </c>
      <c r="E84" s="131" t="s">
        <v>2429</v>
      </c>
      <c r="F84" s="131" t="s">
        <v>2430</v>
      </c>
      <c r="G84" s="131" t="s">
        <v>2431</v>
      </c>
      <c r="H84" s="131" t="s">
        <v>2432</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2417</v>
      </c>
      <c r="B85" s="128" t="s">
        <v>2433</v>
      </c>
      <c r="C85" s="129" t="s">
        <v>2434</v>
      </c>
      <c r="D85" s="131" t="s">
        <v>2435</v>
      </c>
      <c r="E85" s="131" t="s">
        <v>2436</v>
      </c>
      <c r="F85" s="131" t="s">
        <v>2437</v>
      </c>
      <c r="G85" s="131" t="s">
        <v>2438</v>
      </c>
      <c r="H85" s="131" t="s">
        <v>2439</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2417</v>
      </c>
      <c r="B86" s="128" t="s">
        <v>2440</v>
      </c>
      <c r="C86" s="129" t="s">
        <v>2441</v>
      </c>
      <c r="D86" s="131" t="s">
        <v>2442</v>
      </c>
      <c r="E86" s="131" t="s">
        <v>2443</v>
      </c>
      <c r="F86" s="131" t="s">
        <v>2444</v>
      </c>
      <c r="G86" s="131" t="s">
        <v>2445</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2446</v>
      </c>
      <c r="B87" s="127"/>
      <c r="C87" s="126" t="s">
        <v>2447</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2446</v>
      </c>
      <c r="B88" s="128" t="s">
        <v>2448</v>
      </c>
      <c r="C88" s="129" t="s">
        <v>2449</v>
      </c>
      <c r="D88" s="131" t="s">
        <v>2450</v>
      </c>
      <c r="E88" s="131" t="s">
        <v>2451</v>
      </c>
      <c r="F88" s="131" t="s">
        <v>2452</v>
      </c>
      <c r="G88" s="131" t="s">
        <v>2453</v>
      </c>
      <c r="H88" s="131" t="s">
        <v>2454</v>
      </c>
      <c r="I88" s="133">
        <f>IF(COUNTIF(J88:AW88,"&lt;&gt;")=0,"",SUMPRODUCT(((Recommendations[ImplStatus]="Implemented")+(Recommendations[ImplStatus]="Compensated"))*ISNUMBER(MATCH(Recommendations[Id],J88:AW88,0)))/COUNTIF(J88:AW88,"&lt;&gt;"))</f>
        <v>0</v>
      </c>
      <c r="J88" s="135" t="s">
        <v>92</v>
      </c>
      <c r="K88" s="135" t="s">
        <v>97</v>
      </c>
      <c r="L88" s="135" t="s">
        <v>102</v>
      </c>
      <c r="M88" s="135" t="s">
        <v>107</v>
      </c>
      <c r="N88" s="135" t="s">
        <v>356</v>
      </c>
      <c r="O88" s="135" t="s">
        <v>366</v>
      </c>
      <c r="P88" s="135" t="s">
        <v>396</v>
      </c>
      <c r="Q88" s="135" t="s">
        <v>502</v>
      </c>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2446</v>
      </c>
      <c r="B89" s="128" t="s">
        <v>2455</v>
      </c>
      <c r="C89" s="129" t="s">
        <v>2456</v>
      </c>
      <c r="D89" s="131" t="s">
        <v>2457</v>
      </c>
      <c r="E89" s="131" t="s">
        <v>2458</v>
      </c>
      <c r="F89" s="131" t="s">
        <v>2459</v>
      </c>
      <c r="G89" s="131" t="s">
        <v>1983</v>
      </c>
      <c r="H89" s="131" t="s">
        <v>2460</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2446</v>
      </c>
      <c r="B90" s="128" t="s">
        <v>2461</v>
      </c>
      <c r="C90" s="129" t="s">
        <v>2462</v>
      </c>
      <c r="D90" s="131" t="s">
        <v>2463</v>
      </c>
      <c r="E90" s="131" t="s">
        <v>2464</v>
      </c>
      <c r="F90" s="131" t="s">
        <v>2465</v>
      </c>
      <c r="G90" s="131" t="s">
        <v>2453</v>
      </c>
      <c r="H90" s="131" t="s">
        <v>2466</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2446</v>
      </c>
      <c r="B91" s="128" t="s">
        <v>2467</v>
      </c>
      <c r="C91" s="129" t="s">
        <v>2468</v>
      </c>
      <c r="D91" s="131" t="s">
        <v>2469</v>
      </c>
      <c r="E91" s="131" t="s">
        <v>2470</v>
      </c>
      <c r="F91" s="131" t="s">
        <v>2471</v>
      </c>
      <c r="G91" s="131" t="s">
        <v>1983</v>
      </c>
      <c r="H91" s="131" t="s">
        <v>2472</v>
      </c>
      <c r="I91" s="133">
        <f>IF(COUNTIF(J91:AW91,"&lt;&gt;")=0,"",SUMPRODUCT(((Recommendations[ImplStatus]="Implemented")+(Recommendations[ImplStatus]="Compensated"))*ISNUMBER(MATCH(Recommendations[Id],J91:AW91,0)))/COUNTIF(J91:AW91,"&lt;&gt;"))</f>
        <v>0</v>
      </c>
      <c r="J91" s="135" t="s">
        <v>281</v>
      </c>
      <c r="K91" s="135" t="s">
        <v>286</v>
      </c>
      <c r="L91" s="135" t="s">
        <v>296</v>
      </c>
      <c r="M91" s="135" t="s">
        <v>301</v>
      </c>
      <c r="N91" s="135" t="s">
        <v>306</v>
      </c>
      <c r="O91" s="135" t="s">
        <v>311</v>
      </c>
      <c r="P91" s="135" t="s">
        <v>321</v>
      </c>
      <c r="Q91" s="135" t="s">
        <v>330</v>
      </c>
      <c r="R91" s="135" t="s">
        <v>335</v>
      </c>
      <c r="S91" s="135" t="s">
        <v>340</v>
      </c>
      <c r="T91" s="135" t="s">
        <v>348</v>
      </c>
      <c r="U91" s="135" t="s">
        <v>361</v>
      </c>
      <c r="V91" s="135" t="s">
        <v>376</v>
      </c>
      <c r="W91" s="135" t="s">
        <v>381</v>
      </c>
      <c r="X91" s="135" t="s">
        <v>386</v>
      </c>
      <c r="Y91" s="135" t="s">
        <v>391</v>
      </c>
      <c r="Z91" s="135" t="s">
        <v>406</v>
      </c>
      <c r="AA91" s="135" t="s">
        <v>537</v>
      </c>
      <c r="AB91" s="135" t="s">
        <v>600</v>
      </c>
      <c r="AC91" s="135" t="s">
        <v>605</v>
      </c>
      <c r="AD91" s="135" t="s">
        <v>610</v>
      </c>
      <c r="AE91" s="135" t="s">
        <v>615</v>
      </c>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2446</v>
      </c>
      <c r="B92" s="128" t="s">
        <v>2473</v>
      </c>
      <c r="C92" s="129" t="s">
        <v>2474</v>
      </c>
      <c r="D92" s="131" t="s">
        <v>2475</v>
      </c>
      <c r="E92" s="131" t="s">
        <v>2476</v>
      </c>
      <c r="F92" s="131" t="s">
        <v>2477</v>
      </c>
      <c r="G92" s="131" t="s">
        <v>1983</v>
      </c>
      <c r="H92" s="131" t="s">
        <v>2478</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2446</v>
      </c>
      <c r="B93" s="128" t="s">
        <v>2479</v>
      </c>
      <c r="C93" s="129" t="s">
        <v>2480</v>
      </c>
      <c r="D93" s="131" t="s">
        <v>2481</v>
      </c>
      <c r="E93" s="131" t="s">
        <v>2482</v>
      </c>
      <c r="F93" s="131" t="s">
        <v>2483</v>
      </c>
      <c r="G93" s="131" t="s">
        <v>2484</v>
      </c>
      <c r="H93" s="131" t="s">
        <v>2485</v>
      </c>
      <c r="I93" s="133">
        <f>IF(COUNTIF(J93:AW93,"&lt;&gt;")=0,"",SUMPRODUCT(((Recommendations[ImplStatus]="Implemented")+(Recommendations[ImplStatus]="Compensated"))*ISNUMBER(MATCH(Recommendations[Id],J93:AW93,0)))/COUNTIF(J93:AW93,"&lt;&gt;"))</f>
        <v>0</v>
      </c>
      <c r="J93" s="135" t="s">
        <v>281</v>
      </c>
      <c r="K93" s="135" t="s">
        <v>286</v>
      </c>
      <c r="L93" s="135" t="s">
        <v>296</v>
      </c>
      <c r="M93" s="135" t="s">
        <v>301</v>
      </c>
      <c r="N93" s="135" t="s">
        <v>306</v>
      </c>
      <c r="O93" s="135" t="s">
        <v>311</v>
      </c>
      <c r="P93" s="135" t="s">
        <v>321</v>
      </c>
      <c r="Q93" s="135" t="s">
        <v>335</v>
      </c>
      <c r="R93" s="135" t="s">
        <v>340</v>
      </c>
      <c r="S93" s="135" t="s">
        <v>348</v>
      </c>
      <c r="T93" s="135" t="s">
        <v>376</v>
      </c>
      <c r="U93" s="135" t="s">
        <v>381</v>
      </c>
      <c r="V93" s="135" t="s">
        <v>386</v>
      </c>
      <c r="W93" s="135" t="s">
        <v>605</v>
      </c>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2446</v>
      </c>
      <c r="B94" s="128" t="s">
        <v>2486</v>
      </c>
      <c r="C94" s="129" t="s">
        <v>2487</v>
      </c>
      <c r="D94" s="131" t="s">
        <v>2488</v>
      </c>
      <c r="E94" s="131" t="s">
        <v>2489</v>
      </c>
      <c r="F94" s="131" t="s">
        <v>2490</v>
      </c>
      <c r="G94" s="131" t="s">
        <v>2491</v>
      </c>
      <c r="H94" s="131" t="s">
        <v>2492</v>
      </c>
      <c r="I94" s="133">
        <f>IF(COUNTIF(J94:AW94,"&lt;&gt;")=0,"",SUMPRODUCT(((Recommendations[ImplStatus]="Implemented")+(Recommendations[ImplStatus]="Compensated"))*ISNUMBER(MATCH(Recommendations[Id],J94:AW94,0)))/COUNTIF(J94:AW94,"&lt;&gt;"))</f>
        <v>0</v>
      </c>
      <c r="J94" s="135" t="s">
        <v>381</v>
      </c>
      <c r="K94" s="135" t="s">
        <v>605</v>
      </c>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2446</v>
      </c>
      <c r="B95" s="128" t="s">
        <v>2493</v>
      </c>
      <c r="C95" s="129" t="s">
        <v>2494</v>
      </c>
      <c r="D95" s="131" t="s">
        <v>2495</v>
      </c>
      <c r="E95" s="131" t="s">
        <v>2496</v>
      </c>
      <c r="F95" s="131" t="s">
        <v>2497</v>
      </c>
      <c r="G95" s="131" t="s">
        <v>2498</v>
      </c>
      <c r="H95" s="131" t="s">
        <v>2499</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2446</v>
      </c>
      <c r="B96" s="128" t="s">
        <v>2500</v>
      </c>
      <c r="C96" s="129" t="s">
        <v>2501</v>
      </c>
      <c r="D96" s="131" t="s">
        <v>2502</v>
      </c>
      <c r="E96" s="131" t="s">
        <v>2503</v>
      </c>
      <c r="F96" s="131" t="s">
        <v>2504</v>
      </c>
      <c r="G96" s="131" t="s">
        <v>2505</v>
      </c>
      <c r="H96" s="131" t="s">
        <v>2506</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2446</v>
      </c>
      <c r="B97" s="128" t="s">
        <v>2507</v>
      </c>
      <c r="C97" s="129" t="s">
        <v>2508</v>
      </c>
      <c r="D97" s="131" t="s">
        <v>2509</v>
      </c>
      <c r="E97" s="131" t="s">
        <v>2510</v>
      </c>
      <c r="F97" s="131" t="s">
        <v>2511</v>
      </c>
      <c r="G97" s="131" t="s">
        <v>2512</v>
      </c>
      <c r="H97" s="131" t="s">
        <v>2513</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2514</v>
      </c>
      <c r="B98" s="127"/>
      <c r="C98" s="126" t="s">
        <v>2515</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2514</v>
      </c>
      <c r="B99" s="128" t="s">
        <v>2516</v>
      </c>
      <c r="C99" s="129" t="s">
        <v>2517</v>
      </c>
      <c r="D99" s="131" t="s">
        <v>2518</v>
      </c>
      <c r="E99" s="131" t="s">
        <v>2519</v>
      </c>
      <c r="F99" s="131" t="s">
        <v>2520</v>
      </c>
      <c r="G99" s="131" t="s">
        <v>2521</v>
      </c>
      <c r="H99" s="131" t="s">
        <v>2522</v>
      </c>
      <c r="I99" s="133">
        <f>IF(COUNTIF(J99:AW99,"&lt;&gt;")=0,"",SUMPRODUCT(((Recommendations[ImplStatus]="Implemented")+(Recommendations[ImplStatus]="Compensated"))*ISNUMBER(MATCH(Recommendations[Id],J99:AW99,0)))/COUNTIF(J99:AW99,"&lt;&gt;"))</f>
        <v>0</v>
      </c>
      <c r="J99" s="135" t="s">
        <v>650</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2514</v>
      </c>
      <c r="B100" s="128" t="s">
        <v>2523</v>
      </c>
      <c r="C100" s="129" t="s">
        <v>2524</v>
      </c>
      <c r="D100" s="131" t="s">
        <v>2525</v>
      </c>
      <c r="E100" s="131" t="s">
        <v>2526</v>
      </c>
      <c r="F100" s="131" t="s">
        <v>2527</v>
      </c>
      <c r="G100" s="131" t="s">
        <v>2528</v>
      </c>
      <c r="H100" s="131" t="s">
        <v>2529</v>
      </c>
      <c r="I100" s="133">
        <f>IF(COUNTIF(J100:AW100,"&lt;&gt;")=0,"",SUMPRODUCT(((Recommendations[ImplStatus]="Implemented")+(Recommendations[ImplStatus]="Compensated"))*ISNUMBER(MATCH(Recommendations[Id],J100:AW100,0)))/COUNTIF(J100:AW100,"&lt;&gt;"))</f>
        <v>0</v>
      </c>
      <c r="J100" s="135" t="s">
        <v>72</v>
      </c>
      <c r="K100" s="135" t="s">
        <v>78</v>
      </c>
      <c r="L100" s="135" t="s">
        <v>83</v>
      </c>
      <c r="M100" s="135" t="s">
        <v>87</v>
      </c>
      <c r="N100" s="135" t="s">
        <v>112</v>
      </c>
      <c r="O100" s="135" t="s">
        <v>117</v>
      </c>
      <c r="P100" s="135" t="s">
        <v>132</v>
      </c>
      <c r="Q100" s="135" t="s">
        <v>143</v>
      </c>
      <c r="R100" s="135" t="s">
        <v>148</v>
      </c>
      <c r="S100" s="135" t="s">
        <v>158</v>
      </c>
      <c r="T100" s="135" t="s">
        <v>163</v>
      </c>
      <c r="U100" s="135" t="s">
        <v>168</v>
      </c>
      <c r="V100" s="135" t="s">
        <v>173</v>
      </c>
      <c r="W100" s="135" t="s">
        <v>178</v>
      </c>
      <c r="X100" s="135" t="s">
        <v>183</v>
      </c>
      <c r="Y100" s="135" t="s">
        <v>188</v>
      </c>
      <c r="Z100" s="135" t="s">
        <v>193</v>
      </c>
      <c r="AA100" s="135" t="s">
        <v>197</v>
      </c>
      <c r="AB100" s="135" t="s">
        <v>202</v>
      </c>
      <c r="AC100" s="135" t="s">
        <v>207</v>
      </c>
      <c r="AD100" s="135" t="s">
        <v>212</v>
      </c>
      <c r="AE100" s="135" t="s">
        <v>217</v>
      </c>
      <c r="AF100" s="135" t="s">
        <v>222</v>
      </c>
      <c r="AG100" s="135" t="s">
        <v>226</v>
      </c>
      <c r="AH100" s="135" t="s">
        <v>231</v>
      </c>
      <c r="AI100" s="135" t="s">
        <v>236</v>
      </c>
      <c r="AJ100" s="135" t="s">
        <v>241</v>
      </c>
      <c r="AK100" s="135" t="s">
        <v>245</v>
      </c>
      <c r="AL100" s="135" t="s">
        <v>250</v>
      </c>
      <c r="AM100" s="135" t="s">
        <v>255</v>
      </c>
      <c r="AN100" s="135" t="s">
        <v>260</v>
      </c>
      <c r="AO100" s="135" t="s">
        <v>265</v>
      </c>
      <c r="AP100" s="135" t="s">
        <v>270</v>
      </c>
      <c r="AQ100" s="135" t="s">
        <v>291</v>
      </c>
      <c r="AR100" s="135" t="s">
        <v>326</v>
      </c>
      <c r="AS100" s="135" t="s">
        <v>635</v>
      </c>
      <c r="AT100" s="135" t="s">
        <v>645</v>
      </c>
      <c r="AU100" s="135"/>
      <c r="AV100" s="135"/>
      <c r="AW100" s="145"/>
    </row>
    <row r="101" spans="1:49" ht="60" customHeight="1" x14ac:dyDescent="0.35">
      <c r="A101" s="142" t="s">
        <v>2514</v>
      </c>
      <c r="B101" s="128" t="s">
        <v>2530</v>
      </c>
      <c r="C101" s="129" t="s">
        <v>2531</v>
      </c>
      <c r="D101" s="131" t="s">
        <v>2532</v>
      </c>
      <c r="E101" s="131" t="s">
        <v>2533</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2514</v>
      </c>
      <c r="B102" s="128" t="s">
        <v>2534</v>
      </c>
      <c r="C102" s="129" t="s">
        <v>2535</v>
      </c>
      <c r="D102" s="131" t="s">
        <v>2536</v>
      </c>
      <c r="E102" s="131" t="s">
        <v>2537</v>
      </c>
      <c r="F102" s="131" t="s">
        <v>2538</v>
      </c>
      <c r="G102" s="131" t="s">
        <v>2539</v>
      </c>
      <c r="H102" s="131" t="s">
        <v>2540</v>
      </c>
      <c r="I102" s="133">
        <f>IF(COUNTIF(J102:AW102,"&lt;&gt;")=0,"",SUMPRODUCT(((Recommendations[ImplStatus]="Implemented")+(Recommendations[ImplStatus]="Compensated"))*ISNUMBER(MATCH(Recommendations[Id],J102:AW102,0)))/COUNTIF(J102:AW102,"&lt;&gt;"))</f>
        <v>0</v>
      </c>
      <c r="J102" s="135" t="s">
        <v>112</v>
      </c>
      <c r="K102" s="135" t="s">
        <v>117</v>
      </c>
      <c r="L102" s="135" t="s">
        <v>137</v>
      </c>
      <c r="M102" s="135" t="s">
        <v>143</v>
      </c>
      <c r="N102" s="135" t="s">
        <v>148</v>
      </c>
      <c r="O102" s="135" t="s">
        <v>153</v>
      </c>
      <c r="P102" s="135" t="s">
        <v>173</v>
      </c>
      <c r="Q102" s="135" t="s">
        <v>178</v>
      </c>
      <c r="R102" s="135" t="s">
        <v>183</v>
      </c>
      <c r="S102" s="135" t="s">
        <v>188</v>
      </c>
      <c r="T102" s="135" t="s">
        <v>193</v>
      </c>
      <c r="U102" s="135" t="s">
        <v>197</v>
      </c>
      <c r="V102" s="135" t="s">
        <v>202</v>
      </c>
      <c r="W102" s="135" t="s">
        <v>207</v>
      </c>
      <c r="X102" s="135" t="s">
        <v>212</v>
      </c>
      <c r="Y102" s="135" t="s">
        <v>245</v>
      </c>
      <c r="Z102" s="135" t="s">
        <v>250</v>
      </c>
      <c r="AA102" s="135" t="s">
        <v>255</v>
      </c>
      <c r="AB102" s="135" t="s">
        <v>265</v>
      </c>
      <c r="AC102" s="135" t="s">
        <v>270</v>
      </c>
      <c r="AD102" s="135" t="s">
        <v>291</v>
      </c>
      <c r="AE102" s="135" t="s">
        <v>326</v>
      </c>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2514</v>
      </c>
      <c r="B103" s="128" t="s">
        <v>2541</v>
      </c>
      <c r="C103" s="129" t="s">
        <v>2542</v>
      </c>
      <c r="D103" s="131" t="s">
        <v>2543</v>
      </c>
      <c r="E103" s="131" t="s">
        <v>2544</v>
      </c>
      <c r="F103" s="131" t="s">
        <v>2545</v>
      </c>
      <c r="G103" s="131" t="s">
        <v>2546</v>
      </c>
      <c r="H103" s="131" t="s">
        <v>2547</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2548</v>
      </c>
      <c r="B104" s="127"/>
      <c r="C104" s="126" t="s">
        <v>2549</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2548</v>
      </c>
      <c r="B105" s="128" t="s">
        <v>2550</v>
      </c>
      <c r="C105" s="129" t="s">
        <v>2551</v>
      </c>
      <c r="D105" s="131" t="s">
        <v>2552</v>
      </c>
      <c r="E105" s="131" t="s">
        <v>2553</v>
      </c>
      <c r="F105" s="131" t="s">
        <v>2554</v>
      </c>
      <c r="G105" s="131" t="s">
        <v>2555</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2548</v>
      </c>
      <c r="B106" s="128" t="s">
        <v>2556</v>
      </c>
      <c r="C106" s="129" t="s">
        <v>2557</v>
      </c>
      <c r="D106" s="131" t="s">
        <v>2558</v>
      </c>
      <c r="E106" s="131" t="s">
        <v>2559</v>
      </c>
      <c r="F106" s="131" t="s">
        <v>2560</v>
      </c>
      <c r="G106" s="131" t="s">
        <v>2561</v>
      </c>
      <c r="H106" s="131" t="s">
        <v>2562</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2548</v>
      </c>
      <c r="B107" s="128" t="s">
        <v>2563</v>
      </c>
      <c r="C107" s="129" t="s">
        <v>2564</v>
      </c>
      <c r="D107" s="131" t="s">
        <v>2565</v>
      </c>
      <c r="E107" s="131" t="s">
        <v>2566</v>
      </c>
      <c r="F107" s="131" t="s">
        <v>2567</v>
      </c>
      <c r="G107" s="131" t="s">
        <v>2568</v>
      </c>
      <c r="H107" s="131" t="s">
        <v>2569</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2570</v>
      </c>
      <c r="B108" s="127"/>
      <c r="C108" s="126" t="s">
        <v>2571</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2570</v>
      </c>
      <c r="B109" s="128" t="s">
        <v>2572</v>
      </c>
      <c r="C109" s="129" t="s">
        <v>2573</v>
      </c>
      <c r="D109" s="131" t="s">
        <v>2574</v>
      </c>
      <c r="E109" s="131" t="s">
        <v>2575</v>
      </c>
      <c r="F109" s="131" t="s">
        <v>2576</v>
      </c>
      <c r="G109" s="131" t="s">
        <v>2577</v>
      </c>
      <c r="H109" s="131" t="s">
        <v>2578</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2570</v>
      </c>
      <c r="B110" s="128" t="s">
        <v>2579</v>
      </c>
      <c r="C110" s="129" t="s">
        <v>2580</v>
      </c>
      <c r="D110" s="131" t="s">
        <v>2581</v>
      </c>
      <c r="E110" s="131" t="s">
        <v>2582</v>
      </c>
      <c r="F110" s="131" t="s">
        <v>2583</v>
      </c>
      <c r="G110" s="131" t="s">
        <v>2584</v>
      </c>
      <c r="H110" s="131" t="s">
        <v>2585</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2570</v>
      </c>
      <c r="B111" s="128" t="s">
        <v>2586</v>
      </c>
      <c r="C111" s="129" t="s">
        <v>2587</v>
      </c>
      <c r="D111" s="131" t="s">
        <v>2588</v>
      </c>
      <c r="E111" s="131" t="s">
        <v>2589</v>
      </c>
      <c r="F111" s="131" t="s">
        <v>2590</v>
      </c>
      <c r="G111" s="131" t="s">
        <v>2591</v>
      </c>
      <c r="H111" s="131" t="s">
        <v>2592</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2593</v>
      </c>
      <c r="B112" s="127"/>
      <c r="C112" s="126" t="s">
        <v>2594</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2593</v>
      </c>
      <c r="B113" s="128" t="s">
        <v>2595</v>
      </c>
      <c r="C113" s="129" t="s">
        <v>2596</v>
      </c>
      <c r="D113" s="131" t="s">
        <v>2597</v>
      </c>
      <c r="E113" s="131" t="s">
        <v>2598</v>
      </c>
      <c r="F113" s="131" t="s">
        <v>2599</v>
      </c>
      <c r="G113" s="131" t="s">
        <v>2600</v>
      </c>
      <c r="H113" s="131" t="s">
        <v>2601</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2593</v>
      </c>
      <c r="B114" s="128" t="s">
        <v>2602</v>
      </c>
      <c r="C114" s="129" t="s">
        <v>2603</v>
      </c>
      <c r="D114" s="131" t="s">
        <v>2604</v>
      </c>
      <c r="E114" s="131" t="s">
        <v>2605</v>
      </c>
      <c r="F114" s="131" t="s">
        <v>2606</v>
      </c>
      <c r="G114" s="131" t="s">
        <v>2600</v>
      </c>
      <c r="H114" s="131" t="s">
        <v>2607</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2593</v>
      </c>
      <c r="B115" s="136" t="s">
        <v>2608</v>
      </c>
      <c r="C115" s="137" t="s">
        <v>2609</v>
      </c>
      <c r="D115" s="138" t="s">
        <v>2610</v>
      </c>
      <c r="E115" s="138" t="s">
        <v>2611</v>
      </c>
      <c r="F115" s="138" t="s">
        <v>2612</v>
      </c>
      <c r="G115" s="138" t="s">
        <v>2613</v>
      </c>
      <c r="H115" s="138" t="s">
        <v>2614</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733</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IFERROR(INDEX('Recommendations'!$H$2:$H$149, MATCH(J2,'Recommendations'!$A$2:$A$149,0))="Implemented", FALSE))</xm:f>
            <x14:dxf>
              <font>
                <color rgb="FF000000"/>
              </font>
              <fill>
                <patternFill>
                  <bgColor rgb="FF3C7D22"/>
                </patternFill>
              </fill>
            </x14:dxf>
          </x14:cfRule>
          <x14:cfRule type="expression" priority="2" id="{00000000-000E-0000-0600-000002000000}">
            <xm:f>AND(J2&lt;&gt;"", IFERROR(INDEX('Recommendations'!$H$2:$H$149, MATCH(J2,'Recommendations'!$A$2:$A$149,0))="Compensated", FALSE))</xm:f>
            <x14:dxf>
              <font>
                <color rgb="FF000000"/>
              </font>
              <fill>
                <patternFill>
                  <bgColor rgb="FFC6E0B4"/>
                </patternFill>
              </fill>
            </x14:dxf>
          </x14:cfRule>
          <x14:cfRule type="expression" priority="3" id="{00000000-000E-0000-0600-000003000000}">
            <xm:f>AND(J2&lt;&gt;"", IFERROR(INDEX('Recommendations'!$H$2:$H$149, MATCH(J2,'Recommendations'!$A$2:$A$149,0))="Testing", FALSE))</xm:f>
            <x14:dxf>
              <font>
                <color rgb="FF000000"/>
              </font>
              <fill>
                <patternFill>
                  <bgColor rgb="FFFFC000"/>
                </patternFill>
              </fill>
            </x14:dxf>
          </x14:cfRule>
          <x14:cfRule type="expression" priority="4" id="{00000000-000E-0000-0600-000004000000}">
            <xm:f>AND(J2&lt;&gt;"", IFERROR(INDEX('Recommendations'!$H$2:$H$149, MATCH(J2,'Recommendations'!$A$2:$A$149,0))="Failed", FALSE))</xm:f>
            <x14:dxf>
              <font>
                <color rgb="FF000000"/>
              </font>
              <fill>
                <patternFill>
                  <bgColor rgb="FFD82891"/>
                </patternFill>
              </fill>
            </x14:dxf>
          </x14:cfRule>
          <x14:cfRule type="expression" priority="5" id="{00000000-000E-0000-0600-000005000000}">
            <xm:f>AND(J2&lt;&gt;"", IFERROR(INDEX('Recommendations'!$H$2:$H$149, MATCH(J2,'Recommendations'!$A$2:$A$149,0))="Risk Accepted", FALSE))</xm:f>
            <x14:dxf>
              <font>
                <color rgb="FF000000"/>
              </font>
              <fill>
                <patternFill>
                  <bgColor rgb="FFD9D9D9"/>
                </patternFill>
              </fill>
            </x14:dxf>
          </x14:cfRule>
          <x14:cfRule type="expression" priority="6" id="{00000000-000E-0000-0600-000006000000}">
            <xm:f>AND(J2&lt;&gt;"", IFERROR(INDEX('Recommendations'!$H$2:$H$149, MATCH(J2,'Recommendations'!$A$2:$A$149,0))="N/A",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2615</v>
      </c>
      <c r="B1" s="187" t="s">
        <v>2616</v>
      </c>
      <c r="C1" s="187" t="s">
        <v>0</v>
      </c>
      <c r="D1" s="187" t="s">
        <v>2617</v>
      </c>
      <c r="E1" s="187" t="s">
        <v>2618</v>
      </c>
      <c r="F1" s="187" t="s">
        <v>2619</v>
      </c>
      <c r="G1" s="187" t="s">
        <v>984</v>
      </c>
      <c r="H1" s="187" t="s">
        <v>985</v>
      </c>
      <c r="I1" s="187" t="s">
        <v>986</v>
      </c>
      <c r="J1" s="187" t="s">
        <v>987</v>
      </c>
      <c r="K1" s="187" t="s">
        <v>988</v>
      </c>
      <c r="L1" s="187" t="s">
        <v>989</v>
      </c>
      <c r="M1" s="187" t="s">
        <v>990</v>
      </c>
      <c r="N1" s="187" t="s">
        <v>991</v>
      </c>
      <c r="O1" s="187" t="s">
        <v>992</v>
      </c>
      <c r="P1" s="187" t="s">
        <v>993</v>
      </c>
      <c r="Q1" s="187" t="s">
        <v>994</v>
      </c>
      <c r="R1" s="187" t="s">
        <v>995</v>
      </c>
      <c r="S1" s="187" t="s">
        <v>996</v>
      </c>
      <c r="T1" s="187" t="s">
        <v>997</v>
      </c>
      <c r="U1" s="187" t="s">
        <v>998</v>
      </c>
      <c r="V1" s="187" t="s">
        <v>999</v>
      </c>
      <c r="W1" s="187" t="s">
        <v>1000</v>
      </c>
      <c r="X1" s="187" t="s">
        <v>1001</v>
      </c>
      <c r="Y1" s="187" t="s">
        <v>1002</v>
      </c>
      <c r="Z1" s="187" t="s">
        <v>1003</v>
      </c>
      <c r="AA1" s="187" t="s">
        <v>1004</v>
      </c>
      <c r="AB1" s="187" t="s">
        <v>1005</v>
      </c>
      <c r="AC1" s="187" t="s">
        <v>1006</v>
      </c>
      <c r="AD1" s="187" t="s">
        <v>1007</v>
      </c>
      <c r="AE1" s="187" t="s">
        <v>1008</v>
      </c>
      <c r="AF1" s="187" t="s">
        <v>1009</v>
      </c>
      <c r="AG1" s="187" t="s">
        <v>1010</v>
      </c>
      <c r="AH1" s="187" t="s">
        <v>1011</v>
      </c>
      <c r="AI1" s="187" t="s">
        <v>1012</v>
      </c>
      <c r="AJ1" s="187" t="s">
        <v>1013</v>
      </c>
      <c r="AK1" s="187" t="s">
        <v>1014</v>
      </c>
      <c r="AL1" s="187" t="s">
        <v>1015</v>
      </c>
      <c r="AM1" s="187" t="s">
        <v>1016</v>
      </c>
      <c r="AN1" s="187" t="s">
        <v>1017</v>
      </c>
      <c r="AO1" s="187" t="s">
        <v>1018</v>
      </c>
      <c r="AP1" s="187" t="s">
        <v>1019</v>
      </c>
      <c r="AQ1" s="187" t="s">
        <v>1020</v>
      </c>
      <c r="AR1" s="187" t="s">
        <v>1021</v>
      </c>
      <c r="AS1" s="187" t="s">
        <v>1022</v>
      </c>
      <c r="AT1" s="187" t="s">
        <v>1023</v>
      </c>
      <c r="AU1" s="188" t="s">
        <v>1024</v>
      </c>
    </row>
    <row r="2" spans="1:47" ht="60" customHeight="1" outlineLevel="1" x14ac:dyDescent="0.35">
      <c r="A2" s="178" t="s">
        <v>2620</v>
      </c>
      <c r="B2" s="152" t="s">
        <v>21</v>
      </c>
      <c r="C2" s="150" t="s">
        <v>2621</v>
      </c>
      <c r="D2" s="156" t="s">
        <v>2622</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2620</v>
      </c>
      <c r="B3" s="153" t="s">
        <v>2623</v>
      </c>
      <c r="C3" s="151" t="s">
        <v>2624</v>
      </c>
      <c r="D3" s="157" t="s">
        <v>2625</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2620</v>
      </c>
      <c r="B4" s="154" t="s">
        <v>2623</v>
      </c>
      <c r="C4" s="155" t="s">
        <v>2626</v>
      </c>
      <c r="D4" s="158" t="s">
        <v>2627</v>
      </c>
      <c r="E4" s="161" t="s">
        <v>2628</v>
      </c>
      <c r="F4" s="164" t="s">
        <v>2629</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2620</v>
      </c>
      <c r="B5" s="154" t="s">
        <v>2623</v>
      </c>
      <c r="C5" s="155" t="s">
        <v>2630</v>
      </c>
      <c r="D5" s="158" t="s">
        <v>2631</v>
      </c>
      <c r="E5" s="161" t="s">
        <v>2632</v>
      </c>
      <c r="F5" s="164" t="s">
        <v>2633</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2620</v>
      </c>
      <c r="B6" s="154" t="s">
        <v>2623</v>
      </c>
      <c r="C6" s="155" t="s">
        <v>2634</v>
      </c>
      <c r="D6" s="158" t="s">
        <v>2635</v>
      </c>
      <c r="E6" s="161" t="s">
        <v>2636</v>
      </c>
      <c r="F6" s="164" t="s">
        <v>2633</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2620</v>
      </c>
      <c r="B7" s="154" t="s">
        <v>2623</v>
      </c>
      <c r="C7" s="155" t="s">
        <v>2637</v>
      </c>
      <c r="D7" s="158" t="s">
        <v>2638</v>
      </c>
      <c r="E7" s="161" t="s">
        <v>2639</v>
      </c>
      <c r="F7" s="164" t="s">
        <v>2633</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2620</v>
      </c>
      <c r="B8" s="154" t="s">
        <v>2623</v>
      </c>
      <c r="C8" s="155" t="s">
        <v>2640</v>
      </c>
      <c r="D8" s="158" t="s">
        <v>2641</v>
      </c>
      <c r="E8" s="161" t="s">
        <v>2642</v>
      </c>
      <c r="F8" s="164" t="s">
        <v>2643</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2620</v>
      </c>
      <c r="B9" s="153" t="s">
        <v>2644</v>
      </c>
      <c r="C9" s="151" t="s">
        <v>2645</v>
      </c>
      <c r="D9" s="157" t="s">
        <v>2646</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2620</v>
      </c>
      <c r="B10" s="154" t="s">
        <v>2644</v>
      </c>
      <c r="C10" s="155" t="s">
        <v>2647</v>
      </c>
      <c r="D10" s="158" t="s">
        <v>2648</v>
      </c>
      <c r="E10" s="161" t="s">
        <v>2649</v>
      </c>
      <c r="F10" s="164" t="s">
        <v>2629</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2620</v>
      </c>
      <c r="B11" s="154" t="s">
        <v>2644</v>
      </c>
      <c r="C11" s="155" t="s">
        <v>2650</v>
      </c>
      <c r="D11" s="158" t="s">
        <v>2651</v>
      </c>
      <c r="E11" s="161" t="s">
        <v>2652</v>
      </c>
      <c r="F11" s="164" t="s">
        <v>2629</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2620</v>
      </c>
      <c r="B12" s="154" t="s">
        <v>2644</v>
      </c>
      <c r="C12" s="155" t="s">
        <v>2653</v>
      </c>
      <c r="D12" s="158" t="s">
        <v>2654</v>
      </c>
      <c r="E12" s="161" t="s">
        <v>2655</v>
      </c>
      <c r="F12" s="164" t="s">
        <v>2629</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2620</v>
      </c>
      <c r="B13" s="153" t="s">
        <v>2656</v>
      </c>
      <c r="C13" s="151" t="s">
        <v>2657</v>
      </c>
      <c r="D13" s="157" t="s">
        <v>2658</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2620</v>
      </c>
      <c r="B14" s="154" t="s">
        <v>2656</v>
      </c>
      <c r="C14" s="155" t="s">
        <v>2659</v>
      </c>
      <c r="D14" s="158" t="s">
        <v>2660</v>
      </c>
      <c r="E14" s="161" t="s">
        <v>2661</v>
      </c>
      <c r="F14" s="164" t="s">
        <v>2629</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2620</v>
      </c>
      <c r="B15" s="154" t="s">
        <v>2656</v>
      </c>
      <c r="C15" s="155" t="s">
        <v>2662</v>
      </c>
      <c r="D15" s="158" t="s">
        <v>2663</v>
      </c>
      <c r="E15" s="161" t="s">
        <v>2664</v>
      </c>
      <c r="F15" s="164" t="s">
        <v>2629</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2620</v>
      </c>
      <c r="B16" s="153" t="s">
        <v>2665</v>
      </c>
      <c r="C16" s="151" t="s">
        <v>2666</v>
      </c>
      <c r="D16" s="157" t="s">
        <v>2667</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2620</v>
      </c>
      <c r="B17" s="154" t="s">
        <v>2665</v>
      </c>
      <c r="C17" s="155" t="s">
        <v>2668</v>
      </c>
      <c r="D17" s="158" t="s">
        <v>2669</v>
      </c>
      <c r="E17" s="161" t="s">
        <v>2670</v>
      </c>
      <c r="F17" s="164" t="s">
        <v>2629</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2620</v>
      </c>
      <c r="B18" s="154" t="s">
        <v>2665</v>
      </c>
      <c r="C18" s="155" t="s">
        <v>2671</v>
      </c>
      <c r="D18" s="158" t="s">
        <v>2672</v>
      </c>
      <c r="E18" s="161" t="s">
        <v>2673</v>
      </c>
      <c r="F18" s="164" t="s">
        <v>2633</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2620</v>
      </c>
      <c r="B19" s="154" t="s">
        <v>2665</v>
      </c>
      <c r="C19" s="155" t="s">
        <v>2674</v>
      </c>
      <c r="D19" s="158" t="s">
        <v>2675</v>
      </c>
      <c r="E19" s="161" t="s">
        <v>2676</v>
      </c>
      <c r="F19" s="164" t="s">
        <v>2629</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2620</v>
      </c>
      <c r="B20" s="154" t="s">
        <v>2665</v>
      </c>
      <c r="C20" s="155" t="s">
        <v>2677</v>
      </c>
      <c r="D20" s="158" t="s">
        <v>2678</v>
      </c>
      <c r="E20" s="161" t="s">
        <v>2679</v>
      </c>
      <c r="F20" s="164" t="s">
        <v>2629</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2620</v>
      </c>
      <c r="B21" s="154" t="s">
        <v>2665</v>
      </c>
      <c r="C21" s="155" t="s">
        <v>2680</v>
      </c>
      <c r="D21" s="158" t="s">
        <v>2681</v>
      </c>
      <c r="E21" s="161" t="s">
        <v>2682</v>
      </c>
      <c r="F21" s="164" t="s">
        <v>2633</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2620</v>
      </c>
      <c r="B22" s="154" t="s">
        <v>2665</v>
      </c>
      <c r="C22" s="155" t="s">
        <v>2683</v>
      </c>
      <c r="D22" s="158" t="s">
        <v>2684</v>
      </c>
      <c r="E22" s="161" t="s">
        <v>2685</v>
      </c>
      <c r="F22" s="164" t="s">
        <v>2629</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2620</v>
      </c>
      <c r="B23" s="154" t="s">
        <v>2665</v>
      </c>
      <c r="C23" s="155" t="s">
        <v>2686</v>
      </c>
      <c r="D23" s="158" t="s">
        <v>2687</v>
      </c>
      <c r="E23" s="161" t="s">
        <v>2688</v>
      </c>
      <c r="F23" s="164" t="s">
        <v>2629</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2620</v>
      </c>
      <c r="B24" s="153" t="s">
        <v>2689</v>
      </c>
      <c r="C24" s="151" t="s">
        <v>2690</v>
      </c>
      <c r="D24" s="157" t="s">
        <v>2691</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2620</v>
      </c>
      <c r="B25" s="154" t="s">
        <v>2689</v>
      </c>
      <c r="C25" s="155" t="s">
        <v>2692</v>
      </c>
      <c r="D25" s="158" t="s">
        <v>2693</v>
      </c>
      <c r="E25" s="161" t="s">
        <v>2694</v>
      </c>
      <c r="F25" s="164" t="s">
        <v>2629</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2620</v>
      </c>
      <c r="B26" s="154" t="s">
        <v>2689</v>
      </c>
      <c r="C26" s="155" t="s">
        <v>2695</v>
      </c>
      <c r="D26" s="158" t="s">
        <v>2696</v>
      </c>
      <c r="E26" s="161" t="s">
        <v>2697</v>
      </c>
      <c r="F26" s="164" t="s">
        <v>2629</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2620</v>
      </c>
      <c r="B27" s="154" t="s">
        <v>2689</v>
      </c>
      <c r="C27" s="155" t="s">
        <v>2698</v>
      </c>
      <c r="D27" s="158" t="s">
        <v>2699</v>
      </c>
      <c r="E27" s="161" t="s">
        <v>2700</v>
      </c>
      <c r="F27" s="164" t="s">
        <v>2633</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2620</v>
      </c>
      <c r="B28" s="154" t="s">
        <v>2689</v>
      </c>
      <c r="C28" s="155" t="s">
        <v>2701</v>
      </c>
      <c r="D28" s="158" t="s">
        <v>2702</v>
      </c>
      <c r="E28" s="161" t="s">
        <v>2703</v>
      </c>
      <c r="F28" s="164" t="s">
        <v>2629</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2620</v>
      </c>
      <c r="B29" s="153" t="s">
        <v>2704</v>
      </c>
      <c r="C29" s="151" t="s">
        <v>2705</v>
      </c>
      <c r="D29" s="157" t="s">
        <v>2706</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2620</v>
      </c>
      <c r="B30" s="154" t="s">
        <v>2704</v>
      </c>
      <c r="C30" s="155" t="s">
        <v>2707</v>
      </c>
      <c r="D30" s="158" t="s">
        <v>2708</v>
      </c>
      <c r="E30" s="161" t="s">
        <v>2709</v>
      </c>
      <c r="F30" s="164" t="s">
        <v>2643</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2620</v>
      </c>
      <c r="B31" s="154" t="s">
        <v>2704</v>
      </c>
      <c r="C31" s="155" t="s">
        <v>2710</v>
      </c>
      <c r="D31" s="158" t="s">
        <v>2711</v>
      </c>
      <c r="E31" s="161" t="s">
        <v>2712</v>
      </c>
      <c r="F31" s="164" t="s">
        <v>2643</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2620</v>
      </c>
      <c r="B32" s="154" t="s">
        <v>2704</v>
      </c>
      <c r="C32" s="155" t="s">
        <v>2713</v>
      </c>
      <c r="D32" s="158" t="s">
        <v>2714</v>
      </c>
      <c r="E32" s="161" t="s">
        <v>2715</v>
      </c>
      <c r="F32" s="164" t="s">
        <v>2643</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2620</v>
      </c>
      <c r="B33" s="154" t="s">
        <v>2704</v>
      </c>
      <c r="C33" s="155" t="s">
        <v>2716</v>
      </c>
      <c r="D33" s="158" t="s">
        <v>2717</v>
      </c>
      <c r="E33" s="161" t="s">
        <v>2718</v>
      </c>
      <c r="F33" s="164" t="s">
        <v>2643</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2620</v>
      </c>
      <c r="B34" s="154" t="s">
        <v>2704</v>
      </c>
      <c r="C34" s="155" t="s">
        <v>2719</v>
      </c>
      <c r="D34" s="158" t="s">
        <v>2720</v>
      </c>
      <c r="E34" s="161" t="s">
        <v>2721</v>
      </c>
      <c r="F34" s="164" t="s">
        <v>2643</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2620</v>
      </c>
      <c r="B35" s="154" t="s">
        <v>2704</v>
      </c>
      <c r="C35" s="155" t="s">
        <v>2722</v>
      </c>
      <c r="D35" s="158" t="s">
        <v>2723</v>
      </c>
      <c r="E35" s="161" t="s">
        <v>2724</v>
      </c>
      <c r="F35" s="164" t="s">
        <v>2643</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2620</v>
      </c>
      <c r="B36" s="154" t="s">
        <v>2704</v>
      </c>
      <c r="C36" s="155" t="s">
        <v>2725</v>
      </c>
      <c r="D36" s="158" t="s">
        <v>2726</v>
      </c>
      <c r="E36" s="161" t="s">
        <v>2727</v>
      </c>
      <c r="F36" s="164" t="s">
        <v>2643</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2620</v>
      </c>
      <c r="B37" s="154" t="s">
        <v>2704</v>
      </c>
      <c r="C37" s="155" t="s">
        <v>2728</v>
      </c>
      <c r="D37" s="158" t="s">
        <v>2729</v>
      </c>
      <c r="E37" s="161" t="s">
        <v>2730</v>
      </c>
      <c r="F37" s="164" t="s">
        <v>2643</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2620</v>
      </c>
      <c r="B38" s="154" t="s">
        <v>2704</v>
      </c>
      <c r="C38" s="155" t="s">
        <v>2731</v>
      </c>
      <c r="D38" s="158" t="s">
        <v>2732</v>
      </c>
      <c r="E38" s="161" t="s">
        <v>2733</v>
      </c>
      <c r="F38" s="164" t="s">
        <v>2643</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2620</v>
      </c>
      <c r="B39" s="154" t="s">
        <v>2704</v>
      </c>
      <c r="C39" s="155" t="s">
        <v>2734</v>
      </c>
      <c r="D39" s="158" t="s">
        <v>2735</v>
      </c>
      <c r="E39" s="161" t="s">
        <v>2736</v>
      </c>
      <c r="F39" s="164" t="s">
        <v>2643</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2737</v>
      </c>
      <c r="B40" s="152" t="s">
        <v>21</v>
      </c>
      <c r="C40" s="150" t="s">
        <v>2738</v>
      </c>
      <c r="D40" s="156" t="s">
        <v>2739</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2737</v>
      </c>
      <c r="B41" s="153" t="s">
        <v>2740</v>
      </c>
      <c r="C41" s="151" t="s">
        <v>2741</v>
      </c>
      <c r="D41" s="157" t="s">
        <v>2742</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2737</v>
      </c>
      <c r="B42" s="154" t="s">
        <v>2740</v>
      </c>
      <c r="C42" s="155" t="s">
        <v>2743</v>
      </c>
      <c r="D42" s="158" t="s">
        <v>2744</v>
      </c>
      <c r="E42" s="161" t="s">
        <v>2745</v>
      </c>
      <c r="F42" s="164" t="s">
        <v>2629</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2737</v>
      </c>
      <c r="B43" s="154" t="s">
        <v>2740</v>
      </c>
      <c r="C43" s="155" t="s">
        <v>2746</v>
      </c>
      <c r="D43" s="158" t="s">
        <v>2747</v>
      </c>
      <c r="E43" s="161" t="s">
        <v>2748</v>
      </c>
      <c r="F43" s="164" t="s">
        <v>2629</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2737</v>
      </c>
      <c r="B44" s="154" t="s">
        <v>2740</v>
      </c>
      <c r="C44" s="155" t="s">
        <v>2749</v>
      </c>
      <c r="D44" s="158" t="s">
        <v>2750</v>
      </c>
      <c r="E44" s="161" t="s">
        <v>2751</v>
      </c>
      <c r="F44" s="164" t="s">
        <v>2633</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2737</v>
      </c>
      <c r="B45" s="154" t="s">
        <v>2740</v>
      </c>
      <c r="C45" s="155" t="s">
        <v>2752</v>
      </c>
      <c r="D45" s="158" t="s">
        <v>2753</v>
      </c>
      <c r="E45" s="161" t="s">
        <v>2754</v>
      </c>
      <c r="F45" s="164" t="s">
        <v>2643</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2737</v>
      </c>
      <c r="B46" s="154" t="s">
        <v>2740</v>
      </c>
      <c r="C46" s="155" t="s">
        <v>2755</v>
      </c>
      <c r="D46" s="158" t="s">
        <v>2756</v>
      </c>
      <c r="E46" s="161" t="s">
        <v>2757</v>
      </c>
      <c r="F46" s="164" t="s">
        <v>2629</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2737</v>
      </c>
      <c r="B47" s="154" t="s">
        <v>2740</v>
      </c>
      <c r="C47" s="155" t="s">
        <v>2758</v>
      </c>
      <c r="D47" s="158" t="s">
        <v>2759</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2737</v>
      </c>
      <c r="B48" s="154" t="s">
        <v>2740</v>
      </c>
      <c r="C48" s="155" t="s">
        <v>2760</v>
      </c>
      <c r="D48" s="158" t="s">
        <v>2761</v>
      </c>
      <c r="E48" s="161" t="s">
        <v>2762</v>
      </c>
      <c r="F48" s="164" t="s">
        <v>2629</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2737</v>
      </c>
      <c r="B49" s="154" t="s">
        <v>2740</v>
      </c>
      <c r="C49" s="155" t="s">
        <v>2763</v>
      </c>
      <c r="D49" s="158" t="s">
        <v>2764</v>
      </c>
      <c r="E49" s="161" t="s">
        <v>2765</v>
      </c>
      <c r="F49" s="164" t="s">
        <v>2633</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2737</v>
      </c>
      <c r="B50" s="153" t="s">
        <v>2766</v>
      </c>
      <c r="C50" s="151" t="s">
        <v>2767</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2737</v>
      </c>
      <c r="B51" s="154" t="s">
        <v>2766</v>
      </c>
      <c r="C51" s="155" t="s">
        <v>2768</v>
      </c>
      <c r="D51" s="158" t="s">
        <v>2769</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2737</v>
      </c>
      <c r="B52" s="154" t="s">
        <v>2766</v>
      </c>
      <c r="C52" s="155" t="s">
        <v>2770</v>
      </c>
      <c r="D52" s="158" t="s">
        <v>2771</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2737</v>
      </c>
      <c r="B53" s="154" t="s">
        <v>2766</v>
      </c>
      <c r="C53" s="155" t="s">
        <v>2772</v>
      </c>
      <c r="D53" s="158" t="s">
        <v>2773</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2737</v>
      </c>
      <c r="B54" s="154" t="s">
        <v>2766</v>
      </c>
      <c r="C54" s="155" t="s">
        <v>2774</v>
      </c>
      <c r="D54" s="158" t="s">
        <v>2775</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2737</v>
      </c>
      <c r="B55" s="154" t="s">
        <v>2766</v>
      </c>
      <c r="C55" s="155" t="s">
        <v>2776</v>
      </c>
      <c r="D55" s="158" t="s">
        <v>2777</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2737</v>
      </c>
      <c r="B56" s="153" t="s">
        <v>891</v>
      </c>
      <c r="C56" s="151" t="s">
        <v>2778</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2737</v>
      </c>
      <c r="B57" s="154" t="s">
        <v>891</v>
      </c>
      <c r="C57" s="155" t="s">
        <v>2779</v>
      </c>
      <c r="D57" s="158" t="s">
        <v>2780</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2737</v>
      </c>
      <c r="B58" s="154" t="s">
        <v>891</v>
      </c>
      <c r="C58" s="155" t="s">
        <v>2781</v>
      </c>
      <c r="D58" s="158" t="s">
        <v>2782</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2737</v>
      </c>
      <c r="B59" s="154" t="s">
        <v>891</v>
      </c>
      <c r="C59" s="155" t="s">
        <v>2783</v>
      </c>
      <c r="D59" s="158" t="s">
        <v>2784</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2737</v>
      </c>
      <c r="B60" s="154" t="s">
        <v>891</v>
      </c>
      <c r="C60" s="155" t="s">
        <v>2785</v>
      </c>
      <c r="D60" s="158" t="s">
        <v>2786</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2737</v>
      </c>
      <c r="B61" s="153" t="s">
        <v>2787</v>
      </c>
      <c r="C61" s="151" t="s">
        <v>2788</v>
      </c>
      <c r="D61" s="157" t="s">
        <v>2789</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2737</v>
      </c>
      <c r="B62" s="154" t="s">
        <v>2787</v>
      </c>
      <c r="C62" s="155" t="s">
        <v>2790</v>
      </c>
      <c r="D62" s="158" t="s">
        <v>2791</v>
      </c>
      <c r="E62" s="161" t="s">
        <v>2792</v>
      </c>
      <c r="F62" s="164" t="s">
        <v>2629</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2737</v>
      </c>
      <c r="B63" s="154" t="s">
        <v>2787</v>
      </c>
      <c r="C63" s="155" t="s">
        <v>2793</v>
      </c>
      <c r="D63" s="158" t="s">
        <v>2794</v>
      </c>
      <c r="E63" s="161" t="s">
        <v>2795</v>
      </c>
      <c r="F63" s="164" t="s">
        <v>2633</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2737</v>
      </c>
      <c r="B64" s="154" t="s">
        <v>2787</v>
      </c>
      <c r="C64" s="155" t="s">
        <v>2796</v>
      </c>
      <c r="D64" s="158" t="s">
        <v>2797</v>
      </c>
      <c r="E64" s="161" t="s">
        <v>2798</v>
      </c>
      <c r="F64" s="164" t="s">
        <v>2629</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2737</v>
      </c>
      <c r="B65" s="154" t="s">
        <v>2787</v>
      </c>
      <c r="C65" s="155" t="s">
        <v>2799</v>
      </c>
      <c r="D65" s="158" t="s">
        <v>2800</v>
      </c>
      <c r="E65" s="161" t="s">
        <v>2801</v>
      </c>
      <c r="F65" s="164" t="s">
        <v>2629</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2737</v>
      </c>
      <c r="B66" s="153" t="s">
        <v>2395</v>
      </c>
      <c r="C66" s="151" t="s">
        <v>2802</v>
      </c>
      <c r="D66" s="157" t="s">
        <v>2803</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2737</v>
      </c>
      <c r="B67" s="154" t="s">
        <v>2395</v>
      </c>
      <c r="C67" s="155" t="s">
        <v>2804</v>
      </c>
      <c r="D67" s="158" t="s">
        <v>2805</v>
      </c>
      <c r="E67" s="161" t="s">
        <v>2806</v>
      </c>
      <c r="F67" s="164" t="s">
        <v>2629</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2737</v>
      </c>
      <c r="B68" s="154" t="s">
        <v>2395</v>
      </c>
      <c r="C68" s="155" t="s">
        <v>2807</v>
      </c>
      <c r="D68" s="158" t="s">
        <v>2808</v>
      </c>
      <c r="E68" s="161" t="s">
        <v>2809</v>
      </c>
      <c r="F68" s="164" t="s">
        <v>2629</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2737</v>
      </c>
      <c r="B69" s="154" t="s">
        <v>2395</v>
      </c>
      <c r="C69" s="155" t="s">
        <v>2810</v>
      </c>
      <c r="D69" s="158" t="s">
        <v>2811</v>
      </c>
      <c r="E69" s="161" t="s">
        <v>2812</v>
      </c>
      <c r="F69" s="164" t="s">
        <v>2633</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2737</v>
      </c>
      <c r="B70" s="154" t="s">
        <v>2395</v>
      </c>
      <c r="C70" s="155" t="s">
        <v>2813</v>
      </c>
      <c r="D70" s="158" t="s">
        <v>2814</v>
      </c>
      <c r="E70" s="161" t="s">
        <v>2815</v>
      </c>
      <c r="F70" s="164" t="s">
        <v>2629</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2737</v>
      </c>
      <c r="B71" s="154" t="s">
        <v>2395</v>
      </c>
      <c r="C71" s="155" t="s">
        <v>2816</v>
      </c>
      <c r="D71" s="158" t="s">
        <v>2817</v>
      </c>
      <c r="E71" s="161" t="s">
        <v>2818</v>
      </c>
      <c r="F71" s="164" t="s">
        <v>2629</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2737</v>
      </c>
      <c r="B72" s="154" t="s">
        <v>2395</v>
      </c>
      <c r="C72" s="155" t="s">
        <v>2819</v>
      </c>
      <c r="D72" s="158" t="s">
        <v>2820</v>
      </c>
      <c r="E72" s="161" t="s">
        <v>2821</v>
      </c>
      <c r="F72" s="164" t="s">
        <v>2629</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2737</v>
      </c>
      <c r="B73" s="154" t="s">
        <v>2395</v>
      </c>
      <c r="C73" s="155" t="s">
        <v>2822</v>
      </c>
      <c r="D73" s="158" t="s">
        <v>2823</v>
      </c>
      <c r="E73" s="161" t="s">
        <v>2824</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2737</v>
      </c>
      <c r="B74" s="154" t="s">
        <v>2395</v>
      </c>
      <c r="C74" s="155" t="s">
        <v>2825</v>
      </c>
      <c r="D74" s="158" t="s">
        <v>2826</v>
      </c>
      <c r="E74" s="161" t="s">
        <v>2827</v>
      </c>
      <c r="F74" s="164" t="s">
        <v>2633</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2737</v>
      </c>
      <c r="B75" s="154" t="s">
        <v>2395</v>
      </c>
      <c r="C75" s="155" t="s">
        <v>2828</v>
      </c>
      <c r="D75" s="158" t="s">
        <v>2829</v>
      </c>
      <c r="E75" s="161" t="s">
        <v>2830</v>
      </c>
      <c r="F75" s="164" t="s">
        <v>2643</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2737</v>
      </c>
      <c r="B76" s="154" t="s">
        <v>2395</v>
      </c>
      <c r="C76" s="155" t="s">
        <v>2831</v>
      </c>
      <c r="D76" s="158" t="s">
        <v>2832</v>
      </c>
      <c r="E76" s="161" t="s">
        <v>2833</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2737</v>
      </c>
      <c r="B77" s="153" t="s">
        <v>2665</v>
      </c>
      <c r="C77" s="151" t="s">
        <v>2834</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2737</v>
      </c>
      <c r="B78" s="154" t="s">
        <v>2665</v>
      </c>
      <c r="C78" s="155" t="s">
        <v>2835</v>
      </c>
      <c r="D78" s="158" t="s">
        <v>2836</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2737</v>
      </c>
      <c r="B79" s="154" t="s">
        <v>2665</v>
      </c>
      <c r="C79" s="155" t="s">
        <v>2837</v>
      </c>
      <c r="D79" s="158" t="s">
        <v>2838</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2737</v>
      </c>
      <c r="B80" s="154" t="s">
        <v>2665</v>
      </c>
      <c r="C80" s="155" t="s">
        <v>2839</v>
      </c>
      <c r="D80" s="158" t="s">
        <v>2840</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2737</v>
      </c>
      <c r="B81" s="153" t="s">
        <v>2593</v>
      </c>
      <c r="C81" s="151" t="s">
        <v>2841</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2737</v>
      </c>
      <c r="B82" s="154" t="s">
        <v>2593</v>
      </c>
      <c r="C82" s="155" t="s">
        <v>2842</v>
      </c>
      <c r="D82" s="158" t="s">
        <v>2843</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2737</v>
      </c>
      <c r="B83" s="154" t="s">
        <v>2593</v>
      </c>
      <c r="C83" s="155" t="s">
        <v>2844</v>
      </c>
      <c r="D83" s="158" t="s">
        <v>2845</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2737</v>
      </c>
      <c r="B84" s="154" t="s">
        <v>2593</v>
      </c>
      <c r="C84" s="155" t="s">
        <v>2846</v>
      </c>
      <c r="D84" s="158" t="s">
        <v>2847</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2737</v>
      </c>
      <c r="B85" s="154" t="s">
        <v>2593</v>
      </c>
      <c r="C85" s="155" t="s">
        <v>2848</v>
      </c>
      <c r="D85" s="158" t="s">
        <v>2849</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2737</v>
      </c>
      <c r="B86" s="154" t="s">
        <v>2593</v>
      </c>
      <c r="C86" s="155" t="s">
        <v>2850</v>
      </c>
      <c r="D86" s="158" t="s">
        <v>2851</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2852</v>
      </c>
      <c r="B87" s="152" t="s">
        <v>21</v>
      </c>
      <c r="C87" s="150" t="s">
        <v>2853</v>
      </c>
      <c r="D87" s="156" t="s">
        <v>2854</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2852</v>
      </c>
      <c r="B88" s="153" t="s">
        <v>2855</v>
      </c>
      <c r="C88" s="151" t="s">
        <v>2856</v>
      </c>
      <c r="D88" s="157" t="s">
        <v>2857</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2852</v>
      </c>
      <c r="B89" s="154" t="s">
        <v>2855</v>
      </c>
      <c r="C89" s="155" t="s">
        <v>2858</v>
      </c>
      <c r="D89" s="158" t="s">
        <v>2859</v>
      </c>
      <c r="E89" s="161" t="s">
        <v>2860</v>
      </c>
      <c r="F89" s="164" t="s">
        <v>2629</v>
      </c>
      <c r="G89" s="167">
        <f>IF(COUNTIF(H89:AU89,"&lt;&gt;")=0,"",SUMPRODUCT(((Recommendations[ImplStatus]="Implemented")+(Recommendations[ImplStatus]="Compensated"))*ISNUMBER(MATCH(Recommendations[Id],H89:AU89,0)))/COUNTIF(H89:AU89,"&lt;&gt;"))</f>
        <v>0</v>
      </c>
      <c r="H89" s="170" t="s">
        <v>67</v>
      </c>
      <c r="I89" s="170" t="s">
        <v>371</v>
      </c>
      <c r="J89" s="170" t="s">
        <v>447</v>
      </c>
      <c r="K89" s="170" t="s">
        <v>625</v>
      </c>
      <c r="L89" s="170" t="s">
        <v>630</v>
      </c>
      <c r="M89" s="170" t="s">
        <v>660</v>
      </c>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2852</v>
      </c>
      <c r="B90" s="154" t="s">
        <v>2855</v>
      </c>
      <c r="C90" s="155" t="s">
        <v>2861</v>
      </c>
      <c r="D90" s="158" t="s">
        <v>2862</v>
      </c>
      <c r="E90" s="161" t="s">
        <v>2863</v>
      </c>
      <c r="F90" s="164" t="s">
        <v>2633</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2852</v>
      </c>
      <c r="B91" s="154" t="s">
        <v>2855</v>
      </c>
      <c r="C91" s="155" t="s">
        <v>2864</v>
      </c>
      <c r="D91" s="158" t="s">
        <v>2865</v>
      </c>
      <c r="E91" s="161" t="s">
        <v>2866</v>
      </c>
      <c r="F91" s="164" t="s">
        <v>2629</v>
      </c>
      <c r="G91" s="167">
        <f>IF(COUNTIF(H91:AU91,"&lt;&gt;")=0,"",SUMPRODUCT(((Recommendations[ImplStatus]="Implemented")+(Recommendations[ImplStatus]="Compensated"))*ISNUMBER(MATCH(Recommendations[Id],H91:AU91,0)))/COUNTIF(H91:AU91,"&lt;&gt;"))</f>
        <v>0</v>
      </c>
      <c r="H91" s="170" t="s">
        <v>330</v>
      </c>
      <c r="I91" s="170" t="s">
        <v>356</v>
      </c>
      <c r="J91" s="170" t="s">
        <v>361</v>
      </c>
      <c r="K91" s="170" t="s">
        <v>366</v>
      </c>
      <c r="L91" s="170" t="s">
        <v>381</v>
      </c>
      <c r="M91" s="170" t="s">
        <v>391</v>
      </c>
      <c r="N91" s="170" t="s">
        <v>452</v>
      </c>
      <c r="O91" s="170" t="s">
        <v>517</v>
      </c>
      <c r="P91" s="170" t="s">
        <v>522</v>
      </c>
      <c r="Q91" s="170" t="s">
        <v>537</v>
      </c>
      <c r="R91" s="170" t="s">
        <v>562</v>
      </c>
      <c r="S91" s="170" t="s">
        <v>600</v>
      </c>
      <c r="T91" s="170" t="s">
        <v>605</v>
      </c>
      <c r="U91" s="170" t="s">
        <v>610</v>
      </c>
      <c r="V91" s="170" t="s">
        <v>704</v>
      </c>
      <c r="W91" s="170" t="s">
        <v>714</v>
      </c>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2852</v>
      </c>
      <c r="B92" s="154" t="s">
        <v>2855</v>
      </c>
      <c r="C92" s="155" t="s">
        <v>2867</v>
      </c>
      <c r="D92" s="158" t="s">
        <v>2868</v>
      </c>
      <c r="E92" s="161" t="s">
        <v>2869</v>
      </c>
      <c r="F92" s="164" t="s">
        <v>2629</v>
      </c>
      <c r="G92" s="167">
        <f>IF(COUNTIF(H92:AU92,"&lt;&gt;")=0,"",SUMPRODUCT(((Recommendations[ImplStatus]="Implemented")+(Recommendations[ImplStatus]="Compensated"))*ISNUMBER(MATCH(Recommendations[Id],H92:AU92,0)))/COUNTIF(H92:AU92,"&lt;&gt;"))</f>
        <v>0</v>
      </c>
      <c r="H92" s="170" t="s">
        <v>356</v>
      </c>
      <c r="I92" s="170" t="s">
        <v>366</v>
      </c>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2852</v>
      </c>
      <c r="B93" s="154" t="s">
        <v>2855</v>
      </c>
      <c r="C93" s="155" t="s">
        <v>2870</v>
      </c>
      <c r="D93" s="158" t="s">
        <v>2871</v>
      </c>
      <c r="E93" s="161" t="s">
        <v>2872</v>
      </c>
      <c r="F93" s="164" t="s">
        <v>2629</v>
      </c>
      <c r="G93" s="167">
        <f>IF(COUNTIF(H93:AU93,"&lt;&gt;")=0,"",SUMPRODUCT(((Recommendations[ImplStatus]="Implemented")+(Recommendations[ImplStatus]="Compensated"))*ISNUMBER(MATCH(Recommendations[Id],H93:AU93,0)))/COUNTIF(H93:AU93,"&lt;&gt;"))</f>
        <v>0</v>
      </c>
      <c r="H93" s="170" t="s">
        <v>14</v>
      </c>
      <c r="I93" s="170" t="s">
        <v>275</v>
      </c>
      <c r="J93" s="170" t="s">
        <v>411</v>
      </c>
      <c r="K93" s="170" t="s">
        <v>418</v>
      </c>
      <c r="L93" s="170" t="s">
        <v>423</v>
      </c>
      <c r="M93" s="170" t="s">
        <v>426</v>
      </c>
      <c r="N93" s="170" t="s">
        <v>429</v>
      </c>
      <c r="O93" s="170" t="s">
        <v>432</v>
      </c>
      <c r="P93" s="170" t="s">
        <v>437</v>
      </c>
      <c r="Q93" s="170" t="s">
        <v>497</v>
      </c>
      <c r="R93" s="170" t="s">
        <v>532</v>
      </c>
      <c r="S93" s="170" t="s">
        <v>547</v>
      </c>
      <c r="T93" s="170" t="s">
        <v>557</v>
      </c>
      <c r="U93" s="170" t="s">
        <v>567</v>
      </c>
      <c r="V93" s="170" t="s">
        <v>572</v>
      </c>
      <c r="W93" s="170" t="s">
        <v>577</v>
      </c>
      <c r="X93" s="170" t="s">
        <v>582</v>
      </c>
      <c r="Y93" s="170" t="s">
        <v>587</v>
      </c>
      <c r="Z93" s="170" t="s">
        <v>591</v>
      </c>
      <c r="AA93" s="170" t="s">
        <v>595</v>
      </c>
      <c r="AB93" s="170" t="s">
        <v>620</v>
      </c>
      <c r="AC93" s="170" t="s">
        <v>640</v>
      </c>
      <c r="AD93" s="170" t="s">
        <v>655</v>
      </c>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2852</v>
      </c>
      <c r="B94" s="154" t="s">
        <v>2855</v>
      </c>
      <c r="C94" s="155" t="s">
        <v>2873</v>
      </c>
      <c r="D94" s="158" t="s">
        <v>2874</v>
      </c>
      <c r="E94" s="161" t="s">
        <v>2875</v>
      </c>
      <c r="F94" s="164" t="s">
        <v>2633</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2852</v>
      </c>
      <c r="B95" s="153" t="s">
        <v>2876</v>
      </c>
      <c r="C95" s="151" t="s">
        <v>2877</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2852</v>
      </c>
      <c r="B96" s="154" t="s">
        <v>2876</v>
      </c>
      <c r="C96" s="155" t="s">
        <v>2878</v>
      </c>
      <c r="D96" s="158" t="s">
        <v>2879</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2852</v>
      </c>
      <c r="B97" s="154" t="s">
        <v>2876</v>
      </c>
      <c r="C97" s="155" t="s">
        <v>2880</v>
      </c>
      <c r="D97" s="158" t="s">
        <v>2881</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2852</v>
      </c>
      <c r="B98" s="154" t="s">
        <v>2876</v>
      </c>
      <c r="C98" s="155" t="s">
        <v>2882</v>
      </c>
      <c r="D98" s="158" t="s">
        <v>2883</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2852</v>
      </c>
      <c r="B99" s="154" t="s">
        <v>2876</v>
      </c>
      <c r="C99" s="155" t="s">
        <v>2884</v>
      </c>
      <c r="D99" s="158" t="s">
        <v>2885</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2852</v>
      </c>
      <c r="B100" s="154" t="s">
        <v>2876</v>
      </c>
      <c r="C100" s="155" t="s">
        <v>2886</v>
      </c>
      <c r="D100" s="158" t="s">
        <v>2887</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2852</v>
      </c>
      <c r="B101" s="154" t="s">
        <v>2876</v>
      </c>
      <c r="C101" s="155" t="s">
        <v>2888</v>
      </c>
      <c r="D101" s="158" t="s">
        <v>2889</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2852</v>
      </c>
      <c r="B102" s="154" t="s">
        <v>2876</v>
      </c>
      <c r="C102" s="155" t="s">
        <v>2890</v>
      </c>
      <c r="D102" s="158" t="s">
        <v>2891</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2852</v>
      </c>
      <c r="B103" s="153" t="s">
        <v>2036</v>
      </c>
      <c r="C103" s="151" t="s">
        <v>2892</v>
      </c>
      <c r="D103" s="157" t="s">
        <v>2893</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2852</v>
      </c>
      <c r="B104" s="154" t="s">
        <v>2036</v>
      </c>
      <c r="C104" s="155" t="s">
        <v>2894</v>
      </c>
      <c r="D104" s="158" t="s">
        <v>2895</v>
      </c>
      <c r="E104" s="161" t="s">
        <v>2896</v>
      </c>
      <c r="F104" s="164" t="s">
        <v>2629</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2852</v>
      </c>
      <c r="B105" s="154" t="s">
        <v>2036</v>
      </c>
      <c r="C105" s="155" t="s">
        <v>2897</v>
      </c>
      <c r="D105" s="158" t="s">
        <v>2898</v>
      </c>
      <c r="E105" s="161" t="s">
        <v>2899</v>
      </c>
      <c r="F105" s="164" t="s">
        <v>2633</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2852</v>
      </c>
      <c r="B106" s="154" t="s">
        <v>2036</v>
      </c>
      <c r="C106" s="155" t="s">
        <v>2900</v>
      </c>
      <c r="D106" s="158" t="s">
        <v>2901</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2852</v>
      </c>
      <c r="B107" s="154" t="s">
        <v>2036</v>
      </c>
      <c r="C107" s="155" t="s">
        <v>2902</v>
      </c>
      <c r="D107" s="158" t="s">
        <v>2903</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2852</v>
      </c>
      <c r="B108" s="154" t="s">
        <v>2036</v>
      </c>
      <c r="C108" s="155" t="s">
        <v>2904</v>
      </c>
      <c r="D108" s="158" t="s">
        <v>2905</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2852</v>
      </c>
      <c r="B109" s="153" t="s">
        <v>2906</v>
      </c>
      <c r="C109" s="151" t="s">
        <v>2907</v>
      </c>
      <c r="D109" s="157" t="s">
        <v>2908</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2852</v>
      </c>
      <c r="B110" s="154" t="s">
        <v>2906</v>
      </c>
      <c r="C110" s="155" t="s">
        <v>2909</v>
      </c>
      <c r="D110" s="158" t="s">
        <v>2910</v>
      </c>
      <c r="E110" s="161" t="s">
        <v>2911</v>
      </c>
      <c r="F110" s="164" t="s">
        <v>2629</v>
      </c>
      <c r="G110" s="167">
        <f>IF(COUNTIF(H110:AU110,"&lt;&gt;")=0,"",SUMPRODUCT(((Recommendations[ImplStatus]="Implemented")+(Recommendations[ImplStatus]="Compensated"))*ISNUMBER(MATCH(Recommendations[Id],H110:AU110,0)))/COUNTIF(H110:AU110,"&lt;&gt;"))</f>
        <v>0</v>
      </c>
      <c r="H110" s="170" t="s">
        <v>728</v>
      </c>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2852</v>
      </c>
      <c r="B111" s="154" t="s">
        <v>2906</v>
      </c>
      <c r="C111" s="155" t="s">
        <v>2912</v>
      </c>
      <c r="D111" s="158" t="s">
        <v>2913</v>
      </c>
      <c r="E111" s="161" t="s">
        <v>2914</v>
      </c>
      <c r="F111" s="164" t="s">
        <v>2629</v>
      </c>
      <c r="G111" s="167">
        <f>IF(COUNTIF(H111:AU111,"&lt;&gt;")=0,"",SUMPRODUCT(((Recommendations[ImplStatus]="Implemented")+(Recommendations[ImplStatus]="Compensated"))*ISNUMBER(MATCH(Recommendations[Id],H111:AU111,0)))/COUNTIF(H111:AU111,"&lt;&gt;"))</f>
        <v>0</v>
      </c>
      <c r="H111" s="170" t="s">
        <v>281</v>
      </c>
      <c r="I111" s="170" t="s">
        <v>286</v>
      </c>
      <c r="J111" s="170" t="s">
        <v>296</v>
      </c>
      <c r="K111" s="170" t="s">
        <v>301</v>
      </c>
      <c r="L111" s="170" t="s">
        <v>306</v>
      </c>
      <c r="M111" s="170" t="s">
        <v>311</v>
      </c>
      <c r="N111" s="170" t="s">
        <v>321</v>
      </c>
      <c r="O111" s="170" t="s">
        <v>330</v>
      </c>
      <c r="P111" s="170" t="s">
        <v>335</v>
      </c>
      <c r="Q111" s="170" t="s">
        <v>340</v>
      </c>
      <c r="R111" s="170" t="s">
        <v>348</v>
      </c>
      <c r="S111" s="170" t="s">
        <v>361</v>
      </c>
      <c r="T111" s="170" t="s">
        <v>376</v>
      </c>
      <c r="U111" s="170" t="s">
        <v>381</v>
      </c>
      <c r="V111" s="170" t="s">
        <v>386</v>
      </c>
      <c r="W111" s="170" t="s">
        <v>391</v>
      </c>
      <c r="X111" s="170" t="s">
        <v>406</v>
      </c>
      <c r="Y111" s="170" t="s">
        <v>537</v>
      </c>
      <c r="Z111" s="170" t="s">
        <v>600</v>
      </c>
      <c r="AA111" s="170" t="s">
        <v>605</v>
      </c>
      <c r="AB111" s="170" t="s">
        <v>610</v>
      </c>
      <c r="AC111" s="170" t="s">
        <v>615</v>
      </c>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2852</v>
      </c>
      <c r="B112" s="154" t="s">
        <v>2906</v>
      </c>
      <c r="C112" s="155" t="s">
        <v>2915</v>
      </c>
      <c r="D112" s="158" t="s">
        <v>2916</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2852</v>
      </c>
      <c r="B113" s="154" t="s">
        <v>2906</v>
      </c>
      <c r="C113" s="155" t="s">
        <v>2917</v>
      </c>
      <c r="D113" s="158" t="s">
        <v>2918</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2852</v>
      </c>
      <c r="B114" s="154" t="s">
        <v>2906</v>
      </c>
      <c r="C114" s="155" t="s">
        <v>2919</v>
      </c>
      <c r="D114" s="158" t="s">
        <v>2920</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2852</v>
      </c>
      <c r="B115" s="154" t="s">
        <v>2906</v>
      </c>
      <c r="C115" s="155" t="s">
        <v>2921</v>
      </c>
      <c r="D115" s="158" t="s">
        <v>2922</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2852</v>
      </c>
      <c r="B116" s="154" t="s">
        <v>2906</v>
      </c>
      <c r="C116" s="155" t="s">
        <v>2923</v>
      </c>
      <c r="D116" s="158" t="s">
        <v>2924</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2852</v>
      </c>
      <c r="B117" s="154" t="s">
        <v>2906</v>
      </c>
      <c r="C117" s="155" t="s">
        <v>2925</v>
      </c>
      <c r="D117" s="158" t="s">
        <v>2926</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2852</v>
      </c>
      <c r="B118" s="154" t="s">
        <v>2906</v>
      </c>
      <c r="C118" s="155" t="s">
        <v>2927</v>
      </c>
      <c r="D118" s="158" t="s">
        <v>2928</v>
      </c>
      <c r="E118" s="161" t="s">
        <v>2929</v>
      </c>
      <c r="F118" s="164" t="s">
        <v>2629</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2852</v>
      </c>
      <c r="B119" s="154" t="s">
        <v>2906</v>
      </c>
      <c r="C119" s="155" t="s">
        <v>2930</v>
      </c>
      <c r="D119" s="158" t="s">
        <v>2931</v>
      </c>
      <c r="E119" s="161" t="s">
        <v>2932</v>
      </c>
      <c r="F119" s="164" t="s">
        <v>2629</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2852</v>
      </c>
      <c r="B120" s="153" t="s">
        <v>2933</v>
      </c>
      <c r="C120" s="151" t="s">
        <v>2934</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2852</v>
      </c>
      <c r="B121" s="154" t="s">
        <v>2933</v>
      </c>
      <c r="C121" s="155" t="s">
        <v>2935</v>
      </c>
      <c r="D121" s="158" t="s">
        <v>2936</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2852</v>
      </c>
      <c r="B122" s="154" t="s">
        <v>2933</v>
      </c>
      <c r="C122" s="155" t="s">
        <v>2937</v>
      </c>
      <c r="D122" s="158" t="s">
        <v>2938</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2852</v>
      </c>
      <c r="B123" s="154" t="s">
        <v>2933</v>
      </c>
      <c r="C123" s="155" t="s">
        <v>2939</v>
      </c>
      <c r="D123" s="158" t="s">
        <v>2940</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2852</v>
      </c>
      <c r="B124" s="154" t="s">
        <v>2933</v>
      </c>
      <c r="C124" s="155" t="s">
        <v>2941</v>
      </c>
      <c r="D124" s="158" t="s">
        <v>2942</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2852</v>
      </c>
      <c r="B125" s="154" t="s">
        <v>2933</v>
      </c>
      <c r="C125" s="155" t="s">
        <v>2943</v>
      </c>
      <c r="D125" s="158" t="s">
        <v>2944</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2852</v>
      </c>
      <c r="B126" s="154" t="s">
        <v>2933</v>
      </c>
      <c r="C126" s="155" t="s">
        <v>2945</v>
      </c>
      <c r="D126" s="158" t="s">
        <v>2946</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2852</v>
      </c>
      <c r="B127" s="154" t="s">
        <v>2933</v>
      </c>
      <c r="C127" s="155" t="s">
        <v>2947</v>
      </c>
      <c r="D127" s="158" t="s">
        <v>2948</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2852</v>
      </c>
      <c r="B128" s="154" t="s">
        <v>2933</v>
      </c>
      <c r="C128" s="155" t="s">
        <v>2949</v>
      </c>
      <c r="D128" s="158" t="s">
        <v>2950</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2852</v>
      </c>
      <c r="B129" s="154" t="s">
        <v>2933</v>
      </c>
      <c r="C129" s="155" t="s">
        <v>2951</v>
      </c>
      <c r="D129" s="158" t="s">
        <v>2952</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2852</v>
      </c>
      <c r="B130" s="154" t="s">
        <v>2933</v>
      </c>
      <c r="C130" s="155" t="s">
        <v>2953</v>
      </c>
      <c r="D130" s="158" t="s">
        <v>2954</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2852</v>
      </c>
      <c r="B131" s="154" t="s">
        <v>2933</v>
      </c>
      <c r="C131" s="155" t="s">
        <v>2955</v>
      </c>
      <c r="D131" s="158" t="s">
        <v>2956</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2852</v>
      </c>
      <c r="B132" s="154" t="s">
        <v>2933</v>
      </c>
      <c r="C132" s="155" t="s">
        <v>2957</v>
      </c>
      <c r="D132" s="158" t="s">
        <v>2958</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2852</v>
      </c>
      <c r="B133" s="153" t="s">
        <v>2959</v>
      </c>
      <c r="C133" s="151" t="s">
        <v>2960</v>
      </c>
      <c r="D133" s="157" t="s">
        <v>2961</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2852</v>
      </c>
      <c r="B134" s="154" t="s">
        <v>2959</v>
      </c>
      <c r="C134" s="155" t="s">
        <v>2962</v>
      </c>
      <c r="D134" s="158" t="s">
        <v>2963</v>
      </c>
      <c r="E134" s="161" t="s">
        <v>2964</v>
      </c>
      <c r="F134" s="164" t="s">
        <v>2633</v>
      </c>
      <c r="G134" s="167">
        <f>IF(COUNTIF(H134:AU134,"&lt;&gt;")=0,"",SUMPRODUCT(((Recommendations[ImplStatus]="Implemented")+(Recommendations[ImplStatus]="Compensated"))*ISNUMBER(MATCH(Recommendations[Id],H134:AU134,0)))/COUNTIF(H134:AU134,"&lt;&gt;"))</f>
        <v>0</v>
      </c>
      <c r="H134" s="170" t="s">
        <v>62</v>
      </c>
      <c r="I134" s="170" t="s">
        <v>92</v>
      </c>
      <c r="J134" s="170" t="s">
        <v>97</v>
      </c>
      <c r="K134" s="170" t="s">
        <v>102</v>
      </c>
      <c r="L134" s="170" t="s">
        <v>107</v>
      </c>
      <c r="M134" s="170" t="s">
        <v>316</v>
      </c>
      <c r="N134" s="170" t="s">
        <v>353</v>
      </c>
      <c r="O134" s="170" t="s">
        <v>396</v>
      </c>
      <c r="P134" s="170" t="s">
        <v>401</v>
      </c>
      <c r="Q134" s="170" t="s">
        <v>442</v>
      </c>
      <c r="R134" s="170" t="s">
        <v>502</v>
      </c>
      <c r="S134" s="170" t="s">
        <v>542</v>
      </c>
      <c r="T134" s="170" t="s">
        <v>552</v>
      </c>
      <c r="U134" s="170" t="s">
        <v>694</v>
      </c>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2852</v>
      </c>
      <c r="B135" s="154" t="s">
        <v>2959</v>
      </c>
      <c r="C135" s="155" t="s">
        <v>2965</v>
      </c>
      <c r="D135" s="158" t="s">
        <v>2966</v>
      </c>
      <c r="E135" s="161" t="s">
        <v>2967</v>
      </c>
      <c r="F135" s="164" t="s">
        <v>2633</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2852</v>
      </c>
      <c r="B136" s="154" t="s">
        <v>2959</v>
      </c>
      <c r="C136" s="155" t="s">
        <v>2968</v>
      </c>
      <c r="D136" s="158" t="s">
        <v>2969</v>
      </c>
      <c r="E136" s="161" t="s">
        <v>2970</v>
      </c>
      <c r="F136" s="164" t="s">
        <v>2629</v>
      </c>
      <c r="G136" s="167">
        <f>IF(COUNTIF(H136:AU136,"&lt;&gt;")=0,"",SUMPRODUCT(((Recommendations[ImplStatus]="Implemented")+(Recommendations[ImplStatus]="Compensated"))*ISNUMBER(MATCH(Recommendations[Id],H136:AU136,0)))/COUNTIF(H136:AU136,"&lt;&gt;"))</f>
        <v>0</v>
      </c>
      <c r="H136" s="170" t="s">
        <v>645</v>
      </c>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2852</v>
      </c>
      <c r="B137" s="154" t="s">
        <v>2959</v>
      </c>
      <c r="C137" s="155" t="s">
        <v>2971</v>
      </c>
      <c r="D137" s="158" t="s">
        <v>2972</v>
      </c>
      <c r="E137" s="161" t="s">
        <v>2973</v>
      </c>
      <c r="F137" s="164" t="s">
        <v>21</v>
      </c>
      <c r="G137" s="167">
        <f>IF(COUNTIF(H137:AU137,"&lt;&gt;")=0,"",SUMPRODUCT(((Recommendations[ImplStatus]="Implemented")+(Recommendations[ImplStatus]="Compensated"))*ISNUMBER(MATCH(Recommendations[Id],H137:AU137,0)))/COUNTIF(H137:AU137,"&lt;&gt;"))</f>
        <v>0</v>
      </c>
      <c r="H137" s="170" t="s">
        <v>72</v>
      </c>
      <c r="I137" s="170" t="s">
        <v>78</v>
      </c>
      <c r="J137" s="170" t="s">
        <v>83</v>
      </c>
      <c r="K137" s="170" t="s">
        <v>87</v>
      </c>
      <c r="L137" s="170" t="s">
        <v>158</v>
      </c>
      <c r="M137" s="170" t="s">
        <v>163</v>
      </c>
      <c r="N137" s="170" t="s">
        <v>168</v>
      </c>
      <c r="O137" s="170" t="s">
        <v>217</v>
      </c>
      <c r="P137" s="170" t="s">
        <v>222</v>
      </c>
      <c r="Q137" s="170" t="s">
        <v>226</v>
      </c>
      <c r="R137" s="170" t="s">
        <v>635</v>
      </c>
      <c r="S137" s="170" t="s">
        <v>645</v>
      </c>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2852</v>
      </c>
      <c r="B138" s="153" t="s">
        <v>2269</v>
      </c>
      <c r="C138" s="151" t="s">
        <v>2974</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2852</v>
      </c>
      <c r="B139" s="154" t="s">
        <v>2269</v>
      </c>
      <c r="C139" s="155" t="s">
        <v>2975</v>
      </c>
      <c r="D139" s="158" t="s">
        <v>2976</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2852</v>
      </c>
      <c r="B140" s="154" t="s">
        <v>2269</v>
      </c>
      <c r="C140" s="155" t="s">
        <v>2977</v>
      </c>
      <c r="D140" s="158" t="s">
        <v>2978</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2852</v>
      </c>
      <c r="B141" s="153" t="s">
        <v>2979</v>
      </c>
      <c r="C141" s="151" t="s">
        <v>2980</v>
      </c>
      <c r="D141" s="157" t="s">
        <v>2981</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2852</v>
      </c>
      <c r="B142" s="154" t="s">
        <v>2979</v>
      </c>
      <c r="C142" s="155" t="s">
        <v>2982</v>
      </c>
      <c r="D142" s="158" t="s">
        <v>2983</v>
      </c>
      <c r="E142" s="161" t="s">
        <v>2984</v>
      </c>
      <c r="F142" s="164" t="s">
        <v>2629</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2852</v>
      </c>
      <c r="B143" s="154" t="s">
        <v>2979</v>
      </c>
      <c r="C143" s="155" t="s">
        <v>2985</v>
      </c>
      <c r="D143" s="158" t="s">
        <v>2986</v>
      </c>
      <c r="E143" s="161" t="s">
        <v>2987</v>
      </c>
      <c r="F143" s="164" t="s">
        <v>2629</v>
      </c>
      <c r="G143" s="167">
        <f>IF(COUNTIF(H143:AU143,"&lt;&gt;")=0,"",SUMPRODUCT(((Recommendations[ImplStatus]="Implemented")+(Recommendations[ImplStatus]="Compensated"))*ISNUMBER(MATCH(Recommendations[Id],H143:AU143,0)))/COUNTIF(H143:AU143,"&lt;&gt;"))</f>
        <v>0</v>
      </c>
      <c r="H143" s="170" t="s">
        <v>650</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2852</v>
      </c>
      <c r="B144" s="154" t="s">
        <v>2979</v>
      </c>
      <c r="C144" s="155" t="s">
        <v>2988</v>
      </c>
      <c r="D144" s="158" t="s">
        <v>2989</v>
      </c>
      <c r="E144" s="161" t="s">
        <v>2990</v>
      </c>
      <c r="F144" s="164" t="s">
        <v>2633</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2852</v>
      </c>
      <c r="B145" s="154" t="s">
        <v>2979</v>
      </c>
      <c r="C145" s="155" t="s">
        <v>2991</v>
      </c>
      <c r="D145" s="158" t="s">
        <v>2992</v>
      </c>
      <c r="E145" s="161" t="s">
        <v>2993</v>
      </c>
      <c r="F145" s="164" t="s">
        <v>2629</v>
      </c>
      <c r="G145" s="167">
        <f>IF(COUNTIF(H145:AU145,"&lt;&gt;")=0,"",SUMPRODUCT(((Recommendations[ImplStatus]="Implemented")+(Recommendations[ImplStatus]="Compensated"))*ISNUMBER(MATCH(Recommendations[Id],H145:AU145,0)))/COUNTIF(H145:AU145,"&lt;&gt;"))</f>
        <v>0</v>
      </c>
      <c r="H145" s="170" t="s">
        <v>44</v>
      </c>
      <c r="I145" s="170" t="s">
        <v>49</v>
      </c>
      <c r="J145" s="170" t="s">
        <v>54</v>
      </c>
      <c r="K145" s="170" t="s">
        <v>58</v>
      </c>
      <c r="L145" s="170" t="s">
        <v>92</v>
      </c>
      <c r="M145" s="170" t="s">
        <v>102</v>
      </c>
      <c r="N145" s="170" t="s">
        <v>345</v>
      </c>
      <c r="O145" s="170" t="s">
        <v>396</v>
      </c>
      <c r="P145" s="170" t="s">
        <v>527</v>
      </c>
      <c r="Q145" s="170" t="s">
        <v>532</v>
      </c>
      <c r="R145" s="170" t="s">
        <v>547</v>
      </c>
      <c r="S145" s="170" t="s">
        <v>620</v>
      </c>
      <c r="T145" s="170" t="s">
        <v>655</v>
      </c>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2852</v>
      </c>
      <c r="B146" s="154" t="s">
        <v>2979</v>
      </c>
      <c r="C146" s="155" t="s">
        <v>2994</v>
      </c>
      <c r="D146" s="158" t="s">
        <v>2995</v>
      </c>
      <c r="E146" s="161" t="s">
        <v>2996</v>
      </c>
      <c r="F146" s="164" t="s">
        <v>2629</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2852</v>
      </c>
      <c r="B147" s="154" t="s">
        <v>2979</v>
      </c>
      <c r="C147" s="155" t="s">
        <v>2997</v>
      </c>
      <c r="D147" s="158" t="s">
        <v>2998</v>
      </c>
      <c r="E147" s="161" t="s">
        <v>2999</v>
      </c>
      <c r="F147" s="164" t="s">
        <v>2629</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2852</v>
      </c>
      <c r="B148" s="153" t="s">
        <v>3000</v>
      </c>
      <c r="C148" s="151" t="s">
        <v>3001</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2852</v>
      </c>
      <c r="B149" s="154" t="s">
        <v>3000</v>
      </c>
      <c r="C149" s="155" t="s">
        <v>3002</v>
      </c>
      <c r="D149" s="158" t="s">
        <v>3003</v>
      </c>
      <c r="E149" s="161"/>
      <c r="F149" s="164" t="s">
        <v>21</v>
      </c>
      <c r="G149" s="167">
        <f>IF(COUNTIF(H149:AU149,"&lt;&gt;")=0,"",SUMPRODUCT(((Recommendations[ImplStatus]="Implemented")+(Recommendations[ImplStatus]="Compensated"))*ISNUMBER(MATCH(Recommendations[Id],H149:AU149,0)))/COUNTIF(H149:AU149,"&lt;&gt;"))</f>
        <v>0</v>
      </c>
      <c r="H149" s="170" t="s">
        <v>25</v>
      </c>
      <c r="I149" s="170" t="s">
        <v>30</v>
      </c>
      <c r="J149" s="170" t="s">
        <v>34</v>
      </c>
      <c r="K149" s="170" t="s">
        <v>39</v>
      </c>
      <c r="L149" s="170" t="s">
        <v>137</v>
      </c>
      <c r="M149" s="170" t="s">
        <v>153</v>
      </c>
      <c r="N149" s="170" t="s">
        <v>418</v>
      </c>
      <c r="O149" s="170" t="s">
        <v>423</v>
      </c>
      <c r="P149" s="170" t="s">
        <v>426</v>
      </c>
      <c r="Q149" s="170" t="s">
        <v>429</v>
      </c>
      <c r="R149" s="170" t="s">
        <v>432</v>
      </c>
      <c r="S149" s="170" t="s">
        <v>457</v>
      </c>
      <c r="T149" s="170" t="s">
        <v>462</v>
      </c>
      <c r="U149" s="170" t="s">
        <v>465</v>
      </c>
      <c r="V149" s="170" t="s">
        <v>467</v>
      </c>
      <c r="W149" s="170" t="s">
        <v>471</v>
      </c>
      <c r="X149" s="170" t="s">
        <v>475</v>
      </c>
      <c r="Y149" s="170" t="s">
        <v>477</v>
      </c>
      <c r="Z149" s="170" t="s">
        <v>482</v>
      </c>
      <c r="AA149" s="170" t="s">
        <v>492</v>
      </c>
      <c r="AB149" s="170" t="s">
        <v>512</v>
      </c>
      <c r="AC149" s="170" t="s">
        <v>679</v>
      </c>
      <c r="AD149" s="170" t="s">
        <v>689</v>
      </c>
      <c r="AE149" s="170" t="s">
        <v>699</v>
      </c>
      <c r="AF149" s="170" t="s">
        <v>709</v>
      </c>
      <c r="AG149" s="170" t="s">
        <v>728</v>
      </c>
      <c r="AH149" s="170"/>
      <c r="AI149" s="170"/>
      <c r="AJ149" s="170"/>
      <c r="AK149" s="170"/>
      <c r="AL149" s="170"/>
      <c r="AM149" s="170"/>
      <c r="AN149" s="170"/>
      <c r="AO149" s="170"/>
      <c r="AP149" s="170"/>
      <c r="AQ149" s="170"/>
      <c r="AR149" s="170"/>
      <c r="AS149" s="170"/>
      <c r="AT149" s="170"/>
      <c r="AU149" s="184"/>
    </row>
    <row r="150" spans="1:47" ht="60" customHeight="1" x14ac:dyDescent="0.35">
      <c r="A150" s="180" t="s">
        <v>2852</v>
      </c>
      <c r="B150" s="154" t="s">
        <v>3000</v>
      </c>
      <c r="C150" s="155" t="s">
        <v>3004</v>
      </c>
      <c r="D150" s="158" t="s">
        <v>3005</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2852</v>
      </c>
      <c r="B151" s="154" t="s">
        <v>3000</v>
      </c>
      <c r="C151" s="155" t="s">
        <v>3006</v>
      </c>
      <c r="D151" s="158" t="s">
        <v>3007</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2852</v>
      </c>
      <c r="B152" s="154" t="s">
        <v>3000</v>
      </c>
      <c r="C152" s="155" t="s">
        <v>3008</v>
      </c>
      <c r="D152" s="158" t="s">
        <v>3009</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2852</v>
      </c>
      <c r="B153" s="154" t="s">
        <v>3000</v>
      </c>
      <c r="C153" s="155" t="s">
        <v>3010</v>
      </c>
      <c r="D153" s="158" t="s">
        <v>3011</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3012</v>
      </c>
      <c r="B154" s="152" t="s">
        <v>21</v>
      </c>
      <c r="C154" s="150" t="s">
        <v>3013</v>
      </c>
      <c r="D154" s="156" t="s">
        <v>3014</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3012</v>
      </c>
      <c r="B155" s="153" t="s">
        <v>3015</v>
      </c>
      <c r="C155" s="151" t="s">
        <v>3016</v>
      </c>
      <c r="D155" s="157" t="s">
        <v>3017</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3012</v>
      </c>
      <c r="B156" s="154" t="s">
        <v>3015</v>
      </c>
      <c r="C156" s="155" t="s">
        <v>3018</v>
      </c>
      <c r="D156" s="158" t="s">
        <v>3019</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3012</v>
      </c>
      <c r="B157" s="154" t="s">
        <v>3015</v>
      </c>
      <c r="C157" s="155" t="s">
        <v>3020</v>
      </c>
      <c r="D157" s="158" t="s">
        <v>3021</v>
      </c>
      <c r="E157" s="161" t="s">
        <v>3022</v>
      </c>
      <c r="F157" s="164" t="s">
        <v>2629</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3012</v>
      </c>
      <c r="B158" s="154" t="s">
        <v>3015</v>
      </c>
      <c r="C158" s="155" t="s">
        <v>3023</v>
      </c>
      <c r="D158" s="158" t="s">
        <v>3024</v>
      </c>
      <c r="E158" s="161" t="s">
        <v>3025</v>
      </c>
      <c r="F158" s="164" t="s">
        <v>2629</v>
      </c>
      <c r="G158" s="167">
        <f>IF(COUNTIF(H158:AU158,"&lt;&gt;")=0,"",SUMPRODUCT(((Recommendations[ImplStatus]="Implemented")+(Recommendations[ImplStatus]="Compensated"))*ISNUMBER(MATCH(Recommendations[Id],H158:AU158,0)))/COUNTIF(H158:AU158,"&lt;&gt;"))</f>
        <v>0</v>
      </c>
      <c r="H158" s="170" t="s">
        <v>25</v>
      </c>
      <c r="I158" s="170" t="s">
        <v>30</v>
      </c>
      <c r="J158" s="170" t="s">
        <v>34</v>
      </c>
      <c r="K158" s="170" t="s">
        <v>39</v>
      </c>
      <c r="L158" s="170" t="s">
        <v>457</v>
      </c>
      <c r="M158" s="170" t="s">
        <v>462</v>
      </c>
      <c r="N158" s="170" t="s">
        <v>465</v>
      </c>
      <c r="O158" s="170" t="s">
        <v>467</v>
      </c>
      <c r="P158" s="170" t="s">
        <v>471</v>
      </c>
      <c r="Q158" s="170" t="s">
        <v>475</v>
      </c>
      <c r="R158" s="170" t="s">
        <v>477</v>
      </c>
      <c r="S158" s="170" t="s">
        <v>482</v>
      </c>
      <c r="T158" s="170" t="s">
        <v>492</v>
      </c>
      <c r="U158" s="170" t="s">
        <v>679</v>
      </c>
      <c r="V158" s="170" t="s">
        <v>689</v>
      </c>
      <c r="W158" s="170" t="s">
        <v>699</v>
      </c>
      <c r="X158" s="170" t="s">
        <v>709</v>
      </c>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3012</v>
      </c>
      <c r="B159" s="154" t="s">
        <v>3015</v>
      </c>
      <c r="C159" s="155" t="s">
        <v>3026</v>
      </c>
      <c r="D159" s="158" t="s">
        <v>3027</v>
      </c>
      <c r="E159" s="161" t="s">
        <v>3028</v>
      </c>
      <c r="F159" s="164" t="s">
        <v>2629</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3012</v>
      </c>
      <c r="B160" s="154" t="s">
        <v>3015</v>
      </c>
      <c r="C160" s="155" t="s">
        <v>3029</v>
      </c>
      <c r="D160" s="158" t="s">
        <v>3030</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3012</v>
      </c>
      <c r="B161" s="154" t="s">
        <v>3015</v>
      </c>
      <c r="C161" s="155" t="s">
        <v>3031</v>
      </c>
      <c r="D161" s="158" t="s">
        <v>3032</v>
      </c>
      <c r="E161" s="161" t="s">
        <v>3033</v>
      </c>
      <c r="F161" s="164" t="s">
        <v>2629</v>
      </c>
      <c r="G161" s="167">
        <f>IF(COUNTIF(H161:AU161,"&lt;&gt;")=0,"",SUMPRODUCT(((Recommendations[ImplStatus]="Implemented")+(Recommendations[ImplStatus]="Compensated"))*ISNUMBER(MATCH(Recommendations[Id],H161:AU161,0)))/COUNTIF(H161:AU161,"&lt;&gt;"))</f>
        <v>0</v>
      </c>
      <c r="H161" s="170" t="s">
        <v>122</v>
      </c>
      <c r="I161" s="170" t="s">
        <v>127</v>
      </c>
      <c r="J161" s="170" t="s">
        <v>132</v>
      </c>
      <c r="K161" s="170" t="s">
        <v>231</v>
      </c>
      <c r="L161" s="170" t="s">
        <v>236</v>
      </c>
      <c r="M161" s="170" t="s">
        <v>241</v>
      </c>
      <c r="N161" s="170" t="s">
        <v>260</v>
      </c>
      <c r="O161" s="170" t="s">
        <v>487</v>
      </c>
      <c r="P161" s="170" t="s">
        <v>665</v>
      </c>
      <c r="Q161" s="170" t="s">
        <v>670</v>
      </c>
      <c r="R161" s="170" t="s">
        <v>674</v>
      </c>
      <c r="S161" s="170" t="s">
        <v>684</v>
      </c>
      <c r="T161" s="170" t="s">
        <v>719</v>
      </c>
      <c r="U161" s="170" t="s">
        <v>724</v>
      </c>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3012</v>
      </c>
      <c r="B162" s="154" t="s">
        <v>3015</v>
      </c>
      <c r="C162" s="155" t="s">
        <v>3034</v>
      </c>
      <c r="D162" s="158" t="s">
        <v>3035</v>
      </c>
      <c r="E162" s="161" t="s">
        <v>3036</v>
      </c>
      <c r="F162" s="164" t="s">
        <v>2629</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3012</v>
      </c>
      <c r="B163" s="154" t="s">
        <v>3015</v>
      </c>
      <c r="C163" s="155" t="s">
        <v>3037</v>
      </c>
      <c r="D163" s="158" t="s">
        <v>3038</v>
      </c>
      <c r="E163" s="161" t="s">
        <v>3039</v>
      </c>
      <c r="F163" s="164" t="s">
        <v>2629</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3012</v>
      </c>
      <c r="B164" s="153" t="s">
        <v>2433</v>
      </c>
      <c r="C164" s="151" t="s">
        <v>3040</v>
      </c>
      <c r="D164" s="157" t="s">
        <v>3041</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3012</v>
      </c>
      <c r="B165" s="154" t="s">
        <v>2433</v>
      </c>
      <c r="C165" s="155" t="s">
        <v>3042</v>
      </c>
      <c r="D165" s="158" t="s">
        <v>3043</v>
      </c>
      <c r="E165" s="161" t="s">
        <v>3044</v>
      </c>
      <c r="F165" s="164" t="s">
        <v>2629</v>
      </c>
      <c r="G165" s="167">
        <f>IF(COUNTIF(H165:AU165,"&lt;&gt;")=0,"",SUMPRODUCT(((Recommendations[ImplStatus]="Implemented")+(Recommendations[ImplStatus]="Compensated"))*ISNUMBER(MATCH(Recommendations[Id],H165:AU165,0)))/COUNTIF(H165:AU165,"&lt;&gt;"))</f>
        <v>0</v>
      </c>
      <c r="H165" s="170" t="s">
        <v>72</v>
      </c>
      <c r="I165" s="170" t="s">
        <v>78</v>
      </c>
      <c r="J165" s="170" t="s">
        <v>83</v>
      </c>
      <c r="K165" s="170" t="s">
        <v>87</v>
      </c>
      <c r="L165" s="170" t="s">
        <v>112</v>
      </c>
      <c r="M165" s="170" t="s">
        <v>117</v>
      </c>
      <c r="N165" s="170" t="s">
        <v>137</v>
      </c>
      <c r="O165" s="170" t="s">
        <v>143</v>
      </c>
      <c r="P165" s="170" t="s">
        <v>148</v>
      </c>
      <c r="Q165" s="170" t="s">
        <v>153</v>
      </c>
      <c r="R165" s="170" t="s">
        <v>158</v>
      </c>
      <c r="S165" s="170" t="s">
        <v>163</v>
      </c>
      <c r="T165" s="170" t="s">
        <v>168</v>
      </c>
      <c r="U165" s="170" t="s">
        <v>173</v>
      </c>
      <c r="V165" s="170" t="s">
        <v>178</v>
      </c>
      <c r="W165" s="170" t="s">
        <v>183</v>
      </c>
      <c r="X165" s="170" t="s">
        <v>188</v>
      </c>
      <c r="Y165" s="170" t="s">
        <v>193</v>
      </c>
      <c r="Z165" s="170" t="s">
        <v>197</v>
      </c>
      <c r="AA165" s="170" t="s">
        <v>202</v>
      </c>
      <c r="AB165" s="170" t="s">
        <v>207</v>
      </c>
      <c r="AC165" s="170" t="s">
        <v>212</v>
      </c>
      <c r="AD165" s="170" t="s">
        <v>217</v>
      </c>
      <c r="AE165" s="170" t="s">
        <v>222</v>
      </c>
      <c r="AF165" s="170" t="s">
        <v>226</v>
      </c>
      <c r="AG165" s="170" t="s">
        <v>245</v>
      </c>
      <c r="AH165" s="170" t="s">
        <v>250</v>
      </c>
      <c r="AI165" s="170" t="s">
        <v>255</v>
      </c>
      <c r="AJ165" s="170" t="s">
        <v>265</v>
      </c>
      <c r="AK165" s="170" t="s">
        <v>270</v>
      </c>
      <c r="AL165" s="170" t="s">
        <v>291</v>
      </c>
      <c r="AM165" s="170" t="s">
        <v>326</v>
      </c>
      <c r="AN165" s="170" t="s">
        <v>635</v>
      </c>
      <c r="AO165" s="170"/>
      <c r="AP165" s="170"/>
      <c r="AQ165" s="170"/>
      <c r="AR165" s="170"/>
      <c r="AS165" s="170"/>
      <c r="AT165" s="170"/>
      <c r="AU165" s="184"/>
    </row>
    <row r="166" spans="1:47" ht="60" customHeight="1" x14ac:dyDescent="0.35">
      <c r="A166" s="180" t="s">
        <v>3012</v>
      </c>
      <c r="B166" s="154" t="s">
        <v>2433</v>
      </c>
      <c r="C166" s="155" t="s">
        <v>3045</v>
      </c>
      <c r="D166" s="158" t="s">
        <v>3046</v>
      </c>
      <c r="E166" s="161" t="s">
        <v>3047</v>
      </c>
      <c r="F166" s="164" t="s">
        <v>2629</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3012</v>
      </c>
      <c r="B167" s="154" t="s">
        <v>2433</v>
      </c>
      <c r="C167" s="155" t="s">
        <v>3048</v>
      </c>
      <c r="D167" s="158" t="s">
        <v>3049</v>
      </c>
      <c r="E167" s="161" t="s">
        <v>3050</v>
      </c>
      <c r="F167" s="164" t="s">
        <v>2629</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3012</v>
      </c>
      <c r="B168" s="154" t="s">
        <v>2433</v>
      </c>
      <c r="C168" s="155" t="s">
        <v>3051</v>
      </c>
      <c r="D168" s="158" t="s">
        <v>3052</v>
      </c>
      <c r="E168" s="161"/>
      <c r="F168" s="164" t="s">
        <v>21</v>
      </c>
      <c r="G168" s="167">
        <f>IF(COUNTIF(H168:AU168,"&lt;&gt;")=0,"",SUMPRODUCT(((Recommendations[ImplStatus]="Implemented")+(Recommendations[ImplStatus]="Compensated"))*ISNUMBER(MATCH(Recommendations[Id],H168:AU168,0)))/COUNTIF(H168:AU168,"&lt;&gt;"))</f>
        <v>0</v>
      </c>
      <c r="H168" s="170" t="s">
        <v>112</v>
      </c>
      <c r="I168" s="170" t="s">
        <v>117</v>
      </c>
      <c r="J168" s="170" t="s">
        <v>143</v>
      </c>
      <c r="K168" s="170" t="s">
        <v>148</v>
      </c>
      <c r="L168" s="170" t="s">
        <v>173</v>
      </c>
      <c r="M168" s="170" t="s">
        <v>178</v>
      </c>
      <c r="N168" s="170" t="s">
        <v>183</v>
      </c>
      <c r="O168" s="170" t="s">
        <v>188</v>
      </c>
      <c r="P168" s="170" t="s">
        <v>193</v>
      </c>
      <c r="Q168" s="170" t="s">
        <v>197</v>
      </c>
      <c r="R168" s="170" t="s">
        <v>202</v>
      </c>
      <c r="S168" s="170" t="s">
        <v>207</v>
      </c>
      <c r="T168" s="170" t="s">
        <v>212</v>
      </c>
      <c r="U168" s="170" t="s">
        <v>245</v>
      </c>
      <c r="V168" s="170" t="s">
        <v>250</v>
      </c>
      <c r="W168" s="170" t="s">
        <v>255</v>
      </c>
      <c r="X168" s="170" t="s">
        <v>265</v>
      </c>
      <c r="Y168" s="170" t="s">
        <v>270</v>
      </c>
      <c r="Z168" s="170" t="s">
        <v>291</v>
      </c>
      <c r="AA168" s="170" t="s">
        <v>326</v>
      </c>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3012</v>
      </c>
      <c r="B169" s="154" t="s">
        <v>2433</v>
      </c>
      <c r="C169" s="155" t="s">
        <v>3053</v>
      </c>
      <c r="D169" s="158" t="s">
        <v>3054</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3012</v>
      </c>
      <c r="B170" s="154" t="s">
        <v>2433</v>
      </c>
      <c r="C170" s="155" t="s">
        <v>3055</v>
      </c>
      <c r="D170" s="158" t="s">
        <v>3056</v>
      </c>
      <c r="E170" s="161" t="s">
        <v>3057</v>
      </c>
      <c r="F170" s="164" t="s">
        <v>2643</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3012</v>
      </c>
      <c r="B171" s="154" t="s">
        <v>2433</v>
      </c>
      <c r="C171" s="155" t="s">
        <v>3058</v>
      </c>
      <c r="D171" s="158" t="s">
        <v>3059</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3012</v>
      </c>
      <c r="B172" s="154" t="s">
        <v>2433</v>
      </c>
      <c r="C172" s="155" t="s">
        <v>3060</v>
      </c>
      <c r="D172" s="158" t="s">
        <v>3061</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3012</v>
      </c>
      <c r="B173" s="154" t="s">
        <v>2433</v>
      </c>
      <c r="C173" s="155" t="s">
        <v>3062</v>
      </c>
      <c r="D173" s="158" t="s">
        <v>3063</v>
      </c>
      <c r="E173" s="161" t="s">
        <v>3064</v>
      </c>
      <c r="F173" s="164" t="s">
        <v>2629</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3012</v>
      </c>
      <c r="B174" s="153" t="s">
        <v>3065</v>
      </c>
      <c r="C174" s="151" t="s">
        <v>3066</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3012</v>
      </c>
      <c r="B175" s="154" t="s">
        <v>3065</v>
      </c>
      <c r="C175" s="155" t="s">
        <v>3067</v>
      </c>
      <c r="D175" s="158" t="s">
        <v>3068</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3012</v>
      </c>
      <c r="B176" s="154" t="s">
        <v>3065</v>
      </c>
      <c r="C176" s="155" t="s">
        <v>3069</v>
      </c>
      <c r="D176" s="158" t="s">
        <v>3070</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3012</v>
      </c>
      <c r="B177" s="154" t="s">
        <v>3065</v>
      </c>
      <c r="C177" s="155" t="s">
        <v>3071</v>
      </c>
      <c r="D177" s="158" t="s">
        <v>3072</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3012</v>
      </c>
      <c r="B178" s="154" t="s">
        <v>3065</v>
      </c>
      <c r="C178" s="155" t="s">
        <v>3073</v>
      </c>
      <c r="D178" s="158" t="s">
        <v>3074</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3012</v>
      </c>
      <c r="B179" s="154" t="s">
        <v>3065</v>
      </c>
      <c r="C179" s="155" t="s">
        <v>3075</v>
      </c>
      <c r="D179" s="158" t="s">
        <v>3076</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3077</v>
      </c>
      <c r="B180" s="152" t="s">
        <v>21</v>
      </c>
      <c r="C180" s="150" t="s">
        <v>3078</v>
      </c>
      <c r="D180" s="156" t="s">
        <v>3079</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3077</v>
      </c>
      <c r="B181" s="153" t="s">
        <v>3080</v>
      </c>
      <c r="C181" s="151" t="s">
        <v>3081</v>
      </c>
      <c r="D181" s="157" t="s">
        <v>3082</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3077</v>
      </c>
      <c r="B182" s="154" t="s">
        <v>3080</v>
      </c>
      <c r="C182" s="155" t="s">
        <v>3083</v>
      </c>
      <c r="D182" s="158" t="s">
        <v>3084</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3077</v>
      </c>
      <c r="B183" s="154" t="s">
        <v>3080</v>
      </c>
      <c r="C183" s="155" t="s">
        <v>3085</v>
      </c>
      <c r="D183" s="158" t="s">
        <v>3086</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3077</v>
      </c>
      <c r="B184" s="154" t="s">
        <v>3080</v>
      </c>
      <c r="C184" s="155" t="s">
        <v>3087</v>
      </c>
      <c r="D184" s="158" t="s">
        <v>3088</v>
      </c>
      <c r="E184" s="161" t="s">
        <v>3089</v>
      </c>
      <c r="F184" s="164" t="s">
        <v>2629</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3077</v>
      </c>
      <c r="B185" s="154" t="s">
        <v>3080</v>
      </c>
      <c r="C185" s="155" t="s">
        <v>3090</v>
      </c>
      <c r="D185" s="158" t="s">
        <v>3091</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3077</v>
      </c>
      <c r="B186" s="154" t="s">
        <v>3080</v>
      </c>
      <c r="C186" s="155" t="s">
        <v>3092</v>
      </c>
      <c r="D186" s="158" t="s">
        <v>3093</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3077</v>
      </c>
      <c r="B187" s="154" t="s">
        <v>3080</v>
      </c>
      <c r="C187" s="155" t="s">
        <v>3094</v>
      </c>
      <c r="D187" s="158" t="s">
        <v>3095</v>
      </c>
      <c r="E187" s="161" t="s">
        <v>3096</v>
      </c>
      <c r="F187" s="164" t="s">
        <v>2629</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3077</v>
      </c>
      <c r="B188" s="154" t="s">
        <v>3080</v>
      </c>
      <c r="C188" s="155" t="s">
        <v>3097</v>
      </c>
      <c r="D188" s="158" t="s">
        <v>3098</v>
      </c>
      <c r="E188" s="161" t="s">
        <v>3099</v>
      </c>
      <c r="F188" s="164" t="s">
        <v>2629</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3077</v>
      </c>
      <c r="B189" s="154" t="s">
        <v>3080</v>
      </c>
      <c r="C189" s="155" t="s">
        <v>3100</v>
      </c>
      <c r="D189" s="158" t="s">
        <v>3101</v>
      </c>
      <c r="E189" s="161" t="s">
        <v>3102</v>
      </c>
      <c r="F189" s="164" t="s">
        <v>2629</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3077</v>
      </c>
      <c r="B190" s="153" t="s">
        <v>3103</v>
      </c>
      <c r="C190" s="151" t="s">
        <v>3104</v>
      </c>
      <c r="D190" s="157" t="s">
        <v>3105</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3077</v>
      </c>
      <c r="B191" s="154" t="s">
        <v>3103</v>
      </c>
      <c r="C191" s="155" t="s">
        <v>3106</v>
      </c>
      <c r="D191" s="158" t="s">
        <v>3107</v>
      </c>
      <c r="E191" s="161"/>
      <c r="F191" s="164" t="s">
        <v>21</v>
      </c>
      <c r="G191" s="167">
        <f>IF(COUNTIF(H191:AU191,"&lt;&gt;")=0,"",SUMPRODUCT(((Recommendations[ImplStatus]="Implemented")+(Recommendations[ImplStatus]="Compensated"))*ISNUMBER(MATCH(Recommendations[Id],H191:AU191,0)))/COUNTIF(H191:AU191,"&lt;&gt;"))</f>
        <v>0</v>
      </c>
      <c r="H191" s="170" t="s">
        <v>122</v>
      </c>
      <c r="I191" s="170" t="s">
        <v>127</v>
      </c>
      <c r="J191" s="170" t="s">
        <v>132</v>
      </c>
      <c r="K191" s="170" t="s">
        <v>231</v>
      </c>
      <c r="L191" s="170" t="s">
        <v>236</v>
      </c>
      <c r="M191" s="170" t="s">
        <v>241</v>
      </c>
      <c r="N191" s="170" t="s">
        <v>260</v>
      </c>
      <c r="O191" s="170" t="s">
        <v>487</v>
      </c>
      <c r="P191" s="170" t="s">
        <v>665</v>
      </c>
      <c r="Q191" s="170" t="s">
        <v>670</v>
      </c>
      <c r="R191" s="170" t="s">
        <v>674</v>
      </c>
      <c r="S191" s="170" t="s">
        <v>684</v>
      </c>
      <c r="T191" s="170" t="s">
        <v>719</v>
      </c>
      <c r="U191" s="170" t="s">
        <v>724</v>
      </c>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3077</v>
      </c>
      <c r="B192" s="154" t="s">
        <v>3103</v>
      </c>
      <c r="C192" s="155" t="s">
        <v>3108</v>
      </c>
      <c r="D192" s="158" t="s">
        <v>3109</v>
      </c>
      <c r="E192" s="161" t="s">
        <v>3110</v>
      </c>
      <c r="F192" s="164" t="s">
        <v>2633</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3077</v>
      </c>
      <c r="B193" s="154" t="s">
        <v>3103</v>
      </c>
      <c r="C193" s="155" t="s">
        <v>3111</v>
      </c>
      <c r="D193" s="158" t="s">
        <v>3112</v>
      </c>
      <c r="E193" s="161" t="s">
        <v>3113</v>
      </c>
      <c r="F193" s="164" t="s">
        <v>2633</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3077</v>
      </c>
      <c r="B194" s="154" t="s">
        <v>3103</v>
      </c>
      <c r="C194" s="155" t="s">
        <v>3114</v>
      </c>
      <c r="D194" s="158" t="s">
        <v>3115</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3077</v>
      </c>
      <c r="B195" s="154" t="s">
        <v>3103</v>
      </c>
      <c r="C195" s="155" t="s">
        <v>3116</v>
      </c>
      <c r="D195" s="158" t="s">
        <v>3117</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3077</v>
      </c>
      <c r="B196" s="153" t="s">
        <v>3118</v>
      </c>
      <c r="C196" s="151" t="s">
        <v>3119</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3077</v>
      </c>
      <c r="B197" s="154" t="s">
        <v>3118</v>
      </c>
      <c r="C197" s="155" t="s">
        <v>3120</v>
      </c>
      <c r="D197" s="158" t="s">
        <v>3121</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3077</v>
      </c>
      <c r="B198" s="154" t="s">
        <v>3118</v>
      </c>
      <c r="C198" s="155" t="s">
        <v>3122</v>
      </c>
      <c r="D198" s="158" t="s">
        <v>3123</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3077</v>
      </c>
      <c r="B199" s="153" t="s">
        <v>3124</v>
      </c>
      <c r="C199" s="151" t="s">
        <v>3125</v>
      </c>
      <c r="D199" s="157" t="s">
        <v>3126</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3077</v>
      </c>
      <c r="B200" s="154" t="s">
        <v>3124</v>
      </c>
      <c r="C200" s="155" t="s">
        <v>3127</v>
      </c>
      <c r="D200" s="158" t="s">
        <v>3128</v>
      </c>
      <c r="E200" s="161" t="s">
        <v>3129</v>
      </c>
      <c r="F200" s="164" t="s">
        <v>2643</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3077</v>
      </c>
      <c r="B201" s="154" t="s">
        <v>3124</v>
      </c>
      <c r="C201" s="155" t="s">
        <v>3130</v>
      </c>
      <c r="D201" s="158" t="s">
        <v>3131</v>
      </c>
      <c r="E201" s="161" t="s">
        <v>3132</v>
      </c>
      <c r="F201" s="164" t="s">
        <v>2629</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3077</v>
      </c>
      <c r="B202" s="154" t="s">
        <v>3124</v>
      </c>
      <c r="C202" s="155" t="s">
        <v>3133</v>
      </c>
      <c r="D202" s="158" t="s">
        <v>3134</v>
      </c>
      <c r="E202" s="161" t="s">
        <v>3135</v>
      </c>
      <c r="F202" s="164" t="s">
        <v>2629</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3077</v>
      </c>
      <c r="B203" s="154" t="s">
        <v>3124</v>
      </c>
      <c r="C203" s="155" t="s">
        <v>3136</v>
      </c>
      <c r="D203" s="158" t="s">
        <v>3137</v>
      </c>
      <c r="E203" s="161" t="s">
        <v>3138</v>
      </c>
      <c r="F203" s="164" t="s">
        <v>2629</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3077</v>
      </c>
      <c r="B204" s="154" t="s">
        <v>3124</v>
      </c>
      <c r="C204" s="155" t="s">
        <v>3139</v>
      </c>
      <c r="D204" s="158" t="s">
        <v>3140</v>
      </c>
      <c r="E204" s="161" t="s">
        <v>3141</v>
      </c>
      <c r="F204" s="164" t="s">
        <v>2629</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3077</v>
      </c>
      <c r="B205" s="153" t="s">
        <v>3142</v>
      </c>
      <c r="C205" s="151" t="s">
        <v>3143</v>
      </c>
      <c r="D205" s="157" t="s">
        <v>3144</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3077</v>
      </c>
      <c r="B206" s="154" t="s">
        <v>3142</v>
      </c>
      <c r="C206" s="155" t="s">
        <v>3145</v>
      </c>
      <c r="D206" s="158" t="s">
        <v>3146</v>
      </c>
      <c r="E206" s="161" t="s">
        <v>3147</v>
      </c>
      <c r="F206" s="164" t="s">
        <v>2633</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3077</v>
      </c>
      <c r="B207" s="154" t="s">
        <v>3142</v>
      </c>
      <c r="C207" s="155" t="s">
        <v>3148</v>
      </c>
      <c r="D207" s="158" t="s">
        <v>3149</v>
      </c>
      <c r="E207" s="161" t="s">
        <v>3150</v>
      </c>
      <c r="F207" s="164" t="s">
        <v>2633</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3077</v>
      </c>
      <c r="B208" s="154" t="s">
        <v>3142</v>
      </c>
      <c r="C208" s="155" t="s">
        <v>3151</v>
      </c>
      <c r="D208" s="158" t="s">
        <v>3152</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3077</v>
      </c>
      <c r="B209" s="153" t="s">
        <v>3153</v>
      </c>
      <c r="C209" s="151" t="s">
        <v>3154</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3077</v>
      </c>
      <c r="B210" s="154" t="s">
        <v>3153</v>
      </c>
      <c r="C210" s="155" t="s">
        <v>3155</v>
      </c>
      <c r="D210" s="158" t="s">
        <v>3156</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3157</v>
      </c>
      <c r="B211" s="152" t="s">
        <v>21</v>
      </c>
      <c r="C211" s="150" t="s">
        <v>3158</v>
      </c>
      <c r="D211" s="156" t="s">
        <v>3159</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3157</v>
      </c>
      <c r="B212" s="153" t="s">
        <v>3160</v>
      </c>
      <c r="C212" s="151" t="s">
        <v>3161</v>
      </c>
      <c r="D212" s="157" t="s">
        <v>3162</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3157</v>
      </c>
      <c r="B213" s="154" t="s">
        <v>3160</v>
      </c>
      <c r="C213" s="155" t="s">
        <v>3163</v>
      </c>
      <c r="D213" s="158" t="s">
        <v>3164</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3157</v>
      </c>
      <c r="B214" s="154" t="s">
        <v>3160</v>
      </c>
      <c r="C214" s="155" t="s">
        <v>3165</v>
      </c>
      <c r="D214" s="158" t="s">
        <v>3166</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3157</v>
      </c>
      <c r="B215" s="154" t="s">
        <v>3160</v>
      </c>
      <c r="C215" s="155" t="s">
        <v>3167</v>
      </c>
      <c r="D215" s="158" t="s">
        <v>3168</v>
      </c>
      <c r="E215" s="161" t="s">
        <v>3169</v>
      </c>
      <c r="F215" s="164" t="s">
        <v>2633</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3157</v>
      </c>
      <c r="B216" s="154" t="s">
        <v>3160</v>
      </c>
      <c r="C216" s="155" t="s">
        <v>3170</v>
      </c>
      <c r="D216" s="158" t="s">
        <v>3171</v>
      </c>
      <c r="E216" s="161" t="s">
        <v>3172</v>
      </c>
      <c r="F216" s="164" t="s">
        <v>2629</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3157</v>
      </c>
      <c r="B217" s="153" t="s">
        <v>3118</v>
      </c>
      <c r="C217" s="151" t="s">
        <v>3173</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3157</v>
      </c>
      <c r="B218" s="154" t="s">
        <v>3118</v>
      </c>
      <c r="C218" s="155" t="s">
        <v>3174</v>
      </c>
      <c r="D218" s="158" t="s">
        <v>3175</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3157</v>
      </c>
      <c r="B219" s="154" t="s">
        <v>3118</v>
      </c>
      <c r="C219" s="155" t="s">
        <v>3176</v>
      </c>
      <c r="D219" s="158" t="s">
        <v>3177</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3157</v>
      </c>
      <c r="B220" s="153" t="s">
        <v>3178</v>
      </c>
      <c r="C220" s="151" t="s">
        <v>3179</v>
      </c>
      <c r="D220" s="157" t="s">
        <v>3180</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3157</v>
      </c>
      <c r="B221" s="154" t="s">
        <v>3178</v>
      </c>
      <c r="C221" s="155" t="s">
        <v>3181</v>
      </c>
      <c r="D221" s="158" t="s">
        <v>3182</v>
      </c>
      <c r="E221" s="161" t="s">
        <v>3183</v>
      </c>
      <c r="F221" s="164" t="s">
        <v>2629</v>
      </c>
      <c r="G221" s="167">
        <f>IF(COUNTIF(H221:AU221,"&lt;&gt;")=0,"",SUMPRODUCT(((Recommendations[ImplStatus]="Implemented")+(Recommendations[ImplStatus]="Compensated"))*ISNUMBER(MATCH(Recommendations[Id],H221:AU221,0)))/COUNTIF(H221:AU221,"&lt;&gt;"))</f>
        <v>0</v>
      </c>
      <c r="H221" s="170" t="s">
        <v>507</v>
      </c>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3157</v>
      </c>
      <c r="B222" s="154" t="s">
        <v>3178</v>
      </c>
      <c r="C222" s="155" t="s">
        <v>3184</v>
      </c>
      <c r="D222" s="158" t="s">
        <v>3185</v>
      </c>
      <c r="E222" s="161" t="s">
        <v>3186</v>
      </c>
      <c r="F222" s="164" t="s">
        <v>2629</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3157</v>
      </c>
      <c r="B223" s="154" t="s">
        <v>3178</v>
      </c>
      <c r="C223" s="155" t="s">
        <v>3187</v>
      </c>
      <c r="D223" s="158" t="s">
        <v>3188</v>
      </c>
      <c r="E223" s="161" t="s">
        <v>3189</v>
      </c>
      <c r="F223" s="164" t="s">
        <v>2629</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3157</v>
      </c>
      <c r="B224" s="154" t="s">
        <v>3178</v>
      </c>
      <c r="C224" s="155" t="s">
        <v>3190</v>
      </c>
      <c r="D224" s="158" t="s">
        <v>3191</v>
      </c>
      <c r="E224" s="161" t="s">
        <v>3192</v>
      </c>
      <c r="F224" s="164" t="s">
        <v>2629</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3157</v>
      </c>
      <c r="B225" s="154" t="s">
        <v>3178</v>
      </c>
      <c r="C225" s="155" t="s">
        <v>3193</v>
      </c>
      <c r="D225" s="158" t="s">
        <v>3194</v>
      </c>
      <c r="E225" s="161" t="s">
        <v>3195</v>
      </c>
      <c r="F225" s="164" t="s">
        <v>2629</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3157</v>
      </c>
      <c r="B226" s="171" t="s">
        <v>3178</v>
      </c>
      <c r="C226" s="172" t="s">
        <v>3196</v>
      </c>
      <c r="D226" s="173" t="s">
        <v>3197</v>
      </c>
      <c r="E226" s="174" t="s">
        <v>3198</v>
      </c>
      <c r="F226" s="175" t="s">
        <v>2629</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733</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IFERROR(INDEX('Recommendations'!$H$2:$H$149, MATCH(H2,'Recommendations'!$A$2:$A$149,0))="Implemented", FALSE))</xm:f>
            <x14:dxf>
              <font>
                <color rgb="FF000000"/>
              </font>
              <fill>
                <patternFill>
                  <bgColor rgb="FF3C7D22"/>
                </patternFill>
              </fill>
            </x14:dxf>
          </x14:cfRule>
          <x14:cfRule type="expression" priority="2" id="{00000000-000E-0000-0700-000002000000}">
            <xm:f>AND(H2&lt;&gt;"", IFERROR(INDEX('Recommendations'!$H$2:$H$149, MATCH(H2,'Recommendations'!$A$2:$A$149,0))="Compensated", FALSE))</xm:f>
            <x14:dxf>
              <font>
                <color rgb="FF000000"/>
              </font>
              <fill>
                <patternFill>
                  <bgColor rgb="FFC6E0B4"/>
                </patternFill>
              </fill>
            </x14:dxf>
          </x14:cfRule>
          <x14:cfRule type="expression" priority="3" id="{00000000-000E-0000-0700-000003000000}">
            <xm:f>AND(H2&lt;&gt;"", IFERROR(INDEX('Recommendations'!$H$2:$H$149, MATCH(H2,'Recommendations'!$A$2:$A$149,0))="Testing", FALSE))</xm:f>
            <x14:dxf>
              <font>
                <color rgb="FF000000"/>
              </font>
              <fill>
                <patternFill>
                  <bgColor rgb="FFFFC000"/>
                </patternFill>
              </fill>
            </x14:dxf>
          </x14:cfRule>
          <x14:cfRule type="expression" priority="4" id="{00000000-000E-0000-0700-000004000000}">
            <xm:f>AND(H2&lt;&gt;"", IFERROR(INDEX('Recommendations'!$H$2:$H$149, MATCH(H2,'Recommendations'!$A$2:$A$149,0))="Failed", FALSE))</xm:f>
            <x14:dxf>
              <font>
                <color rgb="FF000000"/>
              </font>
              <fill>
                <patternFill>
                  <bgColor rgb="FFD82891"/>
                </patternFill>
              </fill>
            </x14:dxf>
          </x14:cfRule>
          <x14:cfRule type="expression" priority="5" id="{00000000-000E-0000-0700-000005000000}">
            <xm:f>AND(H2&lt;&gt;"", IFERROR(INDEX('Recommendations'!$H$2:$H$149, MATCH(H2,'Recommendations'!$A$2:$A$149,0))="Risk Accepted", FALSE))</xm:f>
            <x14:dxf>
              <font>
                <color rgb="FF000000"/>
              </font>
              <fill>
                <patternFill>
                  <bgColor rgb="FFD9D9D9"/>
                </patternFill>
              </fill>
            </x14:dxf>
          </x14:cfRule>
          <x14:cfRule type="expression" priority="6" id="{00000000-000E-0000-0700-000006000000}">
            <xm:f>AND(H2&lt;&gt;"", IFERROR(INDEX('Recommendations'!$H$2:$H$149, MATCH(H2,'Recommendations'!$A$2:$A$149,0))="N/A",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2616</v>
      </c>
      <c r="B1" s="210" t="s">
        <v>3199</v>
      </c>
      <c r="C1" s="210" t="s">
        <v>3200</v>
      </c>
      <c r="D1" s="210" t="s">
        <v>3201</v>
      </c>
      <c r="E1" s="210" t="s">
        <v>1925</v>
      </c>
      <c r="F1" s="210" t="s">
        <v>984</v>
      </c>
      <c r="G1" s="210" t="s">
        <v>985</v>
      </c>
      <c r="H1" s="210" t="s">
        <v>986</v>
      </c>
      <c r="I1" s="210" t="s">
        <v>987</v>
      </c>
      <c r="J1" s="210" t="s">
        <v>988</v>
      </c>
      <c r="K1" s="210" t="s">
        <v>989</v>
      </c>
      <c r="L1" s="210" t="s">
        <v>990</v>
      </c>
      <c r="M1" s="210" t="s">
        <v>991</v>
      </c>
      <c r="N1" s="210" t="s">
        <v>992</v>
      </c>
      <c r="O1" s="210" t="s">
        <v>993</v>
      </c>
      <c r="P1" s="210" t="s">
        <v>994</v>
      </c>
      <c r="Q1" s="210" t="s">
        <v>995</v>
      </c>
      <c r="R1" s="210" t="s">
        <v>996</v>
      </c>
      <c r="S1" s="210" t="s">
        <v>997</v>
      </c>
      <c r="T1" s="210" t="s">
        <v>998</v>
      </c>
      <c r="U1" s="210" t="s">
        <v>999</v>
      </c>
      <c r="V1" s="210" t="s">
        <v>1000</v>
      </c>
      <c r="W1" s="210" t="s">
        <v>1001</v>
      </c>
      <c r="X1" s="210" t="s">
        <v>1002</v>
      </c>
      <c r="Y1" s="210" t="s">
        <v>1003</v>
      </c>
      <c r="Z1" s="210" t="s">
        <v>1004</v>
      </c>
      <c r="AA1" s="210" t="s">
        <v>1005</v>
      </c>
      <c r="AB1" s="210" t="s">
        <v>1006</v>
      </c>
      <c r="AC1" s="210" t="s">
        <v>1007</v>
      </c>
      <c r="AD1" s="210" t="s">
        <v>1008</v>
      </c>
      <c r="AE1" s="210" t="s">
        <v>1009</v>
      </c>
      <c r="AF1" s="210" t="s">
        <v>1010</v>
      </c>
      <c r="AG1" s="210" t="s">
        <v>1011</v>
      </c>
      <c r="AH1" s="210" t="s">
        <v>1012</v>
      </c>
      <c r="AI1" s="210" t="s">
        <v>1013</v>
      </c>
      <c r="AJ1" s="210" t="s">
        <v>1014</v>
      </c>
      <c r="AK1" s="210" t="s">
        <v>1015</v>
      </c>
      <c r="AL1" s="210" t="s">
        <v>1016</v>
      </c>
      <c r="AM1" s="210" t="s">
        <v>1017</v>
      </c>
      <c r="AN1" s="210" t="s">
        <v>1018</v>
      </c>
      <c r="AO1" s="210" t="s">
        <v>1019</v>
      </c>
      <c r="AP1" s="210" t="s">
        <v>1020</v>
      </c>
      <c r="AQ1" s="210" t="s">
        <v>1021</v>
      </c>
      <c r="AR1" s="210" t="s">
        <v>1022</v>
      </c>
      <c r="AS1" s="210" t="s">
        <v>1023</v>
      </c>
      <c r="AT1" s="211" t="s">
        <v>1024</v>
      </c>
    </row>
    <row r="2" spans="1:46" ht="60" customHeight="1" outlineLevel="1" x14ac:dyDescent="0.35">
      <c r="A2" s="203" t="s">
        <v>825</v>
      </c>
      <c r="B2" s="189" t="s">
        <v>3202</v>
      </c>
      <c r="C2" s="189"/>
      <c r="D2" s="192" t="s">
        <v>3203</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825</v>
      </c>
      <c r="B3" s="190" t="s">
        <v>3202</v>
      </c>
      <c r="C3" s="191" t="s">
        <v>3204</v>
      </c>
      <c r="D3" s="193" t="s">
        <v>3205</v>
      </c>
      <c r="E3" s="193" t="s">
        <v>3206</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825</v>
      </c>
      <c r="B4" s="190" t="s">
        <v>3202</v>
      </c>
      <c r="C4" s="191" t="s">
        <v>3207</v>
      </c>
      <c r="D4" s="193" t="s">
        <v>3208</v>
      </c>
      <c r="E4" s="193" t="s">
        <v>3209</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825</v>
      </c>
      <c r="B5" s="190" t="s">
        <v>3202</v>
      </c>
      <c r="C5" s="191" t="s">
        <v>3210</v>
      </c>
      <c r="D5" s="193" t="s">
        <v>3211</v>
      </c>
      <c r="E5" s="193" t="s">
        <v>3212</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825</v>
      </c>
      <c r="B6" s="190" t="s">
        <v>3202</v>
      </c>
      <c r="C6" s="191" t="s">
        <v>3213</v>
      </c>
      <c r="D6" s="193" t="s">
        <v>3214</v>
      </c>
      <c r="E6" s="193" t="s">
        <v>3215</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825</v>
      </c>
      <c r="B7" s="190" t="s">
        <v>3202</v>
      </c>
      <c r="C7" s="191" t="s">
        <v>3216</v>
      </c>
      <c r="D7" s="193" t="s">
        <v>3217</v>
      </c>
      <c r="E7" s="193" t="s">
        <v>3218</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825</v>
      </c>
      <c r="B8" s="190" t="s">
        <v>3202</v>
      </c>
      <c r="C8" s="191" t="s">
        <v>3219</v>
      </c>
      <c r="D8" s="193" t="s">
        <v>3220</v>
      </c>
      <c r="E8" s="193" t="s">
        <v>3221</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825</v>
      </c>
      <c r="B9" s="190" t="s">
        <v>3202</v>
      </c>
      <c r="C9" s="191" t="s">
        <v>3222</v>
      </c>
      <c r="D9" s="193" t="s">
        <v>3223</v>
      </c>
      <c r="E9" s="193" t="s">
        <v>3224</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825</v>
      </c>
      <c r="B10" s="190" t="s">
        <v>3202</v>
      </c>
      <c r="C10" s="191" t="s">
        <v>3225</v>
      </c>
      <c r="D10" s="193" t="s">
        <v>3226</v>
      </c>
      <c r="E10" s="193" t="s">
        <v>3227</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825</v>
      </c>
      <c r="B11" s="190" t="s">
        <v>3202</v>
      </c>
      <c r="C11" s="191" t="s">
        <v>3228</v>
      </c>
      <c r="D11" s="193" t="s">
        <v>3229</v>
      </c>
      <c r="E11" s="193" t="s">
        <v>3230</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825</v>
      </c>
      <c r="B12" s="190" t="s">
        <v>3202</v>
      </c>
      <c r="C12" s="191" t="s">
        <v>3231</v>
      </c>
      <c r="D12" s="193" t="s">
        <v>3232</v>
      </c>
      <c r="E12" s="193" t="s">
        <v>3233</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825</v>
      </c>
      <c r="B13" s="190" t="s">
        <v>3202</v>
      </c>
      <c r="C13" s="191" t="s">
        <v>3234</v>
      </c>
      <c r="D13" s="193" t="s">
        <v>3235</v>
      </c>
      <c r="E13" s="193" t="s">
        <v>3236</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825</v>
      </c>
      <c r="B14" s="190" t="s">
        <v>3202</v>
      </c>
      <c r="C14" s="191" t="s">
        <v>3237</v>
      </c>
      <c r="D14" s="193" t="s">
        <v>3238</v>
      </c>
      <c r="E14" s="193" t="s">
        <v>3239</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825</v>
      </c>
      <c r="B15" s="190" t="s">
        <v>3202</v>
      </c>
      <c r="C15" s="191" t="s">
        <v>3240</v>
      </c>
      <c r="D15" s="193" t="s">
        <v>3241</v>
      </c>
      <c r="E15" s="193" t="s">
        <v>3242</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825</v>
      </c>
      <c r="B16" s="190" t="s">
        <v>3202</v>
      </c>
      <c r="C16" s="191" t="s">
        <v>3243</v>
      </c>
      <c r="D16" s="193" t="s">
        <v>3244</v>
      </c>
      <c r="E16" s="193" t="s">
        <v>3245</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825</v>
      </c>
      <c r="B17" s="190" t="s">
        <v>3202</v>
      </c>
      <c r="C17" s="191" t="s">
        <v>3246</v>
      </c>
      <c r="D17" s="193" t="s">
        <v>3247</v>
      </c>
      <c r="E17" s="193" t="s">
        <v>3248</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825</v>
      </c>
      <c r="B18" s="190" t="s">
        <v>3202</v>
      </c>
      <c r="C18" s="191" t="s">
        <v>3249</v>
      </c>
      <c r="D18" s="193" t="s">
        <v>3250</v>
      </c>
      <c r="E18" s="193" t="s">
        <v>3251</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825</v>
      </c>
      <c r="B19" s="189" t="s">
        <v>3252</v>
      </c>
      <c r="C19" s="189"/>
      <c r="D19" s="192" t="s">
        <v>3253</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825</v>
      </c>
      <c r="B20" s="190" t="s">
        <v>3252</v>
      </c>
      <c r="C20" s="191" t="s">
        <v>3254</v>
      </c>
      <c r="D20" s="193" t="s">
        <v>3255</v>
      </c>
      <c r="E20" s="193" t="s">
        <v>3256</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825</v>
      </c>
      <c r="B21" s="190" t="s">
        <v>3252</v>
      </c>
      <c r="C21" s="191" t="s">
        <v>3257</v>
      </c>
      <c r="D21" s="193" t="s">
        <v>3258</v>
      </c>
      <c r="E21" s="193" t="s">
        <v>3259</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825</v>
      </c>
      <c r="B22" s="190" t="s">
        <v>3252</v>
      </c>
      <c r="C22" s="191" t="s">
        <v>3260</v>
      </c>
      <c r="D22" s="193" t="s">
        <v>3261</v>
      </c>
      <c r="E22" s="193" t="s">
        <v>3262</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825</v>
      </c>
      <c r="B23" s="190" t="s">
        <v>3252</v>
      </c>
      <c r="C23" s="191" t="s">
        <v>3263</v>
      </c>
      <c r="D23" s="193" t="s">
        <v>3264</v>
      </c>
      <c r="E23" s="193" t="s">
        <v>3265</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825</v>
      </c>
      <c r="B24" s="190" t="s">
        <v>3252</v>
      </c>
      <c r="C24" s="191" t="s">
        <v>3266</v>
      </c>
      <c r="D24" s="193" t="s">
        <v>3267</v>
      </c>
      <c r="E24" s="193" t="s">
        <v>3268</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825</v>
      </c>
      <c r="B25" s="190" t="s">
        <v>3252</v>
      </c>
      <c r="C25" s="191" t="s">
        <v>3269</v>
      </c>
      <c r="D25" s="193" t="s">
        <v>3270</v>
      </c>
      <c r="E25" s="193" t="s">
        <v>3271</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825</v>
      </c>
      <c r="B26" s="190" t="s">
        <v>3252</v>
      </c>
      <c r="C26" s="191" t="s">
        <v>3272</v>
      </c>
      <c r="D26" s="193" t="s">
        <v>3273</v>
      </c>
      <c r="E26" s="193" t="s">
        <v>3274</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825</v>
      </c>
      <c r="B27" s="190" t="s">
        <v>3252</v>
      </c>
      <c r="C27" s="191" t="s">
        <v>3275</v>
      </c>
      <c r="D27" s="193" t="s">
        <v>3276</v>
      </c>
      <c r="E27" s="193" t="s">
        <v>3277</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825</v>
      </c>
      <c r="B28" s="190" t="s">
        <v>3252</v>
      </c>
      <c r="C28" s="191" t="s">
        <v>3278</v>
      </c>
      <c r="D28" s="193" t="s">
        <v>3279</v>
      </c>
      <c r="E28" s="193" t="s">
        <v>3280</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825</v>
      </c>
      <c r="B29" s="190" t="s">
        <v>3252</v>
      </c>
      <c r="C29" s="191" t="s">
        <v>3281</v>
      </c>
      <c r="D29" s="193" t="s">
        <v>3282</v>
      </c>
      <c r="E29" s="193" t="s">
        <v>3283</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825</v>
      </c>
      <c r="B30" s="190" t="s">
        <v>3252</v>
      </c>
      <c r="C30" s="191" t="s">
        <v>3284</v>
      </c>
      <c r="D30" s="193" t="s">
        <v>3285</v>
      </c>
      <c r="E30" s="193" t="s">
        <v>3286</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825</v>
      </c>
      <c r="B31" s="190" t="s">
        <v>3252</v>
      </c>
      <c r="C31" s="191" t="s">
        <v>3287</v>
      </c>
      <c r="D31" s="193" t="s">
        <v>3288</v>
      </c>
      <c r="E31" s="193" t="s">
        <v>3289</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3290</v>
      </c>
      <c r="B32" s="189"/>
      <c r="C32" s="189"/>
      <c r="D32" s="192" t="s">
        <v>3291</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3290</v>
      </c>
      <c r="B33" s="190"/>
      <c r="C33" s="191" t="s">
        <v>3292</v>
      </c>
      <c r="D33" s="193" t="s">
        <v>3293</v>
      </c>
      <c r="E33" s="193" t="s">
        <v>3294</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3290</v>
      </c>
      <c r="B34" s="190"/>
      <c r="C34" s="191" t="s">
        <v>3295</v>
      </c>
      <c r="D34" s="193" t="s">
        <v>3296</v>
      </c>
      <c r="E34" s="193" t="s">
        <v>3297</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3290</v>
      </c>
      <c r="B35" s="190"/>
      <c r="C35" s="191" t="s">
        <v>3298</v>
      </c>
      <c r="D35" s="193" t="s">
        <v>3299</v>
      </c>
      <c r="E35" s="193" t="s">
        <v>3300</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3290</v>
      </c>
      <c r="B36" s="189" t="s">
        <v>3301</v>
      </c>
      <c r="C36" s="189"/>
      <c r="D36" s="192" t="s">
        <v>3302</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3290</v>
      </c>
      <c r="B37" s="190" t="s">
        <v>3301</v>
      </c>
      <c r="C37" s="191" t="s">
        <v>3303</v>
      </c>
      <c r="D37" s="193" t="s">
        <v>3304</v>
      </c>
      <c r="E37" s="193" t="s">
        <v>3305</v>
      </c>
      <c r="F37" s="195">
        <f>IF(COUNTIF(G37:AT37,"&lt;&gt;")=0,"",SUMPRODUCT(((Recommendations[ImplStatus]="Implemented")+(Recommendations[ImplStatus]="Compensated"))*ISNUMBER(MATCH(Recommendations[Id],G37:AT37,0)))/COUNTIF(G37:AT37,"&lt;&gt;"))</f>
        <v>0</v>
      </c>
      <c r="G37" s="197" t="s">
        <v>418</v>
      </c>
      <c r="H37" s="197" t="s">
        <v>423</v>
      </c>
      <c r="I37" s="197" t="s">
        <v>426</v>
      </c>
      <c r="J37" s="197" t="s">
        <v>429</v>
      </c>
      <c r="K37" s="197" t="s">
        <v>432</v>
      </c>
      <c r="L37" s="197" t="s">
        <v>557</v>
      </c>
      <c r="M37" s="197" t="s">
        <v>567</v>
      </c>
      <c r="N37" s="197" t="s">
        <v>572</v>
      </c>
      <c r="O37" s="197" t="s">
        <v>577</v>
      </c>
      <c r="P37" s="197" t="s">
        <v>582</v>
      </c>
      <c r="Q37" s="197" t="s">
        <v>587</v>
      </c>
      <c r="R37" s="197" t="s">
        <v>591</v>
      </c>
      <c r="S37" s="197" t="s">
        <v>595</v>
      </c>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3290</v>
      </c>
      <c r="B38" s="190" t="s">
        <v>3301</v>
      </c>
      <c r="C38" s="191" t="s">
        <v>3306</v>
      </c>
      <c r="D38" s="193" t="s">
        <v>3307</v>
      </c>
      <c r="E38" s="193" t="s">
        <v>3308</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3290</v>
      </c>
      <c r="B39" s="190" t="s">
        <v>3301</v>
      </c>
      <c r="C39" s="191" t="s">
        <v>3309</v>
      </c>
      <c r="D39" s="193" t="s">
        <v>3310</v>
      </c>
      <c r="E39" s="193" t="s">
        <v>3311</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3290</v>
      </c>
      <c r="B40" s="190" t="s">
        <v>3301</v>
      </c>
      <c r="C40" s="191" t="s">
        <v>3312</v>
      </c>
      <c r="D40" s="193" t="s">
        <v>3313</v>
      </c>
      <c r="E40" s="193" t="s">
        <v>3314</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3290</v>
      </c>
      <c r="B41" s="190" t="s">
        <v>3301</v>
      </c>
      <c r="C41" s="191" t="s">
        <v>3315</v>
      </c>
      <c r="D41" s="193" t="s">
        <v>3316</v>
      </c>
      <c r="E41" s="193" t="s">
        <v>3317</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3290</v>
      </c>
      <c r="B42" s="190" t="s">
        <v>3301</v>
      </c>
      <c r="C42" s="191" t="s">
        <v>3318</v>
      </c>
      <c r="D42" s="193" t="s">
        <v>3319</v>
      </c>
      <c r="E42" s="193" t="s">
        <v>3320</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3290</v>
      </c>
      <c r="B43" s="190" t="s">
        <v>3301</v>
      </c>
      <c r="C43" s="191" t="s">
        <v>3321</v>
      </c>
      <c r="D43" s="193" t="s">
        <v>3322</v>
      </c>
      <c r="E43" s="193" t="s">
        <v>3323</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3290</v>
      </c>
      <c r="B44" s="190" t="s">
        <v>3301</v>
      </c>
      <c r="C44" s="191" t="s">
        <v>3324</v>
      </c>
      <c r="D44" s="193" t="s">
        <v>3325</v>
      </c>
      <c r="E44" s="193" t="s">
        <v>3326</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3290</v>
      </c>
      <c r="B45" s="190" t="s">
        <v>3301</v>
      </c>
      <c r="C45" s="191" t="s">
        <v>3327</v>
      </c>
      <c r="D45" s="193" t="s">
        <v>3328</v>
      </c>
      <c r="E45" s="193" t="s">
        <v>3329</v>
      </c>
      <c r="F45" s="195">
        <f>IF(COUNTIF(G45:AT45,"&lt;&gt;")=0,"",SUMPRODUCT(((Recommendations[ImplStatus]="Implemented")+(Recommendations[ImplStatus]="Compensated"))*ISNUMBER(MATCH(Recommendations[Id],G45:AT45,0)))/COUNTIF(G45:AT45,"&lt;&gt;"))</f>
        <v>0</v>
      </c>
      <c r="G45" s="197" t="s">
        <v>447</v>
      </c>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3290</v>
      </c>
      <c r="B46" s="190" t="s">
        <v>3301</v>
      </c>
      <c r="C46" s="191" t="s">
        <v>3330</v>
      </c>
      <c r="D46" s="193" t="s">
        <v>3331</v>
      </c>
      <c r="E46" s="193" t="s">
        <v>3332</v>
      </c>
      <c r="F46" s="195">
        <f>IF(COUNTIF(G46:AT46,"&lt;&gt;")=0,"",SUMPRODUCT(((Recommendations[ImplStatus]="Implemented")+(Recommendations[ImplStatus]="Compensated"))*ISNUMBER(MATCH(Recommendations[Id],G46:AT46,0)))/COUNTIF(G46:AT46,"&lt;&gt;"))</f>
        <v>0</v>
      </c>
      <c r="G46" s="197" t="s">
        <v>67</v>
      </c>
      <c r="H46" s="197" t="s">
        <v>371</v>
      </c>
      <c r="I46" s="197" t="s">
        <v>625</v>
      </c>
      <c r="J46" s="197" t="s">
        <v>630</v>
      </c>
      <c r="K46" s="197" t="s">
        <v>660</v>
      </c>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3290</v>
      </c>
      <c r="B47" s="190" t="s">
        <v>3301</v>
      </c>
      <c r="C47" s="191" t="s">
        <v>3333</v>
      </c>
      <c r="D47" s="193" t="s">
        <v>3334</v>
      </c>
      <c r="E47" s="193" t="s">
        <v>3335</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3290</v>
      </c>
      <c r="B48" s="190" t="s">
        <v>3301</v>
      </c>
      <c r="C48" s="191" t="s">
        <v>3336</v>
      </c>
      <c r="D48" s="193" t="s">
        <v>3337</v>
      </c>
      <c r="E48" s="193" t="s">
        <v>3338</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3290</v>
      </c>
      <c r="B49" s="190" t="s">
        <v>3301</v>
      </c>
      <c r="C49" s="191" t="s">
        <v>3339</v>
      </c>
      <c r="D49" s="193" t="s">
        <v>3340</v>
      </c>
      <c r="E49" s="193" t="s">
        <v>3341</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3290</v>
      </c>
      <c r="B50" s="190" t="s">
        <v>3301</v>
      </c>
      <c r="C50" s="191" t="s">
        <v>3342</v>
      </c>
      <c r="D50" s="193" t="s">
        <v>3343</v>
      </c>
      <c r="E50" s="193" t="s">
        <v>3344</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3290</v>
      </c>
      <c r="B51" s="189" t="s">
        <v>3345</v>
      </c>
      <c r="C51" s="189"/>
      <c r="D51" s="192" t="s">
        <v>3346</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3290</v>
      </c>
      <c r="B52" s="190" t="s">
        <v>3345</v>
      </c>
      <c r="C52" s="191" t="s">
        <v>3347</v>
      </c>
      <c r="D52" s="193" t="s">
        <v>3348</v>
      </c>
      <c r="E52" s="193" t="s">
        <v>3349</v>
      </c>
      <c r="F52" s="195">
        <f>IF(COUNTIF(G52:AT52,"&lt;&gt;")=0,"",SUMPRODUCT(((Recommendations[ImplStatus]="Implemented")+(Recommendations[ImplStatus]="Compensated"))*ISNUMBER(MATCH(Recommendations[Id],G52:AT52,0)))/COUNTIF(G52:AT52,"&lt;&gt;"))</f>
        <v>0</v>
      </c>
      <c r="G52" s="197" t="s">
        <v>14</v>
      </c>
      <c r="H52" s="197" t="s">
        <v>330</v>
      </c>
      <c r="I52" s="197" t="s">
        <v>361</v>
      </c>
      <c r="J52" s="197" t="s">
        <v>391</v>
      </c>
      <c r="K52" s="197" t="s">
        <v>437</v>
      </c>
      <c r="L52" s="197" t="s">
        <v>497</v>
      </c>
      <c r="M52" s="197" t="s">
        <v>517</v>
      </c>
      <c r="N52" s="197" t="s">
        <v>522</v>
      </c>
      <c r="O52" s="197" t="s">
        <v>562</v>
      </c>
      <c r="P52" s="197" t="s">
        <v>704</v>
      </c>
      <c r="Q52" s="197" t="s">
        <v>714</v>
      </c>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3290</v>
      </c>
      <c r="B53" s="190" t="s">
        <v>3345</v>
      </c>
      <c r="C53" s="191" t="s">
        <v>3350</v>
      </c>
      <c r="D53" s="193" t="s">
        <v>3351</v>
      </c>
      <c r="E53" s="193" t="s">
        <v>3352</v>
      </c>
      <c r="F53" s="195">
        <f>IF(COUNTIF(G53:AT53,"&lt;&gt;")=0,"",SUMPRODUCT(((Recommendations[ImplStatus]="Implemented")+(Recommendations[ImplStatus]="Compensated"))*ISNUMBER(MATCH(Recommendations[Id],G53:AT53,0)))/COUNTIF(G53:AT53,"&lt;&gt;"))</f>
        <v>0</v>
      </c>
      <c r="G53" s="197" t="s">
        <v>330</v>
      </c>
      <c r="H53" s="197" t="s">
        <v>361</v>
      </c>
      <c r="I53" s="197" t="s">
        <v>391</v>
      </c>
      <c r="J53" s="197" t="s">
        <v>522</v>
      </c>
      <c r="K53" s="197" t="s">
        <v>562</v>
      </c>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3290</v>
      </c>
      <c r="B54" s="190" t="s">
        <v>3345</v>
      </c>
      <c r="C54" s="191" t="s">
        <v>3353</v>
      </c>
      <c r="D54" s="193" t="s">
        <v>3354</v>
      </c>
      <c r="E54" s="193" t="s">
        <v>3355</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3290</v>
      </c>
      <c r="B55" s="190" t="s">
        <v>3345</v>
      </c>
      <c r="C55" s="191" t="s">
        <v>3356</v>
      </c>
      <c r="D55" s="193" t="s">
        <v>3357</v>
      </c>
      <c r="E55" s="193" t="s">
        <v>3358</v>
      </c>
      <c r="F55" s="195">
        <f>IF(COUNTIF(G55:AT55,"&lt;&gt;")=0,"",SUMPRODUCT(((Recommendations[ImplStatus]="Implemented")+(Recommendations[ImplStatus]="Compensated"))*ISNUMBER(MATCH(Recommendations[Id],G55:AT55,0)))/COUNTIF(G55:AT55,"&lt;&gt;"))</f>
        <v>0</v>
      </c>
      <c r="G55" s="197" t="s">
        <v>462</v>
      </c>
      <c r="H55" s="197" t="s">
        <v>465</v>
      </c>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3290</v>
      </c>
      <c r="B56" s="190" t="s">
        <v>3345</v>
      </c>
      <c r="C56" s="191" t="s">
        <v>3359</v>
      </c>
      <c r="D56" s="193" t="s">
        <v>3360</v>
      </c>
      <c r="E56" s="193" t="s">
        <v>3361</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3290</v>
      </c>
      <c r="B57" s="190" t="s">
        <v>3345</v>
      </c>
      <c r="C57" s="191" t="s">
        <v>3362</v>
      </c>
      <c r="D57" s="193" t="s">
        <v>3363</v>
      </c>
      <c r="E57" s="193" t="s">
        <v>3364</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3290</v>
      </c>
      <c r="B58" s="190" t="s">
        <v>3345</v>
      </c>
      <c r="C58" s="191" t="s">
        <v>3365</v>
      </c>
      <c r="D58" s="193" t="s">
        <v>3366</v>
      </c>
      <c r="E58" s="193" t="s">
        <v>3367</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3290</v>
      </c>
      <c r="B59" s="190" t="s">
        <v>3345</v>
      </c>
      <c r="C59" s="191" t="s">
        <v>3368</v>
      </c>
      <c r="D59" s="193" t="s">
        <v>3369</v>
      </c>
      <c r="E59" s="193" t="s">
        <v>3370</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3290</v>
      </c>
      <c r="B60" s="190" t="s">
        <v>3371</v>
      </c>
      <c r="C60" s="191" t="s">
        <v>3372</v>
      </c>
      <c r="D60" s="193" t="s">
        <v>3373</v>
      </c>
      <c r="E60" s="193" t="s">
        <v>3374</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3290</v>
      </c>
      <c r="B61" s="190" t="s">
        <v>3371</v>
      </c>
      <c r="C61" s="191" t="s">
        <v>3375</v>
      </c>
      <c r="D61" s="193" t="s">
        <v>3376</v>
      </c>
      <c r="E61" s="193" t="s">
        <v>3377</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3290</v>
      </c>
      <c r="B62" s="189" t="s">
        <v>3378</v>
      </c>
      <c r="C62" s="189"/>
      <c r="D62" s="192" t="s">
        <v>3379</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3290</v>
      </c>
      <c r="B63" s="190" t="s">
        <v>3378</v>
      </c>
      <c r="C63" s="191" t="s">
        <v>3380</v>
      </c>
      <c r="D63" s="193" t="s">
        <v>3381</v>
      </c>
      <c r="E63" s="193" t="s">
        <v>3382</v>
      </c>
      <c r="F63" s="195">
        <f>IF(COUNTIF(G63:AT63,"&lt;&gt;")=0,"",SUMPRODUCT(((Recommendations[ImplStatus]="Implemented")+(Recommendations[ImplStatus]="Compensated"))*ISNUMBER(MATCH(Recommendations[Id],G63:AT63,0)))/COUNTIF(G63:AT63,"&lt;&gt;"))</f>
        <v>0</v>
      </c>
      <c r="G63" s="197" t="s">
        <v>650</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3290</v>
      </c>
      <c r="B64" s="190" t="s">
        <v>3378</v>
      </c>
      <c r="C64" s="191" t="s">
        <v>3383</v>
      </c>
      <c r="D64" s="193" t="s">
        <v>3384</v>
      </c>
      <c r="E64" s="193" t="s">
        <v>3385</v>
      </c>
      <c r="F64" s="195">
        <f>IF(COUNTIF(G64:AT64,"&lt;&gt;")=0,"",SUMPRODUCT(((Recommendations[ImplStatus]="Implemented")+(Recommendations[ImplStatus]="Compensated"))*ISNUMBER(MATCH(Recommendations[Id],G64:AT64,0)))/COUNTIF(G64:AT64,"&lt;&gt;"))</f>
        <v>0</v>
      </c>
      <c r="G64" s="197" t="s">
        <v>44</v>
      </c>
      <c r="H64" s="197" t="s">
        <v>345</v>
      </c>
      <c r="I64" s="197" t="s">
        <v>527</v>
      </c>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3290</v>
      </c>
      <c r="B65" s="190" t="s">
        <v>3378</v>
      </c>
      <c r="C65" s="191" t="s">
        <v>3386</v>
      </c>
      <c r="D65" s="193" t="s">
        <v>3387</v>
      </c>
      <c r="E65" s="193" t="s">
        <v>3388</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3290</v>
      </c>
      <c r="B66" s="190" t="s">
        <v>3378</v>
      </c>
      <c r="C66" s="191" t="s">
        <v>3389</v>
      </c>
      <c r="D66" s="193" t="s">
        <v>3390</v>
      </c>
      <c r="E66" s="193" t="s">
        <v>3391</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3290</v>
      </c>
      <c r="B67" s="190" t="s">
        <v>3378</v>
      </c>
      <c r="C67" s="191" t="s">
        <v>3392</v>
      </c>
      <c r="D67" s="193" t="s">
        <v>3393</v>
      </c>
      <c r="E67" s="193" t="s">
        <v>3394</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3290</v>
      </c>
      <c r="B68" s="190" t="s">
        <v>3378</v>
      </c>
      <c r="C68" s="191" t="s">
        <v>3395</v>
      </c>
      <c r="D68" s="193" t="s">
        <v>3396</v>
      </c>
      <c r="E68" s="193" t="s">
        <v>3397</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3290</v>
      </c>
      <c r="B69" s="190" t="s">
        <v>3378</v>
      </c>
      <c r="C69" s="191" t="s">
        <v>3398</v>
      </c>
      <c r="D69" s="193" t="s">
        <v>3399</v>
      </c>
      <c r="E69" s="193" t="s">
        <v>3400</v>
      </c>
      <c r="F69" s="195">
        <f>IF(COUNTIF(G69:AT69,"&lt;&gt;")=0,"",SUMPRODUCT(((Recommendations[ImplStatus]="Implemented")+(Recommendations[ImplStatus]="Compensated"))*ISNUMBER(MATCH(Recommendations[Id],G69:AT69,0)))/COUNTIF(G69:AT69,"&lt;&gt;"))</f>
        <v>0</v>
      </c>
      <c r="G69" s="197" t="s">
        <v>25</v>
      </c>
      <c r="H69" s="197" t="s">
        <v>30</v>
      </c>
      <c r="I69" s="197" t="s">
        <v>34</v>
      </c>
      <c r="J69" s="197" t="s">
        <v>39</v>
      </c>
      <c r="K69" s="197" t="s">
        <v>112</v>
      </c>
      <c r="L69" s="197" t="s">
        <v>117</v>
      </c>
      <c r="M69" s="197" t="s">
        <v>137</v>
      </c>
      <c r="N69" s="197" t="s">
        <v>143</v>
      </c>
      <c r="O69" s="197" t="s">
        <v>148</v>
      </c>
      <c r="P69" s="197" t="s">
        <v>153</v>
      </c>
      <c r="Q69" s="197" t="s">
        <v>173</v>
      </c>
      <c r="R69" s="197" t="s">
        <v>178</v>
      </c>
      <c r="S69" s="197" t="s">
        <v>183</v>
      </c>
      <c r="T69" s="197" t="s">
        <v>188</v>
      </c>
      <c r="U69" s="197" t="s">
        <v>193</v>
      </c>
      <c r="V69" s="197" t="s">
        <v>197</v>
      </c>
      <c r="W69" s="197" t="s">
        <v>202</v>
      </c>
      <c r="X69" s="197" t="s">
        <v>207</v>
      </c>
      <c r="Y69" s="197" t="s">
        <v>212</v>
      </c>
      <c r="Z69" s="197" t="s">
        <v>245</v>
      </c>
      <c r="AA69" s="197" t="s">
        <v>250</v>
      </c>
      <c r="AB69" s="197" t="s">
        <v>255</v>
      </c>
      <c r="AC69" s="197" t="s">
        <v>265</v>
      </c>
      <c r="AD69" s="197" t="s">
        <v>270</v>
      </c>
      <c r="AE69" s="197" t="s">
        <v>291</v>
      </c>
      <c r="AF69" s="197" t="s">
        <v>326</v>
      </c>
      <c r="AG69" s="197" t="s">
        <v>457</v>
      </c>
      <c r="AH69" s="197" t="s">
        <v>462</v>
      </c>
      <c r="AI69" s="197" t="s">
        <v>465</v>
      </c>
      <c r="AJ69" s="197" t="s">
        <v>467</v>
      </c>
      <c r="AK69" s="197" t="s">
        <v>471</v>
      </c>
      <c r="AL69" s="197" t="s">
        <v>475</v>
      </c>
      <c r="AM69" s="197" t="s">
        <v>477</v>
      </c>
      <c r="AN69" s="197" t="s">
        <v>482</v>
      </c>
      <c r="AO69" s="197" t="s">
        <v>492</v>
      </c>
      <c r="AP69" s="197" t="s">
        <v>679</v>
      </c>
      <c r="AQ69" s="197" t="s">
        <v>689</v>
      </c>
      <c r="AR69" s="197" t="s">
        <v>699</v>
      </c>
      <c r="AS69" s="197" t="s">
        <v>709</v>
      </c>
      <c r="AT69" s="207"/>
    </row>
    <row r="70" spans="1:46" ht="60" customHeight="1" x14ac:dyDescent="0.35">
      <c r="A70" s="204" t="s">
        <v>3290</v>
      </c>
      <c r="B70" s="190" t="s">
        <v>3378</v>
      </c>
      <c r="C70" s="191" t="s">
        <v>3401</v>
      </c>
      <c r="D70" s="193" t="s">
        <v>3402</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3290</v>
      </c>
      <c r="B71" s="190" t="s">
        <v>3378</v>
      </c>
      <c r="C71" s="191" t="s">
        <v>3403</v>
      </c>
      <c r="D71" s="193" t="s">
        <v>3404</v>
      </c>
      <c r="E71" s="193" t="s">
        <v>3405</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3290</v>
      </c>
      <c r="B72" s="190" t="s">
        <v>3378</v>
      </c>
      <c r="C72" s="191" t="s">
        <v>3406</v>
      </c>
      <c r="D72" s="193" t="s">
        <v>3407</v>
      </c>
      <c r="E72" s="193" t="s">
        <v>3408</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3290</v>
      </c>
      <c r="B73" s="190" t="s">
        <v>3378</v>
      </c>
      <c r="C73" s="191" t="s">
        <v>3409</v>
      </c>
      <c r="D73" s="193" t="s">
        <v>3410</v>
      </c>
      <c r="E73" s="193" t="s">
        <v>3411</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3290</v>
      </c>
      <c r="B74" s="190" t="s">
        <v>3378</v>
      </c>
      <c r="C74" s="191" t="s">
        <v>3412</v>
      </c>
      <c r="D74" s="193" t="s">
        <v>3413</v>
      </c>
      <c r="E74" s="193" t="s">
        <v>3414</v>
      </c>
      <c r="F74" s="195">
        <f>IF(COUNTIF(G74:AT74,"&lt;&gt;")=0,"",SUMPRODUCT(((Recommendations[ImplStatus]="Implemented")+(Recommendations[ImplStatus]="Compensated"))*ISNUMBER(MATCH(Recommendations[Id],G74:AT74,0)))/COUNTIF(G74:AT74,"&lt;&gt;"))</f>
        <v>0</v>
      </c>
      <c r="G74" s="197" t="s">
        <v>72</v>
      </c>
      <c r="H74" s="197" t="s">
        <v>78</v>
      </c>
      <c r="I74" s="197" t="s">
        <v>83</v>
      </c>
      <c r="J74" s="197" t="s">
        <v>87</v>
      </c>
      <c r="K74" s="197" t="s">
        <v>92</v>
      </c>
      <c r="L74" s="197" t="s">
        <v>102</v>
      </c>
      <c r="M74" s="197" t="s">
        <v>158</v>
      </c>
      <c r="N74" s="197" t="s">
        <v>163</v>
      </c>
      <c r="O74" s="197" t="s">
        <v>168</v>
      </c>
      <c r="P74" s="197" t="s">
        <v>217</v>
      </c>
      <c r="Q74" s="197" t="s">
        <v>222</v>
      </c>
      <c r="R74" s="197" t="s">
        <v>226</v>
      </c>
      <c r="S74" s="197" t="s">
        <v>396</v>
      </c>
      <c r="T74" s="197" t="s">
        <v>635</v>
      </c>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3290</v>
      </c>
      <c r="B75" s="190" t="s">
        <v>3378</v>
      </c>
      <c r="C75" s="191" t="s">
        <v>3415</v>
      </c>
      <c r="D75" s="193" t="s">
        <v>3416</v>
      </c>
      <c r="E75" s="193" t="s">
        <v>3417</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3290</v>
      </c>
      <c r="B76" s="190" t="s">
        <v>3378</v>
      </c>
      <c r="C76" s="191" t="s">
        <v>3418</v>
      </c>
      <c r="D76" s="193" t="s">
        <v>3419</v>
      </c>
      <c r="E76" s="193" t="s">
        <v>3420</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3290</v>
      </c>
      <c r="B77" s="190" t="s">
        <v>3378</v>
      </c>
      <c r="C77" s="191" t="s">
        <v>3421</v>
      </c>
      <c r="D77" s="193" t="s">
        <v>3422</v>
      </c>
      <c r="E77" s="193" t="s">
        <v>3423</v>
      </c>
      <c r="F77" s="195">
        <f>IF(COUNTIF(G77:AT77,"&lt;&gt;")=0,"",SUMPRODUCT(((Recommendations[ImplStatus]="Implemented")+(Recommendations[ImplStatus]="Compensated"))*ISNUMBER(MATCH(Recommendations[Id],G77:AT77,0)))/COUNTIF(G77:AT77,"&lt;&gt;"))</f>
        <v>0</v>
      </c>
      <c r="G77" s="197" t="s">
        <v>92</v>
      </c>
      <c r="H77" s="197" t="s">
        <v>102</v>
      </c>
      <c r="I77" s="197" t="s">
        <v>396</v>
      </c>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3290</v>
      </c>
      <c r="B78" s="190" t="s">
        <v>3378</v>
      </c>
      <c r="C78" s="191" t="s">
        <v>3424</v>
      </c>
      <c r="D78" s="193" t="s">
        <v>3425</v>
      </c>
      <c r="E78" s="193" t="s">
        <v>3426</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3290</v>
      </c>
      <c r="B79" s="189" t="s">
        <v>3378</v>
      </c>
      <c r="C79" s="189"/>
      <c r="D79" s="192" t="s">
        <v>3427</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3428</v>
      </c>
      <c r="B80" s="190"/>
      <c r="C80" s="191" t="s">
        <v>3429</v>
      </c>
      <c r="D80" s="193" t="s">
        <v>3430</v>
      </c>
      <c r="E80" s="193" t="s">
        <v>3431</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3428</v>
      </c>
      <c r="B81" s="190"/>
      <c r="C81" s="191" t="s">
        <v>3432</v>
      </c>
      <c r="D81" s="193" t="s">
        <v>3433</v>
      </c>
      <c r="E81" s="193" t="s">
        <v>3434</v>
      </c>
      <c r="F81" s="195">
        <f>IF(COUNTIF(G81:AT81,"&lt;&gt;")=0,"",SUMPRODUCT(((Recommendations[ImplStatus]="Implemented")+(Recommendations[ImplStatus]="Compensated"))*ISNUMBER(MATCH(Recommendations[Id],G81:AT81,0)))/COUNTIF(G81:AT81,"&lt;&gt;"))</f>
        <v>0</v>
      </c>
      <c r="G81" s="197" t="s">
        <v>356</v>
      </c>
      <c r="H81" s="197" t="s">
        <v>366</v>
      </c>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3428</v>
      </c>
      <c r="B82" s="190"/>
      <c r="C82" s="191" t="s">
        <v>3435</v>
      </c>
      <c r="D82" s="193" t="s">
        <v>3436</v>
      </c>
      <c r="E82" s="193" t="s">
        <v>3437</v>
      </c>
      <c r="F82" s="195">
        <f>IF(COUNTIF(G82:AT82,"&lt;&gt;")=0,"",SUMPRODUCT(((Recommendations[ImplStatus]="Implemented")+(Recommendations[ImplStatus]="Compensated"))*ISNUMBER(MATCH(Recommendations[Id],G82:AT82,0)))/COUNTIF(G82:AT82,"&lt;&gt;"))</f>
        <v>0</v>
      </c>
      <c r="G82" s="197" t="s">
        <v>281</v>
      </c>
      <c r="H82" s="197" t="s">
        <v>286</v>
      </c>
      <c r="I82" s="197" t="s">
        <v>296</v>
      </c>
      <c r="J82" s="197" t="s">
        <v>301</v>
      </c>
      <c r="K82" s="197" t="s">
        <v>306</v>
      </c>
      <c r="L82" s="197" t="s">
        <v>311</v>
      </c>
      <c r="M82" s="197" t="s">
        <v>321</v>
      </c>
      <c r="N82" s="197" t="s">
        <v>335</v>
      </c>
      <c r="O82" s="197" t="s">
        <v>340</v>
      </c>
      <c r="P82" s="197" t="s">
        <v>348</v>
      </c>
      <c r="Q82" s="197" t="s">
        <v>376</v>
      </c>
      <c r="R82" s="197" t="s">
        <v>381</v>
      </c>
      <c r="S82" s="197" t="s">
        <v>386</v>
      </c>
      <c r="T82" s="197" t="s">
        <v>605</v>
      </c>
      <c r="U82" s="197" t="s">
        <v>615</v>
      </c>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3428</v>
      </c>
      <c r="B83" s="190"/>
      <c r="C83" s="191" t="s">
        <v>3438</v>
      </c>
      <c r="D83" s="193" t="s">
        <v>3439</v>
      </c>
      <c r="E83" s="193" t="s">
        <v>3440</v>
      </c>
      <c r="F83" s="195">
        <f>IF(COUNTIF(G83:AT83,"&lt;&gt;")=0,"",SUMPRODUCT(((Recommendations[ImplStatus]="Implemented")+(Recommendations[ImplStatus]="Compensated"))*ISNUMBER(MATCH(Recommendations[Id],G83:AT83,0)))/COUNTIF(G83:AT83,"&lt;&gt;"))</f>
        <v>0</v>
      </c>
      <c r="G83" s="197" t="s">
        <v>537</v>
      </c>
      <c r="H83" s="197" t="s">
        <v>600</v>
      </c>
      <c r="I83" s="197" t="s">
        <v>610</v>
      </c>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3428</v>
      </c>
      <c r="B84" s="189"/>
      <c r="C84" s="189"/>
      <c r="D84" s="192" t="s">
        <v>3441</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3442</v>
      </c>
      <c r="B85" s="190"/>
      <c r="C85" s="191" t="s">
        <v>3443</v>
      </c>
      <c r="D85" s="193" t="s">
        <v>3444</v>
      </c>
      <c r="E85" s="193" t="s">
        <v>3445</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3442</v>
      </c>
      <c r="B86" s="190"/>
      <c r="C86" s="191" t="s">
        <v>3446</v>
      </c>
      <c r="D86" s="193" t="s">
        <v>3447</v>
      </c>
      <c r="E86" s="193" t="s">
        <v>3448</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3442</v>
      </c>
      <c r="B87" s="190"/>
      <c r="C87" s="191" t="s">
        <v>3449</v>
      </c>
      <c r="D87" s="193" t="s">
        <v>3450</v>
      </c>
      <c r="E87" s="193" t="s">
        <v>3451</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3442</v>
      </c>
      <c r="B88" s="190"/>
      <c r="C88" s="191" t="s">
        <v>3452</v>
      </c>
      <c r="D88" s="193" t="s">
        <v>3453</v>
      </c>
      <c r="E88" s="193" t="s">
        <v>3454</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3442</v>
      </c>
      <c r="B89" s="190"/>
      <c r="C89" s="191" t="s">
        <v>3455</v>
      </c>
      <c r="D89" s="193" t="s">
        <v>3456</v>
      </c>
      <c r="E89" s="193" t="s">
        <v>3457</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3442</v>
      </c>
      <c r="B90" s="189" t="s">
        <v>3458</v>
      </c>
      <c r="C90" s="189"/>
      <c r="D90" s="192" t="s">
        <v>3459</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3442</v>
      </c>
      <c r="B91" s="190" t="s">
        <v>3458</v>
      </c>
      <c r="C91" s="191" t="s">
        <v>3460</v>
      </c>
      <c r="D91" s="193" t="s">
        <v>3461</v>
      </c>
      <c r="E91" s="193" t="s">
        <v>3462</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3442</v>
      </c>
      <c r="B92" s="190" t="s">
        <v>3458</v>
      </c>
      <c r="C92" s="191" t="s">
        <v>3463</v>
      </c>
      <c r="D92" s="193" t="s">
        <v>3464</v>
      </c>
      <c r="E92" s="193" t="s">
        <v>3465</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3458</v>
      </c>
      <c r="C93" s="191" t="s">
        <v>3466</v>
      </c>
      <c r="D93" s="193" t="s">
        <v>3467</v>
      </c>
      <c r="E93" s="193" t="s">
        <v>3468</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3458</v>
      </c>
      <c r="C94" s="191" t="s">
        <v>3469</v>
      </c>
      <c r="D94" s="193" t="s">
        <v>3470</v>
      </c>
      <c r="E94" s="193" t="s">
        <v>3471</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3458</v>
      </c>
      <c r="C95" s="191" t="s">
        <v>3472</v>
      </c>
      <c r="D95" s="193" t="s">
        <v>3473</v>
      </c>
      <c r="E95" s="193" t="s">
        <v>3474</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3458</v>
      </c>
      <c r="C96" s="191" t="s">
        <v>3475</v>
      </c>
      <c r="D96" s="193" t="s">
        <v>3476</v>
      </c>
      <c r="E96" s="193" t="s">
        <v>3477</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3458</v>
      </c>
      <c r="C97" s="191" t="s">
        <v>3478</v>
      </c>
      <c r="D97" s="193" t="s">
        <v>3479</v>
      </c>
      <c r="E97" s="193" t="s">
        <v>3480</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3458</v>
      </c>
      <c r="C98" s="191" t="s">
        <v>3481</v>
      </c>
      <c r="D98" s="193" t="s">
        <v>3482</v>
      </c>
      <c r="E98" s="193" t="s">
        <v>3483</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3484</v>
      </c>
      <c r="C99" s="189"/>
      <c r="D99" s="192" t="s">
        <v>3485</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3484</v>
      </c>
      <c r="C100" s="191" t="s">
        <v>3486</v>
      </c>
      <c r="D100" s="193" t="s">
        <v>3487</v>
      </c>
      <c r="E100" s="193" t="s">
        <v>3488</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3484</v>
      </c>
      <c r="C101" s="191" t="s">
        <v>3489</v>
      </c>
      <c r="D101" s="193" t="s">
        <v>3490</v>
      </c>
      <c r="E101" s="193" t="s">
        <v>3491</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3484</v>
      </c>
      <c r="C102" s="191" t="s">
        <v>3492</v>
      </c>
      <c r="D102" s="193" t="s">
        <v>3493</v>
      </c>
      <c r="E102" s="193" t="s">
        <v>3494</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3484</v>
      </c>
      <c r="C103" s="191" t="s">
        <v>3495</v>
      </c>
      <c r="D103" s="193" t="s">
        <v>3496</v>
      </c>
      <c r="E103" s="193" t="s">
        <v>3497</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3484</v>
      </c>
      <c r="C104" s="199" t="s">
        <v>3498</v>
      </c>
      <c r="D104" s="200" t="s">
        <v>3499</v>
      </c>
      <c r="E104" s="200" t="s">
        <v>3500</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733</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IFERROR(INDEX('Recommendations'!$H$2:$H$149, MATCH(G2,'Recommendations'!$A$2:$A$149,0))="Implemented", FALSE))</xm:f>
            <x14:dxf>
              <font>
                <color rgb="FF000000"/>
              </font>
              <fill>
                <patternFill>
                  <bgColor rgb="FF3C7D22"/>
                </patternFill>
              </fill>
            </x14:dxf>
          </x14:cfRule>
          <x14:cfRule type="expression" priority="2" id="{00000000-000E-0000-0800-000002000000}">
            <xm:f>AND(G2&lt;&gt;"", IFERROR(INDEX('Recommendations'!$H$2:$H$149, MATCH(G2,'Recommendations'!$A$2:$A$149,0))="Compensated", FALSE))</xm:f>
            <x14:dxf>
              <font>
                <color rgb="FF000000"/>
              </font>
              <fill>
                <patternFill>
                  <bgColor rgb="FFC6E0B4"/>
                </patternFill>
              </fill>
            </x14:dxf>
          </x14:cfRule>
          <x14:cfRule type="expression" priority="3" id="{00000000-000E-0000-0800-000003000000}">
            <xm:f>AND(G2&lt;&gt;"", IFERROR(INDEX('Recommendations'!$H$2:$H$149, MATCH(G2,'Recommendations'!$A$2:$A$149,0))="Testing", FALSE))</xm:f>
            <x14:dxf>
              <font>
                <color rgb="FF000000"/>
              </font>
              <fill>
                <patternFill>
                  <bgColor rgb="FFFFC000"/>
                </patternFill>
              </fill>
            </x14:dxf>
          </x14:cfRule>
          <x14:cfRule type="expression" priority="4" id="{00000000-000E-0000-0800-000004000000}">
            <xm:f>AND(G2&lt;&gt;"", IFERROR(INDEX('Recommendations'!$H$2:$H$149, MATCH(G2,'Recommendations'!$A$2:$A$149,0))="Failed", FALSE))</xm:f>
            <x14:dxf>
              <font>
                <color rgb="FF000000"/>
              </font>
              <fill>
                <patternFill>
                  <bgColor rgb="FFD82891"/>
                </patternFill>
              </fill>
            </x14:dxf>
          </x14:cfRule>
          <x14:cfRule type="expression" priority="5" id="{00000000-000E-0000-0800-000005000000}">
            <xm:f>AND(G2&lt;&gt;"", IFERROR(INDEX('Recommendations'!$H$2:$H$149, MATCH(G2,'Recommendations'!$A$2:$A$149,0))="Risk Accepted", FALSE))</xm:f>
            <x14:dxf>
              <font>
                <color rgb="FF000000"/>
              </font>
              <fill>
                <patternFill>
                  <bgColor rgb="FFD9D9D9"/>
                </patternFill>
              </fill>
            </x14:dxf>
          </x14:cfRule>
          <x14:cfRule type="expression" priority="6" id="{00000000-000E-0000-0800-000006000000}">
            <xm:f>AND(G2&lt;&gt;"", IFERROR(INDEX('Recommendations'!$H$2:$H$149, MATCH(G2,'Recommendations'!$A$2:$A$149,0))="N/A",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Juniper SRX Services Gateway Security Technical Implementation Guide - SHGIR</dc:title>
  <dc:subject>Generated on: 2026-06-08 12:00:17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2026-06-08T11:00:26Z</dcterms:modified>
  <cp:category>DISA-STIG</cp:category>
  <cp:contentStatus>Draft</cp:contentStatus>
</cp:coreProperties>
</file>