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36B02DE10D4446FE5C24A95B03D642DABABECE0" xr6:coauthVersionLast="47" xr6:coauthVersionMax="47" xr10:uidLastSave="{875D9346-F491-46B4-B4DE-563B92D97FB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6" i="1"/>
  <c r="M25" i="1"/>
  <c r="M24" i="1"/>
  <c r="M23" i="1"/>
  <c r="M22" i="1"/>
  <c r="M21" i="1"/>
  <c r="M20" i="1"/>
  <c r="M19" i="1"/>
  <c r="M18" i="1"/>
  <c r="M17" i="1"/>
  <c r="M16" i="1"/>
  <c r="M15" i="1"/>
  <c r="M14" i="1"/>
  <c r="M13" i="1"/>
  <c r="M12" i="1"/>
  <c r="M11" i="1"/>
  <c r="M10" i="1"/>
  <c r="M9" i="1"/>
  <c r="M8" i="1"/>
  <c r="M7" i="1"/>
  <c r="M6" i="1"/>
  <c r="M5" i="1"/>
  <c r="M4" i="1"/>
  <c r="M3" i="1"/>
  <c r="M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F84" i="3" s="1"/>
  <c r="E83" i="3"/>
  <c r="F83" i="3" s="1"/>
  <c r="D83" i="3"/>
  <c r="C83" i="3"/>
  <c r="U136" i="3" s="1"/>
  <c r="E82" i="3"/>
  <c r="D82" i="3"/>
  <c r="C82" i="3"/>
  <c r="S136" i="3" s="1"/>
  <c r="E68" i="3"/>
  <c r="D68" i="3"/>
  <c r="C68" i="3"/>
  <c r="F68" i="3" s="1"/>
  <c r="E67" i="3"/>
  <c r="D67" i="3"/>
  <c r="C67" i="3"/>
  <c r="F67" i="3" s="1"/>
  <c r="E49" i="3"/>
  <c r="D49" i="3"/>
  <c r="F49" i="3" s="1"/>
  <c r="C49" i="3"/>
  <c r="E48" i="3"/>
  <c r="D48" i="3"/>
  <c r="C48" i="3"/>
  <c r="F48" i="3" s="1"/>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F16" i="3" s="1"/>
  <c r="C16" i="3"/>
  <c r="Q136" i="3" s="1"/>
  <c r="D9" i="3"/>
  <c r="C9" i="3"/>
  <c r="D8" i="3"/>
  <c r="C8" i="3"/>
  <c r="C7" i="3" s="1"/>
  <c r="D7" i="3" s="1"/>
  <c r="E55" i="3" l="1"/>
  <c r="D55" i="3"/>
  <c r="C55" i="3"/>
  <c r="E53" i="3"/>
  <c r="C53" i="3"/>
  <c r="D53" i="3"/>
  <c r="E113" i="3"/>
  <c r="D113" i="3"/>
  <c r="C113" i="3"/>
  <c r="E110" i="3"/>
  <c r="D110" i="3"/>
  <c r="C110" i="3"/>
  <c r="X166" i="3"/>
  <c r="X161" i="3"/>
  <c r="X156" i="3"/>
  <c r="X151" i="3"/>
  <c r="X146" i="3"/>
  <c r="X141" i="3"/>
  <c r="D92" i="3"/>
  <c r="E92" i="3"/>
  <c r="X165" i="3"/>
  <c r="X160" i="3"/>
  <c r="X155" i="3"/>
  <c r="X150" i="3"/>
  <c r="X145" i="3"/>
  <c r="X140" i="3"/>
  <c r="X164" i="3"/>
  <c r="X159" i="3"/>
  <c r="X154" i="3"/>
  <c r="X149" i="3"/>
  <c r="X144" i="3"/>
  <c r="X139" i="3"/>
  <c r="C92" i="3"/>
  <c r="X168" i="3"/>
  <c r="X163" i="3"/>
  <c r="X158" i="3"/>
  <c r="X153" i="3"/>
  <c r="X148" i="3"/>
  <c r="X143" i="3"/>
  <c r="X138" i="3"/>
  <c r="X167" i="3"/>
  <c r="X162" i="3"/>
  <c r="X157" i="3"/>
  <c r="X152" i="3"/>
  <c r="X147" i="3"/>
  <c r="X142" i="3"/>
  <c r="E57" i="3"/>
  <c r="D57" i="3"/>
  <c r="C57" i="3"/>
  <c r="E35" i="3"/>
  <c r="D35" i="3"/>
  <c r="C35"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V168" i="3"/>
  <c r="V163" i="3"/>
  <c r="V158" i="3"/>
  <c r="V153" i="3"/>
  <c r="V148" i="3"/>
  <c r="V143" i="3"/>
  <c r="V138" i="3"/>
  <c r="R167" i="3"/>
  <c r="R162" i="3"/>
  <c r="R157" i="3"/>
  <c r="R152" i="3"/>
  <c r="R147" i="3"/>
  <c r="R142" i="3"/>
  <c r="D20" i="3"/>
  <c r="R166" i="3"/>
  <c r="R161" i="3"/>
  <c r="R156" i="3"/>
  <c r="R151" i="3"/>
  <c r="R146" i="3"/>
  <c r="R141" i="3"/>
  <c r="R165" i="3"/>
  <c r="R160" i="3"/>
  <c r="R155" i="3"/>
  <c r="R150" i="3"/>
  <c r="R145" i="3"/>
  <c r="R140" i="3"/>
  <c r="R164" i="3"/>
  <c r="R159" i="3"/>
  <c r="R154" i="3"/>
  <c r="R149" i="3"/>
  <c r="R144" i="3"/>
  <c r="R139" i="3"/>
  <c r="C20" i="3"/>
  <c r="E20" i="3"/>
  <c r="R168" i="3"/>
  <c r="R163" i="3"/>
  <c r="R158" i="3"/>
  <c r="R153" i="3"/>
  <c r="R148" i="3"/>
  <c r="R143" i="3"/>
  <c r="R138" i="3"/>
  <c r="E58" i="3"/>
  <c r="D58" i="3"/>
  <c r="C58" i="3"/>
  <c r="D94" i="3"/>
  <c r="C94" i="3"/>
  <c r="E94" i="3"/>
  <c r="E73" i="3"/>
  <c r="D73" i="3"/>
  <c r="C73" i="3"/>
  <c r="E111" i="3"/>
  <c r="D111" i="3"/>
  <c r="C111" i="3"/>
  <c r="E112" i="3"/>
  <c r="D112" i="3"/>
  <c r="C112" i="3"/>
  <c r="E56" i="3"/>
  <c r="D56" i="3"/>
  <c r="C56" i="3"/>
  <c r="E34" i="3"/>
  <c r="D34" i="3"/>
  <c r="C34" i="3"/>
  <c r="E72" i="3"/>
  <c r="D72" i="3"/>
  <c r="C72" i="3"/>
  <c r="E54" i="3"/>
  <c r="D54" i="3"/>
  <c r="C54" i="3"/>
  <c r="G125" i="3"/>
  <c r="W136" i="3"/>
  <c r="F82" i="3"/>
  <c r="C93" i="3"/>
  <c r="D93" i="3"/>
  <c r="T167" i="3" l="1"/>
  <c r="T162" i="3"/>
  <c r="T157" i="3"/>
  <c r="T152" i="3"/>
  <c r="T147" i="3"/>
  <c r="T142" i="3"/>
  <c r="T166" i="3"/>
  <c r="T161" i="3"/>
  <c r="T156" i="3"/>
  <c r="T151" i="3"/>
  <c r="T146" i="3"/>
  <c r="T141" i="3"/>
  <c r="T165" i="3"/>
  <c r="T160" i="3"/>
  <c r="T155" i="3"/>
  <c r="T150" i="3"/>
  <c r="T145" i="3"/>
  <c r="T140" i="3"/>
  <c r="E90" i="3"/>
  <c r="D90" i="3"/>
  <c r="C90" i="3"/>
  <c r="T164" i="3"/>
  <c r="T159" i="3"/>
  <c r="T154" i="3"/>
  <c r="T149" i="3"/>
  <c r="T144" i="3"/>
  <c r="T139" i="3"/>
  <c r="T168" i="3"/>
  <c r="T163" i="3"/>
  <c r="T158" i="3"/>
  <c r="T153" i="3"/>
  <c r="T148" i="3"/>
  <c r="T143" i="3"/>
  <c r="T138" i="3"/>
</calcChain>
</file>

<file path=xl/sharedStrings.xml><?xml version="1.0" encoding="utf-8"?>
<sst xmlns="http://schemas.openxmlformats.org/spreadsheetml/2006/main" count="842" uniqueCount="359">
  <si>
    <t>Id</t>
  </si>
  <si>
    <t>Title</t>
  </si>
  <si>
    <t>Severity</t>
  </si>
  <si>
    <t>Component</t>
  </si>
  <si>
    <t>MoSCoW</t>
  </si>
  <si>
    <t>OpsImpact</t>
  </si>
  <si>
    <t>Phase</t>
  </si>
  <si>
    <t>ImplStatus</t>
  </si>
  <si>
    <t>Notes</t>
  </si>
  <si>
    <t>Remediation</t>
  </si>
  <si>
    <t>Description</t>
  </si>
  <si>
    <t>Audit</t>
  </si>
  <si>
    <t>Status</t>
  </si>
  <si>
    <t>LogID</t>
  </si>
  <si>
    <t>V-283027</t>
  </si>
  <si>
    <r>
      <rPr>
        <sz val="11"/>
        <rFont val="Calibri"/>
      </rPr>
      <t>The HPE Alletra Storage ArcusOS device must implement cryptographic mechanisms to prevent unauthorized disclosure and modification of all information at rest on all system components.</t>
    </r>
  </si>
  <si>
    <t>CAT II (Medium)</t>
  </si>
  <si>
    <t>Web Server</t>
  </si>
  <si>
    <t>Unassigned</t>
  </si>
  <si>
    <t>Unassessed</t>
  </si>
  <si>
    <t>Pending</t>
  </si>
  <si>
    <t/>
  </si>
  <si>
    <r>
      <rPr>
        <sz val="11"/>
        <color rgb="FF000000"/>
        <rFont val="Calibri"/>
      </rPr>
      <t>Enable data at rest encryption.</t>
    </r>
    <r>
      <rPr>
        <sz val="11"/>
        <color rgb="FF000000"/>
        <rFont val="Calibri"/>
      </rPr>
      <t xml:space="preserve">
</t>
    </r>
    <r>
      <rPr>
        <sz val="11"/>
        <color rgb="FF000000"/>
        <rFont val="Calibri"/>
      </rPr>
      <t>If "cli% showlicense" does not show "SED Encryption" under "License features currently enabled:", then import a SED Encryption license with the "cli% setlicense" command.</t>
    </r>
    <r>
      <rPr>
        <sz val="11"/>
        <color rgb="FF000000"/>
        <rFont val="Calibri"/>
      </rPr>
      <t xml:space="preserve">
</t>
    </r>
    <r>
      <rPr>
        <sz val="11"/>
        <color rgb="FF000000"/>
        <rFont val="Calibri"/>
      </rPr>
      <t>Create a CSR for the EKM:</t>
    </r>
    <r>
      <rPr>
        <sz val="11"/>
        <color rgb="FF000000"/>
        <rFont val="Calibri"/>
      </rPr>
      <t xml:space="preserve">
</t>
    </r>
    <r>
      <rPr>
        <sz val="11"/>
        <color rgb="FF000000"/>
        <rFont val="Calibri"/>
      </rPr>
      <t>cli% createcert ekm-client -f -csr -CN ekm_username</t>
    </r>
    <r>
      <rPr>
        <sz val="11"/>
        <color rgb="FF000000"/>
        <rFont val="Calibri"/>
      </rPr>
      <t xml:space="preserve">
</t>
    </r>
    <r>
      <rPr>
        <sz val="11"/>
        <color rgb="FF000000"/>
        <rFont val="Calibri"/>
      </rPr>
      <t>Sign the CSR with a CA and import the entire certificate chain with:</t>
    </r>
    <r>
      <rPr>
        <sz val="11"/>
        <color rgb="FF000000"/>
        <rFont val="Calibri"/>
      </rPr>
      <t xml:space="preserve">
</t>
    </r>
    <r>
      <rPr>
        <sz val="11"/>
        <color rgb="FF000000"/>
        <rFont val="Calibri"/>
      </rPr>
      <t>Cli% importcert ekm-client -f stdin</t>
    </r>
    <r>
      <rPr>
        <sz val="11"/>
        <color rgb="FF000000"/>
        <rFont val="Calibri"/>
      </rPr>
      <t xml:space="preserve">
</t>
    </r>
    <r>
      <rPr>
        <sz val="11"/>
        <color rgb="FF000000"/>
        <rFont val="Calibri"/>
      </rPr>
      <t>Paste the ekm-client certificate chain.</t>
    </r>
    <r>
      <rPr>
        <sz val="11"/>
        <color rgb="FF000000"/>
        <rFont val="Calibri"/>
      </rPr>
      <t xml:space="preserve">
</t>
    </r>
    <r>
      <rPr>
        <sz val="11"/>
        <color rgb="FF000000"/>
        <rFont val="Calibri"/>
      </rPr>
      <t>Import the EKM Server Certificates:</t>
    </r>
    <r>
      <rPr>
        <sz val="11"/>
        <color rgb="FF000000"/>
        <rFont val="Calibri"/>
      </rPr>
      <t xml:space="preserve">
</t>
    </r>
    <r>
      <rPr>
        <sz val="11"/>
        <color rgb="FF000000"/>
        <rFont val="Calibri"/>
      </rPr>
      <t>Cli% createcert ekm-server -f stdin</t>
    </r>
    <r>
      <rPr>
        <sz val="11"/>
        <color rgb="FF000000"/>
        <rFont val="Calibri"/>
      </rPr>
      <t xml:space="preserve">
</t>
    </r>
    <r>
      <rPr>
        <sz val="11"/>
        <color rgb="FF000000"/>
        <rFont val="Calibri"/>
      </rPr>
      <t>Paste the ekm-server certificate chain.</t>
    </r>
    <r>
      <rPr>
        <sz val="11"/>
        <color rgb="FF000000"/>
        <rFont val="Calibri"/>
      </rPr>
      <t xml:space="preserve">
</t>
    </r>
    <r>
      <rPr>
        <sz val="11"/>
        <color rgb="FF000000"/>
        <rFont val="Calibri"/>
      </rPr>
      <t>Set the connection to the EKM with the following command:</t>
    </r>
    <r>
      <rPr>
        <sz val="11"/>
        <color rgb="FF000000"/>
        <rFont val="Calibri"/>
      </rPr>
      <t xml:space="preserve">
</t>
    </r>
    <r>
      <rPr>
        <sz val="11"/>
        <color rgb="FF000000"/>
        <rFont val="Calibri"/>
      </rPr>
      <t>cli% controlencryption setekm -setserver &lt;EKM_IP&gt; -port 5696 -ekmuser ekm_username -kmipprotocols (supported protocols by the ekm) -passwordnoprompt &lt;ekm_user_password&gt;</t>
    </r>
    <r>
      <rPr>
        <sz val="11"/>
        <color rgb="FF000000"/>
        <rFont val="Calibri"/>
      </rPr>
      <t xml:space="preserve">
</t>
    </r>
    <r>
      <rPr>
        <sz val="11"/>
        <color rgb="FF000000"/>
        <rFont val="Calibri"/>
      </rPr>
      <t>Enable encryption with the following command:</t>
    </r>
    <r>
      <rPr>
        <sz val="11"/>
        <color rgb="FF000000"/>
        <rFont val="Calibri"/>
      </rPr>
      <t xml:space="preserve">
</t>
    </r>
    <r>
      <rPr>
        <sz val="11"/>
        <color rgb="FF000000"/>
        <rFont val="Calibri"/>
      </rPr>
      <t>cli% controlencryption enable -ekm /common/encryptionBackup</t>
    </r>
    <r>
      <rPr>
        <sz val="11"/>
        <color rgb="FF000000"/>
        <rFont val="Calibri"/>
      </rPr>
      <t xml:space="preserve">
</t>
    </r>
    <r>
      <rPr>
        <sz val="11"/>
        <color rgb="FF000000"/>
        <rFont val="Calibri"/>
      </rPr>
      <t>Enter passwords and save the encryption backup file off of the array for disaster recovery.</t>
    </r>
  </si>
  <si>
    <r>
      <rPr>
        <sz val="11"/>
        <color rgb="FF000000"/>
        <rFont val="Calibri"/>
      </rPr>
      <t>Data at rest is inactive data which is stored physically in any digital form (e.g., databases, data warehouses, spreadsheets, archives, tapes, off-site backups, mobile devices, etc.). Data at rest includes, but is not limited to, archived data, data that is not accessed or changed frequently, files stored on hard drives, USB thumb drives, files stored on backup tape and disks, and files stored off-site or on a storage area network.</t>
    </r>
    <r>
      <rPr>
        <sz val="11"/>
        <color rgb="FF000000"/>
        <rFont val="Calibri"/>
      </rPr>
      <t xml:space="preserve">
</t>
    </r>
    <r>
      <rPr>
        <sz val="11"/>
        <color rgb="FF000000"/>
        <rFont val="Calibri"/>
      </rPr>
      <t>While data at rest can reside in many places, data at rest for a web server is data on the hosting system storage devices. Data stored as a backup on tape or stored off-site is no longer under the protection measures covered by the web server.</t>
    </r>
    <r>
      <rPr>
        <sz val="11"/>
        <color rgb="FF000000"/>
        <rFont val="Calibri"/>
      </rPr>
      <t xml:space="preserve">
</t>
    </r>
    <r>
      <rPr>
        <sz val="11"/>
        <color rgb="FF000000"/>
        <rFont val="Calibri"/>
      </rPr>
      <t>There are several pieces of data that the web server uses during operation. The web server must use an accepted encryption method, such as SHA1, to protect the confidentiality and integrity of the information.</t>
    </r>
  </si>
  <si>
    <r>
      <rPr>
        <sz val="11"/>
        <color rgb="FF000000"/>
        <rFont val="Calibri"/>
      </rPr>
      <t>Verify HPE Alletra Storage MP is configured to provide backend drive encryption with the following command:</t>
    </r>
    <r>
      <rPr>
        <sz val="11"/>
        <color rgb="FF000000"/>
        <rFont val="Calibri"/>
      </rPr>
      <t xml:space="preserve">
</t>
    </r>
    <r>
      <rPr>
        <sz val="11"/>
        <color rgb="FF000000"/>
        <rFont val="Calibri"/>
      </rPr>
      <t>Cli%controlencryption status -d</t>
    </r>
    <r>
      <rPr>
        <sz val="11"/>
        <color rgb="FF000000"/>
        <rFont val="Calibri"/>
      </rPr>
      <t xml:space="preserve">
</t>
    </r>
    <r>
      <rPr>
        <sz val="11"/>
        <color rgb="FF000000"/>
        <rFont val="Calibri"/>
      </rPr>
      <t>Licensed Enabled BackupSaved State  SeqNum Keystore FIPS non-SEDs FailedDisks nodeNonSED</t>
    </r>
    <r>
      <rPr>
        <sz val="11"/>
        <color rgb="FF000000"/>
        <rFont val="Calibri"/>
      </rPr>
      <t xml:space="preserve">
</t>
    </r>
    <r>
      <rPr>
        <sz val="11"/>
        <color rgb="FF000000"/>
        <rFont val="Calibri"/>
      </rPr>
      <t>yes      yes      yes          normal      0 ---      yes        12           0          0</t>
    </r>
    <r>
      <rPr>
        <sz val="11"/>
        <color rgb="FF000000"/>
        <rFont val="Calibri"/>
      </rPr>
      <t xml:space="preserve">
</t>
    </r>
    <r>
      <rPr>
        <sz val="11"/>
        <color rgb="FF000000"/>
        <rFont val="Calibri"/>
      </rPr>
      <t>If the output does not show licensed, enabled, BackupSaved, and FIPS as "yes" this is a finding.</t>
    </r>
    <r>
      <rPr>
        <sz val="11"/>
        <color rgb="FF000000"/>
        <rFont val="Calibri"/>
      </rPr>
      <t xml:space="preserve">
</t>
    </r>
    <r>
      <rPr>
        <sz val="11"/>
        <color rgb="FF000000"/>
        <rFont val="Calibri"/>
      </rPr>
      <t>If the state is not "normal", this is a finding.</t>
    </r>
    <r>
      <rPr>
        <sz val="11"/>
        <color rgb="FF000000"/>
        <rFont val="Calibri"/>
      </rPr>
      <t xml:space="preserve">
</t>
    </r>
    <r>
      <rPr>
        <sz val="11"/>
        <color rgb="FF000000"/>
        <rFont val="Calibri"/>
      </rPr>
      <t>If Keystore is not "EKM", this is a finding.</t>
    </r>
  </si>
  <si>
    <t>V-283037</t>
  </si>
  <si>
    <r>
      <rPr>
        <sz val="11"/>
        <rFont val="Calibri"/>
      </rPr>
      <t>The HPE Alletra Storage ArcusOS device must set an inactive timeout for sessions.</t>
    </r>
  </si>
  <si>
    <r>
      <rPr>
        <sz val="11"/>
        <color rgb="FF000000"/>
        <rFont val="Calibri"/>
      </rPr>
      <t>Configure the WSAPI Session Timeout to a value less than or equal to 10 minutes:</t>
    </r>
    <r>
      <rPr>
        <sz val="11"/>
        <color rgb="FF000000"/>
        <rFont val="Calibri"/>
      </rPr>
      <t xml:space="preserve">
</t>
    </r>
    <r>
      <rPr>
        <sz val="11"/>
        <color rgb="FF000000"/>
        <rFont val="Calibri"/>
      </rPr>
      <t>cli% setwsapi -timeout 10</t>
    </r>
  </si>
  <si>
    <r>
      <rPr>
        <sz val="11"/>
        <color rgb="FF000000"/>
        <rFont val="Calibri"/>
      </rPr>
      <t xml:space="preserve">Leaving sessions open indefinitely is a major security risk. An attacker can easily use an already authenticated session to access the hosted application as the previously authenticated user. By closing sessions after a set period of inactivity, the web server can make certain those sessions not closed through the user logging out of an application are eventually closed. </t>
    </r>
    <r>
      <rPr>
        <sz val="11"/>
        <color rgb="FF000000"/>
        <rFont val="Calibri"/>
      </rPr>
      <t xml:space="preserve">
</t>
    </r>
    <r>
      <rPr>
        <sz val="11"/>
        <color rgb="FF000000"/>
        <rFont val="Calibri"/>
      </rPr>
      <t>Acceptable values are 5 minutes for high-value applications, 10 minutes for medium-value applications, and 20 minutes for low-value applications.</t>
    </r>
  </si>
  <si>
    <r>
      <rPr>
        <sz val="11"/>
        <color rgb="FF000000"/>
        <rFont val="Calibri"/>
      </rPr>
      <t>Verify the WSAPI Session Timeout value is set with the following command:</t>
    </r>
    <r>
      <rPr>
        <sz val="11"/>
        <color rgb="FF000000"/>
        <rFont val="Calibri"/>
      </rPr>
      <t xml:space="preserve">
</t>
    </r>
    <r>
      <rPr>
        <sz val="11"/>
        <color rgb="FF000000"/>
        <rFont val="Calibri"/>
      </rPr>
      <t>%cli showwsapi -d</t>
    </r>
    <r>
      <rPr>
        <sz val="11"/>
        <color rgb="FF000000"/>
        <rFont val="Calibri"/>
      </rPr>
      <t xml:space="preserve">
</t>
    </r>
    <r>
      <rPr>
        <sz val="11"/>
        <color rgb="FF000000"/>
        <rFont val="Calibri"/>
      </rPr>
      <t>-------------------------------WSAPI Server Configuration--------------------------------</t>
    </r>
    <r>
      <rPr>
        <sz val="11"/>
        <color rgb="FF000000"/>
        <rFont val="Calibri"/>
      </rPr>
      <t xml:space="preserve">
</t>
    </r>
    <r>
      <rPr>
        <sz val="11"/>
        <color rgb="FF000000"/>
        <rFont val="Calibri"/>
      </rPr>
      <t>service State:                                        Enabled</t>
    </r>
    <r>
      <rPr>
        <sz val="11"/>
        <color rgb="FF000000"/>
        <rFont val="Calibri"/>
      </rPr>
      <t xml:space="preserve">
</t>
    </r>
    <r>
      <rPr>
        <sz val="11"/>
        <color rgb="FF000000"/>
        <rFont val="Calibri"/>
      </rPr>
      <t>HPE GreenLake for Block Storage UI State:                                        Active</t>
    </r>
    <r>
      <rPr>
        <sz val="11"/>
        <color rgb="FF000000"/>
        <rFont val="Calibri"/>
      </rPr>
      <t xml:space="preserve">
</t>
    </r>
    <r>
      <rPr>
        <sz val="11"/>
        <color rgb="FF000000"/>
        <rFont val="Calibri"/>
      </rPr>
      <t>server State:                                                                    Active</t>
    </r>
    <r>
      <rPr>
        <sz val="11"/>
        <color rgb="FF000000"/>
        <rFont val="Calibri"/>
      </rPr>
      <t xml:space="preserve">
</t>
    </r>
    <r>
      <rPr>
        <sz val="11"/>
        <color rgb="FF000000"/>
        <rFont val="Calibri"/>
      </rPr>
      <t>HTTPS Port:                                                                       443</t>
    </r>
    <r>
      <rPr>
        <sz val="11"/>
        <color rgb="FF000000"/>
        <rFont val="Calibri"/>
      </rPr>
      <t xml:space="preserve">
</t>
    </r>
    <r>
      <rPr>
        <sz val="11"/>
        <color rgb="FF000000"/>
        <rFont val="Calibri"/>
      </rPr>
      <t>Number of Sessions Created:                                                         0</t>
    </r>
    <r>
      <rPr>
        <sz val="11"/>
        <color rgb="FF000000"/>
        <rFont val="Calibri"/>
      </rPr>
      <t xml:space="preserve">
</t>
    </r>
    <r>
      <rPr>
        <sz val="11"/>
        <color rgb="FF000000"/>
        <rFont val="Calibri"/>
      </rPr>
      <t>System Resource Usage:                                                         96</t>
    </r>
    <r>
      <rPr>
        <sz val="11"/>
        <color rgb="FF000000"/>
        <rFont val="Calibri"/>
      </rPr>
      <t xml:space="preserve">
</t>
    </r>
    <r>
      <rPr>
        <sz val="11"/>
        <color rgb="FF000000"/>
        <rFont val="Calibri"/>
      </rPr>
      <t>Number of Sessions Active:                                                          0</t>
    </r>
    <r>
      <rPr>
        <sz val="11"/>
        <color rgb="FF000000"/>
        <rFont val="Calibri"/>
      </rPr>
      <t xml:space="preserve">
</t>
    </r>
    <r>
      <rPr>
        <sz val="11"/>
        <color rgb="FF000000"/>
        <rFont val="Calibri"/>
      </rPr>
      <t>Version:                                                     1.14.0</t>
    </r>
    <r>
      <rPr>
        <sz val="11"/>
        <color rgb="FF000000"/>
        <rFont val="Calibri"/>
      </rPr>
      <t xml:space="preserve">
</t>
    </r>
    <r>
      <rPr>
        <sz val="11"/>
        <color rgb="FF000000"/>
        <rFont val="Calibri"/>
      </rPr>
      <t>Event Stream State:                                                                    Enabled</t>
    </r>
    <r>
      <rPr>
        <sz val="11"/>
        <color rgb="FF000000"/>
        <rFont val="Calibri"/>
      </rPr>
      <t xml:space="preserve">
</t>
    </r>
    <r>
      <rPr>
        <sz val="11"/>
        <color rgb="FF000000"/>
        <rFont val="Calibri"/>
      </rPr>
      <t>Max Number of SSE Sessions Allowed:                                               5</t>
    </r>
    <r>
      <rPr>
        <sz val="11"/>
        <color rgb="FF000000"/>
        <rFont val="Calibri"/>
      </rPr>
      <t xml:space="preserve">
</t>
    </r>
    <r>
      <rPr>
        <sz val="11"/>
        <color rgb="FF000000"/>
        <rFont val="Calibri"/>
      </rPr>
      <t>Number of SSE Sessions Created:                                                         0</t>
    </r>
    <r>
      <rPr>
        <sz val="11"/>
        <color rgb="FF000000"/>
        <rFont val="Calibri"/>
      </rPr>
      <t xml:space="preserve">
</t>
    </r>
    <r>
      <rPr>
        <sz val="11"/>
        <color rgb="FF000000"/>
        <rFont val="Calibri"/>
      </rPr>
      <t>Number of SSE Sessions Active:                                                             0</t>
    </r>
    <r>
      <rPr>
        <sz val="11"/>
        <color rgb="FF000000"/>
        <rFont val="Calibri"/>
      </rPr>
      <t xml:space="preserve">
</t>
    </r>
    <r>
      <rPr>
        <sz val="11"/>
        <color rgb="FF000000"/>
        <rFont val="Calibri"/>
      </rPr>
      <t>Session Timeout:                                                10 Minutes</t>
    </r>
    <r>
      <rPr>
        <sz val="11"/>
        <color rgb="FF000000"/>
        <rFont val="Calibri"/>
      </rPr>
      <t xml:space="preserve">
</t>
    </r>
    <r>
      <rPr>
        <sz val="11"/>
        <color rgb="FF000000"/>
        <rFont val="Calibri"/>
      </rPr>
      <t>Policy :                                            per_user_limit</t>
    </r>
    <r>
      <rPr>
        <sz val="11"/>
        <color rgb="FF000000"/>
        <rFont val="Calibri"/>
      </rPr>
      <t xml:space="preserve">
</t>
    </r>
    <r>
      <rPr>
        <sz val="11"/>
        <color rgb="FF000000"/>
        <rFont val="Calibri"/>
      </rPr>
      <t>API URL:               https://s2475-cluster.lr4-storage.net/api/v1</t>
    </r>
    <r>
      <rPr>
        <sz val="11"/>
        <color rgb="FF000000"/>
        <rFont val="Calibri"/>
      </rPr>
      <t xml:space="preserve">
</t>
    </r>
    <r>
      <rPr>
        <sz val="11"/>
        <color rgb="FF000000"/>
        <rFont val="Calibri"/>
      </rPr>
      <t>If "Session Timeout" is set to a value greater than "10 minutes", this is a finding.</t>
    </r>
  </si>
  <si>
    <t>V-283038</t>
  </si>
  <si>
    <r>
      <rPr>
        <sz val="11"/>
        <rFont val="Calibri"/>
      </rPr>
      <t>The HPE Alletra Storage ArcusOS device must disable remote access.</t>
    </r>
  </si>
  <si>
    <r>
      <rPr>
        <sz val="11"/>
        <color rgb="FF000000"/>
        <rFont val="Calibri"/>
      </rPr>
      <t>Configure the system to disable remote access:</t>
    </r>
    <r>
      <rPr>
        <sz val="11"/>
        <color rgb="FF000000"/>
        <rFont val="Calibri"/>
      </rPr>
      <t xml:space="preserve">
</t>
    </r>
    <r>
      <rPr>
        <sz val="11"/>
        <color rgb="FF000000"/>
        <rFont val="Calibri"/>
      </rPr>
      <t>Stop the RDA service:</t>
    </r>
    <r>
      <rPr>
        <sz val="11"/>
        <color rgb="FF000000"/>
        <rFont val="Calibri"/>
      </rPr>
      <t xml:space="preserve">
</t>
    </r>
    <r>
      <rPr>
        <sz val="11"/>
        <color rgb="FF000000"/>
        <rFont val="Calibri"/>
      </rPr>
      <t>cli% stoprda</t>
    </r>
    <r>
      <rPr>
        <sz val="11"/>
        <color rgb="FF000000"/>
        <rFont val="Calibri"/>
      </rPr>
      <t xml:space="preserve">
</t>
    </r>
    <r>
      <rPr>
        <sz val="11"/>
        <color rgb="FF000000"/>
        <rFont val="Calibri"/>
      </rPr>
      <t>Are you sure you want to stop RDA service?</t>
    </r>
    <r>
      <rPr>
        <sz val="11"/>
        <color rgb="FF000000"/>
        <rFont val="Calibri"/>
      </rPr>
      <t xml:space="preserve">
</t>
    </r>
    <r>
      <rPr>
        <sz val="11"/>
        <color rgb="FF000000"/>
        <rFont val="Calibri"/>
      </rPr>
      <t xml:space="preserve">select q=quit y=yes n=no: </t>
    </r>
    <r>
      <rPr>
        <sz val="11"/>
        <color rgb="FF000000"/>
        <rFont val="Calibri"/>
      </rPr>
      <t xml:space="preserve">
</t>
    </r>
    <r>
      <rPr>
        <sz val="11"/>
        <color rgb="FF000000"/>
        <rFont val="Calibri"/>
      </rPr>
      <t>Enter "y" to confirm the action.</t>
    </r>
    <r>
      <rPr>
        <sz val="11"/>
        <color rgb="FF000000"/>
        <rFont val="Calibri"/>
      </rPr>
      <t xml:space="preserve">
</t>
    </r>
    <r>
      <rPr>
        <sz val="11"/>
        <color rgb="FF000000"/>
        <rFont val="Calibri"/>
      </rPr>
      <t>Set the recovery authentication to ciphertext:</t>
    </r>
    <r>
      <rPr>
        <sz val="11"/>
        <color rgb="FF000000"/>
        <rFont val="Calibri"/>
      </rPr>
      <t xml:space="preserve">
</t>
    </r>
    <r>
      <rPr>
        <sz val="11"/>
        <color rgb="FF000000"/>
        <rFont val="Calibri"/>
      </rPr>
      <t>cli% controlrecoveryauth setmethod ciphertext</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</si>
  <si>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 xml:space="preserve">A web server can be accessed remotely and must be able to enforce remote access policy requirements or work in conjunction with enterprise tools designed to enforce policy requirements. </t>
    </r>
    <r>
      <rPr>
        <sz val="11"/>
        <color rgb="FF000000"/>
        <rFont val="Calibri"/>
      </rPr>
      <t xml:space="preserve">
</t>
    </r>
    <r>
      <rPr>
        <sz val="11"/>
        <color rgb="FF000000"/>
        <rFont val="Calibri"/>
      </rPr>
      <t>Examples of the web server enforcing a remote access policy are implementing IP filtering rules, using https instead of http for communication, implementing secure tokens, and validating users.</t>
    </r>
  </si>
  <si>
    <r>
      <rPr>
        <sz val="11"/>
        <color rgb="FF000000"/>
        <rFont val="Calibri"/>
      </rPr>
      <t>Verify the RDA service is disabled and controlrecoveryauth is set to use ciphertext with the following commands:</t>
    </r>
    <r>
      <rPr>
        <sz val="11"/>
        <color rgb="FF000000"/>
        <rFont val="Calibri"/>
      </rPr>
      <t xml:space="preserve">
</t>
    </r>
    <r>
      <rPr>
        <sz val="11"/>
        <color rgb="FF000000"/>
        <rFont val="Calibri"/>
      </rPr>
      <t>cli% stoprda</t>
    </r>
    <r>
      <rPr>
        <sz val="11"/>
        <color rgb="FF000000"/>
        <rFont val="Calibri"/>
      </rPr>
      <t xml:space="preserve">
</t>
    </r>
    <r>
      <rPr>
        <sz val="11"/>
        <color rgb="FF000000"/>
        <rFont val="Calibri"/>
      </rPr>
      <t>RDA service is already disabled.</t>
    </r>
    <r>
      <rPr>
        <sz val="11"/>
        <color rgb="FF000000"/>
        <rFont val="Calibri"/>
      </rPr>
      <t xml:space="preserve">
</t>
    </r>
    <r>
      <rPr>
        <sz val="11"/>
        <color rgb="FF000000"/>
        <rFont val="Calibri"/>
      </rPr>
      <t>cli% controlrecoveryauth status</t>
    </r>
    <r>
      <rPr>
        <sz val="11"/>
        <color rgb="FF000000"/>
        <rFont val="Calibri"/>
      </rPr>
      <t xml:space="preserve">
</t>
    </r>
    <r>
      <rPr>
        <sz val="11"/>
        <color rgb="FF000000"/>
        <rFont val="Calibri"/>
      </rPr>
      <t>Recovery authentication method is Ciphertext.</t>
    </r>
    <r>
      <rPr>
        <sz val="11"/>
        <color rgb="FF000000"/>
        <rFont val="Calibri"/>
      </rPr>
      <t xml:space="preserve">
</t>
    </r>
    <r>
      <rPr>
        <sz val="11"/>
        <color rgb="FF000000"/>
        <rFont val="Calibri"/>
      </rPr>
      <t>If the message returned is not "RDA service is already disabled", this is a finding.</t>
    </r>
    <r>
      <rPr>
        <sz val="11"/>
        <color rgb="FF000000"/>
        <rFont val="Calibri"/>
      </rPr>
      <t xml:space="preserve">
</t>
    </r>
    <r>
      <rPr>
        <sz val="11"/>
        <color rgb="FF000000"/>
        <rFont val="Calibri"/>
      </rPr>
      <t>If the message returned is not "Recovery authentication method is Ciphertext", this is a finding.</t>
    </r>
  </si>
  <si>
    <t>V-283073</t>
  </si>
  <si>
    <r>
      <rPr>
        <sz val="11"/>
        <rFont val="Calibri"/>
      </rPr>
      <t>The HPE Alletra Storage ArcusOS device must have an SNMPv3 user account configured.</t>
    </r>
  </si>
  <si>
    <r>
      <rPr>
        <sz val="11"/>
        <color rgb="FF000000"/>
        <rFont val="Calibri"/>
      </rPr>
      <t>Configure SNMPv3 alert notifications using the following sequence of operations:</t>
    </r>
    <r>
      <rPr>
        <sz val="11"/>
        <color rgb="FF000000"/>
        <rFont val="Calibri"/>
      </rPr>
      <t xml:space="preserve">
</t>
    </r>
    <r>
      <rPr>
        <sz val="11"/>
        <color rgb="FF000000"/>
        <rFont val="Calibri"/>
      </rPr>
      <t>Create and enable an SNMPv3 user, and create associated keys for authentication and privacy.</t>
    </r>
    <r>
      <rPr>
        <sz val="11"/>
        <color rgb="FF000000"/>
        <rFont val="Calibri"/>
      </rPr>
      <t xml:space="preserve">
</t>
    </r>
    <r>
      <rPr>
        <sz val="11"/>
        <color rgb="FF000000"/>
        <rFont val="Calibri"/>
      </rPr>
      <t>cli% createuser Alletrasnmpuser all browse</t>
    </r>
    <r>
      <rPr>
        <sz val="11"/>
        <color rgb="FF000000"/>
        <rFont val="Calibri"/>
      </rPr>
      <t xml:space="preserve">
</t>
    </r>
    <r>
      <rPr>
        <sz val="11"/>
        <color rgb="FF000000"/>
        <rFont val="Calibri"/>
      </rPr>
      <t>Enter the password and confirm.</t>
    </r>
    <r>
      <rPr>
        <sz val="11"/>
        <color rgb="FF000000"/>
        <rFont val="Calibri"/>
      </rPr>
      <t xml:space="preserve">
</t>
    </r>
    <r>
      <rPr>
        <sz val="11"/>
        <color rgb="FF000000"/>
        <rFont val="Calibri"/>
      </rPr>
      <t>cli%  createsnmpuser Alletrasnmpuser</t>
    </r>
    <r>
      <rPr>
        <sz val="11"/>
        <color rgb="FF000000"/>
        <rFont val="Calibri"/>
      </rPr>
      <t xml:space="preserve">
</t>
    </r>
    <r>
      <rPr>
        <sz val="11"/>
        <color rgb="FF000000"/>
        <rFont val="Calibri"/>
      </rPr>
      <t>At the prompt, enter the password.</t>
    </r>
    <r>
      <rPr>
        <sz val="11"/>
        <color rgb="FF000000"/>
        <rFont val="Calibri"/>
      </rPr>
      <t xml:space="preserve">
</t>
    </r>
    <r>
      <rPr>
        <sz val="11"/>
        <color rgb="FF000000"/>
        <rFont val="Calibri"/>
      </rPr>
      <t>At the next prompt, reenter the password.</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</si>
  <si>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</si>
  <si>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an SNMPv3 user account is configured:</t>
    </r>
    <r>
      <rPr>
        <sz val="11"/>
        <color rgb="FF000000"/>
        <rFont val="Calibri"/>
      </rPr>
      <t xml:space="preserve">
</t>
    </r>
    <r>
      <rPr>
        <sz val="11"/>
        <color rgb="FF000000"/>
        <rFont val="Calibri"/>
      </rPr>
      <t>cli%  showsnmpuser</t>
    </r>
    <r>
      <rPr>
        <sz val="11"/>
        <color rgb="FF000000"/>
        <rFont val="Calibri"/>
      </rPr>
      <t xml:space="preserve">
</t>
    </r>
    <r>
      <rPr>
        <sz val="11"/>
        <color rgb="FF000000"/>
        <rFont val="Calibri"/>
      </rPr>
      <t>Username        AuthProtocol PrivProtocol</t>
    </r>
    <r>
      <rPr>
        <sz val="11"/>
        <color rgb="FF000000"/>
        <rFont val="Calibri"/>
      </rPr>
      <t xml:space="preserve">
</t>
    </r>
    <r>
      <rPr>
        <sz val="11"/>
        <color rgb="FF000000"/>
        <rFont val="Calibri"/>
      </rPr>
      <t>Alletrasnmpuser HMAC-SHA-96  CFB128-AES-128</t>
    </r>
    <r>
      <rPr>
        <sz val="11"/>
        <color rgb="FF000000"/>
        <rFont val="Calibri"/>
      </rPr>
      <t xml:space="preserve">
</t>
    </r>
    <r>
      <rPr>
        <sz val="11"/>
        <color rgb="FF000000"/>
        <rFont val="Calibri"/>
      </rPr>
      <t>If the output is not displayed in the above format, this is a finding.</t>
    </r>
  </si>
  <si>
    <t>V-283074</t>
  </si>
  <si>
    <r>
      <rPr>
        <sz val="11"/>
        <rFont val="Calibri"/>
      </rPr>
      <t>The HPE Alletra Storage ArcusOS device must be configured to collect and send SNMPv3 notifications.</t>
    </r>
  </si>
  <si>
    <r>
      <rPr>
        <sz val="11"/>
        <color rgb="FF000000"/>
        <rFont val="Calibri"/>
      </rPr>
      <t>Configure SNMPv3 alert notifications using the following sequence of operations:</t>
    </r>
    <r>
      <rPr>
        <sz val="11"/>
        <color rgb="FF000000"/>
        <rFont val="Calibri"/>
      </rPr>
      <t xml:space="preserve">
</t>
    </r>
    <r>
      <rPr>
        <sz val="11"/>
        <color rgb="FF000000"/>
        <rFont val="Calibri"/>
      </rPr>
      <t>Add the IP address of the SNMPv3 trap recipient, where permissions of the account are used:</t>
    </r>
    <r>
      <rPr>
        <sz val="11"/>
        <color rgb="FF000000"/>
        <rFont val="Calibri"/>
      </rPr>
      <t xml:space="preserve">
</t>
    </r>
    <r>
      <rPr>
        <sz val="11"/>
        <color rgb="FF000000"/>
        <rFont val="Calibri"/>
      </rPr>
      <t>cli%  addsnmpmgr -version 3 -snmpuser Alletrasnmpuser  &lt;ip address&gt;</t>
    </r>
  </si>
  <si>
    <r>
      <rPr>
        <sz val="11"/>
        <color rgb="FF000000"/>
        <rFont val="Calibri"/>
      </rPr>
      <t>Identify the SNMP trap recipient and report SNMP configuration:</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HostIP                                      Port          SNMPVersion   User                            Notify          AlertClear</t>
    </r>
    <r>
      <rPr>
        <sz val="11"/>
        <color rgb="FF000000"/>
        <rFont val="Calibri"/>
      </rPr>
      <t xml:space="preserve">
</t>
    </r>
    <r>
      <rPr>
        <sz val="11"/>
        <color rgb="FF000000"/>
        <rFont val="Calibri"/>
      </rPr>
      <t>&lt;snmp trap recipient IP&gt;  162                                    3    Alletrasnmpuser   standard   standard</t>
    </r>
    <r>
      <rPr>
        <sz val="11"/>
        <color rgb="FF000000"/>
        <rFont val="Calibri"/>
      </rPr>
      <t xml:space="preserve">
</t>
    </r>
    <r>
      <rPr>
        <sz val="11"/>
        <color rgb="FF000000"/>
        <rFont val="Calibri"/>
      </rPr>
      <t>If the SNMP trap recipient IP address is incorrect, this is a finding.</t>
    </r>
    <r>
      <rPr>
        <sz val="11"/>
        <color rgb="FF000000"/>
        <rFont val="Calibri"/>
      </rPr>
      <t xml:space="preserve">
</t>
    </r>
    <r>
      <rPr>
        <sz val="11"/>
        <color rgb="FF000000"/>
        <rFont val="Calibri"/>
      </rPr>
      <t>If the SNMP port is not "162", this is a finding.</t>
    </r>
    <r>
      <rPr>
        <sz val="11"/>
        <color rgb="FF000000"/>
        <rFont val="Calibri"/>
      </rPr>
      <t xml:space="preserve">
</t>
    </r>
    <r>
      <rPr>
        <sz val="11"/>
        <color rgb="FF000000"/>
        <rFont val="Calibri"/>
      </rPr>
      <t>If the SNMP version is not "3", this is a finding.</t>
    </r>
    <r>
      <rPr>
        <sz val="11"/>
        <color rgb="FF000000"/>
        <rFont val="Calibri"/>
      </rPr>
      <t xml:space="preserve">
</t>
    </r>
    <r>
      <rPr>
        <sz val="11"/>
        <color rgb="FF000000"/>
        <rFont val="Calibri"/>
      </rPr>
      <t>If the SNMP user ID is incorrect, this is a finding.</t>
    </r>
  </si>
  <si>
    <t>V-283090</t>
  </si>
  <si>
    <r>
      <rPr>
        <sz val="11"/>
        <rFont val="Calibri"/>
      </rPr>
      <t>The HPE Alletra Storage ArcusOS device must utilize trusted and authorized certificates.</t>
    </r>
  </si>
  <si>
    <r>
      <rPr>
        <sz val="11"/>
        <color rgb="FF000000"/>
        <rFont val="Calibri"/>
      </rPr>
      <t>Install the correct certificate for each service using the importcert command.</t>
    </r>
    <r>
      <rPr>
        <sz val="11"/>
        <color rgb="FF000000"/>
        <rFont val="Calibri"/>
      </rPr>
      <t xml:space="preserve">
</t>
    </r>
    <r>
      <rPr>
        <sz val="11"/>
        <color rgb="FF000000"/>
        <rFont val="Calibri"/>
      </rPr>
      <t>importcert &lt;SSL_service&gt; [-f] -ca &lt;CA_bundle&gt;</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</si>
  <si>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(e.g.,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</si>
  <si>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system includes only approved certificates with the following command:</t>
    </r>
    <r>
      <rPr>
        <sz val="11"/>
        <color rgb="FF000000"/>
        <rFont val="Calibri"/>
      </rPr>
      <t xml:space="preserve">
</t>
    </r>
    <r>
      <rPr>
        <sz val="11"/>
        <color rgb="FF000000"/>
        <rFont val="Calibri"/>
      </rPr>
      <t>s2475 cli% showcert</t>
    </r>
    <r>
      <rPr>
        <sz val="11"/>
        <color rgb="FF000000"/>
        <rFont val="Calibri"/>
      </rPr>
      <t xml:space="preserve">
</t>
    </r>
    <r>
      <rPr>
        <sz val="11"/>
        <color rgb="FF000000"/>
        <rFont val="Calibri"/>
      </rPr>
      <t>Service                      Commonname                                     Type           Enddate                                        Fingerprint</t>
    </r>
    <r>
      <rPr>
        <sz val="11"/>
        <color rgb="FF000000"/>
        <rFont val="Calibri"/>
      </rPr>
      <t xml:space="preserve">
</t>
    </r>
    <r>
      <rPr>
        <sz val="11"/>
        <color rgb="FF000000"/>
        <rFont val="Calibri"/>
      </rPr>
      <t>cli*                              lr4-vlan3489-ca.lr4-storage.net    rootca       Mar 27 16:00:17 2034 GMT     741809eb70791ab41d4b695ffef01beb7ea3531e</t>
    </r>
    <r>
      <rPr>
        <sz val="11"/>
        <color rgb="FF000000"/>
        <rFont val="Calibri"/>
      </rPr>
      <t xml:space="preserve">
</t>
    </r>
    <r>
      <rPr>
        <sz val="11"/>
        <color rgb="FF000000"/>
        <rFont val="Calibri"/>
      </rPr>
      <t>ekm-client                test-user                                                  cert            Mar 11 10:24:42 2034 GMT    7eae686ffe489b200a4a4bf353db4a0b139043db</t>
    </r>
    <r>
      <rPr>
        <sz val="11"/>
        <color rgb="FF000000"/>
        <rFont val="Calibri"/>
      </rPr>
      <t xml:space="preserve">
</t>
    </r>
    <r>
      <rPr>
        <sz val="11"/>
        <color rgb="FF000000"/>
        <rFont val="Calibri"/>
      </rPr>
      <t>ekm-client                CipherTrust Root CA                            rootca       Mar 11 10:24:42 2034 GMT   c2b3e77b89279d830299d60561152b2bedbf6ef6</t>
    </r>
    <r>
      <rPr>
        <sz val="11"/>
        <color rgb="FF000000"/>
        <rFont val="Calibri"/>
      </rPr>
      <t xml:space="preserve">
</t>
    </r>
    <r>
      <rPr>
        <sz val="11"/>
        <color rgb="FF000000"/>
        <rFont val="Calibri"/>
      </rPr>
      <t>ekm-server               CipherTrust Root CA                           rootca       Mar 11 10:24:42 2034 GMT    c2b3e77b89279d830299d60561152b2bedbf6ef6</t>
    </r>
    <r>
      <rPr>
        <sz val="11"/>
        <color rgb="FF000000"/>
        <rFont val="Calibri"/>
      </rPr>
      <t xml:space="preserve">
</t>
    </r>
    <r>
      <rPr>
        <sz val="11"/>
        <color rgb="FF000000"/>
        <rFont val="Calibri"/>
      </rPr>
      <t>ldap                             lr4-storage-CA                                      rootca       May 31 17:38:44 2032 GMT    409e507985813f294f9c9464e488e46d903f4f58</t>
    </r>
    <r>
      <rPr>
        <sz val="11"/>
        <color rgb="FF000000"/>
        <rFont val="Calibri"/>
      </rPr>
      <t xml:space="preserve">
</t>
    </r>
    <r>
      <rPr>
        <sz val="11"/>
        <color rgb="FF000000"/>
        <rFont val="Calibri"/>
      </rPr>
      <t>syslog-sec-client    lr4-vlan3489-ca.lr4-storage.net    rootca       Mar 27 16:00:17 2034 GMT    741809eb70791ab41d4b695ffef01beb7ea3531e</t>
    </r>
    <r>
      <rPr>
        <sz val="11"/>
        <color rgb="FF000000"/>
        <rFont val="Calibri"/>
      </rPr>
      <t xml:space="preserve">
</t>
    </r>
    <r>
      <rPr>
        <sz val="11"/>
        <color rgb="FF000000"/>
        <rFont val="Calibri"/>
      </rPr>
      <t>syslog-sec-server   lr4-vlan3489-ca.lr4-storage.net    rootca       Mar 27 16:00:17 2034 GMT    741809eb70791ab41d4b695ffef01beb7ea3531e</t>
    </r>
    <r>
      <rPr>
        <sz val="11"/>
        <color rgb="FF000000"/>
        <rFont val="Calibri"/>
      </rPr>
      <t xml:space="preserve">
</t>
    </r>
    <r>
      <rPr>
        <sz val="11"/>
        <color rgb="FF000000"/>
        <rFont val="Calibri"/>
      </rPr>
      <t>wsapi                          lr4-vlan3489-ca.lr4-storage.net    rootca       Mar 27 16:00:17 2034 GMT    741809eb70791ab41d4b695ffef01beb7ea3531e</t>
    </r>
    <r>
      <rPr>
        <sz val="11"/>
        <color rgb="FF000000"/>
        <rFont val="Calibri"/>
      </rPr>
      <t xml:space="preserve">
</t>
    </r>
    <r>
      <rPr>
        <sz val="11"/>
        <color rgb="FF000000"/>
        <rFont val="Calibri"/>
      </rPr>
      <t>For each certificate listed above, utilize the system documentation to verify the fingerprint(s) match the authorized certificate(s).</t>
    </r>
    <r>
      <rPr>
        <sz val="11"/>
        <color rgb="FF000000"/>
        <rFont val="Calibri"/>
      </rPr>
      <t xml:space="preserve">
</t>
    </r>
    <r>
      <rPr>
        <sz val="11"/>
        <color rgb="FF000000"/>
        <rFont val="Calibri"/>
      </rPr>
      <t>If the fingerprint(s) listed above do not match the certificate(s) listed in the system documentation, this is a finding.</t>
    </r>
  </si>
  <si>
    <t>V-283358</t>
  </si>
  <si>
    <r>
      <rPr>
        <sz val="11"/>
        <rFont val="Calibri"/>
      </rPr>
      <t>The HPE Alletra Storage ArcusOS device must display the Standard Mandatory DOD Notice and Consent Banner before granting access to the device.</t>
    </r>
  </si>
  <si>
    <t>Network Device Management</t>
  </si>
  <si>
    <r>
      <rPr>
        <sz val="11"/>
        <color rgb="FF000000"/>
        <rFont val="Calibri"/>
      </rPr>
      <t>Configure the login banner:</t>
    </r>
    <r>
      <rPr>
        <sz val="11"/>
        <color rgb="FF000000"/>
        <rFont val="Calibri"/>
      </rPr>
      <t xml:space="preserve">
</t>
    </r>
    <r>
      <rPr>
        <sz val="11"/>
        <color rgb="FF000000"/>
        <rFont val="Calibri"/>
      </rPr>
      <t>cli%  setbanner -all</t>
    </r>
    <r>
      <rPr>
        <sz val="11"/>
        <color rgb="FF000000"/>
        <rFont val="Calibri"/>
      </rPr>
      <t xml:space="preserve">
</t>
    </r>
    <r>
      <rPr>
        <sz val="11"/>
        <color rgb="FF000000"/>
        <rFont val="Calibri"/>
      </rPr>
      <t>Paste the following text:</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products are private and confidential. See User Agreement for details.</t>
    </r>
    <r>
      <rPr>
        <sz val="11"/>
        <color rgb="FF000000"/>
        <rFont val="Calibri"/>
      </rPr>
      <t xml:space="preserve">
</t>
    </r>
    <r>
      <rPr>
        <sz val="11"/>
        <color rgb="FF000000"/>
        <rFont val="Calibri"/>
      </rPr>
      <t>To complete the configuration, press "Enter" twice.</t>
    </r>
  </si>
  <si>
    <r>
      <rPr>
        <sz val="11"/>
        <color rgb="FF000000"/>
        <rFont val="Calibri"/>
      </rPr>
      <t>Displaying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r>
      <rPr>
        <sz val="11"/>
        <color rgb="FF000000"/>
        <rFont val="Calibri"/>
      </rPr>
      <t xml:space="preserve">
</t>
    </r>
    <r>
      <rPr>
        <sz val="11"/>
        <color rgb="FF000000"/>
        <rFont val="Calibri"/>
      </rPr>
      <t>Satisfies: SRG-APP-000068-NDM-000215, SRG-APP-000069-NDM-000216</t>
    </r>
  </si>
  <si>
    <r>
      <rPr>
        <sz val="11"/>
        <color rgb="FF000000"/>
        <rFont val="Calibri"/>
      </rPr>
      <t>Verify the login banner is configured with the following command:</t>
    </r>
    <r>
      <rPr>
        <sz val="11"/>
        <color rgb="FF000000"/>
        <rFont val="Calibri"/>
      </rPr>
      <t xml:space="preserve">
</t>
    </r>
    <r>
      <rPr>
        <sz val="11"/>
        <color rgb="FF000000"/>
        <rFont val="Calibri"/>
      </rPr>
      <t>cli%  showbanner -all</t>
    </r>
    <r>
      <rPr>
        <sz val="11"/>
        <color rgb="FF000000"/>
        <rFont val="Calibri"/>
      </rPr>
      <t xml:space="preserve">
</t>
    </r>
    <r>
      <rPr>
        <sz val="11"/>
        <color rgb="FF000000"/>
        <rFont val="Calibri"/>
      </rPr>
      <t>CLI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products are private and confidential. See User Agreement for details.</t>
    </r>
    <r>
      <rPr>
        <sz val="11"/>
        <color rgb="FF000000"/>
        <rFont val="Calibri"/>
      </rPr>
      <t xml:space="preserve">
</t>
    </r>
    <r>
      <rPr>
        <sz val="11"/>
        <color rgb="FF000000"/>
        <rFont val="Calibri"/>
      </rPr>
      <t>SSH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products are private and confidential. See User Agreement for details.</t>
    </r>
    <r>
      <rPr>
        <sz val="11"/>
        <color rgb="FF000000"/>
        <rFont val="Calibri"/>
      </rPr>
      <t xml:space="preserve">
</t>
    </r>
    <r>
      <rPr>
        <sz val="11"/>
        <color rgb="FF000000"/>
        <rFont val="Calibri"/>
      </rPr>
      <t>If the system does not display a graphical logon banner, or the banner does not match the wording for the Standard Mandatory DOD Notice and Consent, this is a finding.</t>
    </r>
  </si>
  <si>
    <t>V-283377</t>
  </si>
  <si>
    <r>
      <rPr>
        <sz val="11"/>
        <rFont val="Calibri"/>
      </rPr>
      <t>The HPE Alletra Storage ArcusOS device must be configured to prohibit using all unnecessary and/or nonsecure ports, protocols, and/or services.</t>
    </r>
  </si>
  <si>
    <t>CAT I (High)</t>
  </si>
  <si>
    <r>
      <rPr>
        <sz val="11"/>
        <color rgb="FF000000"/>
        <rFont val="Calibri"/>
      </rPr>
      <t>Disable all unnecessary and/or nonsecure ports, protocols, and/or services.</t>
    </r>
    <r>
      <rPr>
        <sz val="11"/>
        <color rgb="FF000000"/>
        <rFont val="Calibri"/>
      </rPr>
      <t xml:space="preserve">
</t>
    </r>
    <r>
      <rPr>
        <sz val="11"/>
        <color rgb="FF000000"/>
        <rFont val="Calibri"/>
      </rPr>
      <t>Disable unsecure ports:</t>
    </r>
    <r>
      <rPr>
        <sz val="11"/>
        <color rgb="FF000000"/>
        <rFont val="Calibri"/>
      </rPr>
      <t xml:space="preserve">
</t>
    </r>
    <r>
      <rPr>
        <sz val="11"/>
        <color rgb="FF000000"/>
        <rFont val="Calibri"/>
      </rPr>
      <t>cli%  setnet disableports yes</t>
    </r>
    <r>
      <rPr>
        <sz val="11"/>
        <color rgb="FF000000"/>
        <rFont val="Calibri"/>
      </rPr>
      <t xml:space="preserve">
</t>
    </r>
    <r>
      <rPr>
        <sz val="11"/>
        <color rgb="FF000000"/>
        <rFont val="Calibri"/>
      </rPr>
      <t>Stop the RDA Service:</t>
    </r>
    <r>
      <rPr>
        <sz val="11"/>
        <color rgb="FF000000"/>
        <rFont val="Calibri"/>
      </rPr>
      <t xml:space="preserve">
</t>
    </r>
    <r>
      <rPr>
        <sz val="11"/>
        <color rgb="FF000000"/>
        <rFont val="Calibri"/>
      </rPr>
      <t>cli% stoprda</t>
    </r>
    <r>
      <rPr>
        <sz val="11"/>
        <color rgb="FF000000"/>
        <rFont val="Calibri"/>
      </rPr>
      <t xml:space="preserve">
</t>
    </r>
    <r>
      <rPr>
        <sz val="11"/>
        <color rgb="FF000000"/>
        <rFont val="Calibri"/>
      </rPr>
      <t>Stop the Remote Copy Service:</t>
    </r>
    <r>
      <rPr>
        <sz val="11"/>
        <color rgb="FF000000"/>
        <rFont val="Calibri"/>
      </rPr>
      <t xml:space="preserve">
</t>
    </r>
    <r>
      <rPr>
        <sz val="11"/>
        <color rgb="FF000000"/>
        <rFont val="Calibri"/>
      </rPr>
      <t>%cli stoprcopy"</t>
    </r>
    <r>
      <rPr>
        <sz val="11"/>
        <color rgb="FF000000"/>
        <rFont val="Calibri"/>
      </rPr>
      <t xml:space="preserve">
</t>
    </r>
    <r>
      <rPr>
        <sz val="11"/>
        <color rgb="FF000000"/>
        <rFont val="Calibri"/>
      </rPr>
      <t>Stop the VASA Service:</t>
    </r>
    <r>
      <rPr>
        <sz val="11"/>
        <color rgb="FF000000"/>
        <rFont val="Calibri"/>
      </rPr>
      <t xml:space="preserve">
</t>
    </r>
    <r>
      <rPr>
        <sz val="11"/>
        <color rgb="FF000000"/>
        <rFont val="Calibri"/>
      </rPr>
      <t>cli% stopvasa -f</t>
    </r>
    <r>
      <rPr>
        <sz val="11"/>
        <color rgb="FF000000"/>
        <rFont val="Calibri"/>
      </rPr>
      <t xml:space="preserve">
</t>
    </r>
    <r>
      <rPr>
        <sz val="11"/>
        <color rgb="FF000000"/>
        <rFont val="Calibri"/>
      </rPr>
      <t>Stop the CIM Service:</t>
    </r>
    <r>
      <rPr>
        <sz val="11"/>
        <color rgb="FF000000"/>
        <rFont val="Calibri"/>
      </rPr>
      <t xml:space="preserve">
</t>
    </r>
    <r>
      <rPr>
        <sz val="11"/>
        <color rgb="FF000000"/>
        <rFont val="Calibri"/>
      </rPr>
      <t>cli% stopcim -f</t>
    </r>
    <r>
      <rPr>
        <sz val="11"/>
        <color rgb="FF000000"/>
        <rFont val="Calibri"/>
      </rPr>
      <t xml:space="preserve">
</t>
    </r>
    <r>
      <rPr>
        <sz val="11"/>
        <color rgb="FF000000"/>
        <rFont val="Calibri"/>
      </rPr>
      <t>Stop the Web Services API:</t>
    </r>
    <r>
      <rPr>
        <sz val="11"/>
        <color rgb="FF000000"/>
        <rFont val="Calibri"/>
      </rPr>
      <t xml:space="preserve">
</t>
    </r>
    <r>
      <rPr>
        <sz val="11"/>
        <color rgb="FF000000"/>
        <rFont val="Calibri"/>
      </rPr>
      <t>cli% stopwsapi -f</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</si>
  <si>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can provide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using ports, protocols, and/or services to only those required, authorized, and approved. Some network devices have capabilities enabled by default; if these capabilities are not necessary, they must be disabled. If a particular capability is used, then it must be documented and approved.</t>
    </r>
    <r>
      <rPr>
        <sz val="11"/>
        <color rgb="FF000000"/>
        <rFont val="Calibri"/>
      </rPr>
      <t xml:space="preserve">
</t>
    </r>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r>
      <rPr>
        <sz val="11"/>
        <color rgb="FF000000"/>
        <rFont val="Calibri"/>
      </rPr>
      <t xml:space="preserve">
</t>
    </r>
    <r>
      <rPr>
        <sz val="11"/>
        <color rgb="FF000000"/>
        <rFont val="Calibri"/>
      </rPr>
      <t>Nonlocal maintenance and diagnostic activities are conducted by individuals who communicate through either an external or internal network. Communications paths can be logically separated using encryption.</t>
    </r>
  </si>
  <si>
    <r>
      <rPr>
        <sz val="11"/>
        <color rgb="FF000000"/>
        <rFont val="Calibri"/>
      </rPr>
      <t>Issue the following commands to check various services:</t>
    </r>
    <r>
      <rPr>
        <sz val="11"/>
        <color rgb="FF000000"/>
        <rFont val="Calibri"/>
      </rPr>
      <t xml:space="preserve">
</t>
    </r>
    <r>
      <rPr>
        <sz val="11"/>
        <color rgb="FF000000"/>
        <rFont val="Calibri"/>
      </rPr>
      <t>cli%  setnet disableports yes</t>
    </r>
    <r>
      <rPr>
        <sz val="11"/>
        <color rgb="FF000000"/>
        <rFont val="Calibri"/>
      </rPr>
      <t xml:space="preserve">
</t>
    </r>
    <r>
      <rPr>
        <sz val="11"/>
        <color rgb="FF000000"/>
        <rFont val="Calibri"/>
      </rPr>
      <t>cli% stoprda</t>
    </r>
    <r>
      <rPr>
        <sz val="11"/>
        <color rgb="FF000000"/>
        <rFont val="Calibri"/>
      </rPr>
      <t xml:space="preserve">
</t>
    </r>
    <r>
      <rPr>
        <sz val="11"/>
        <color rgb="FF000000"/>
        <rFont val="Calibri"/>
      </rPr>
      <t>RDA service is already disabled.</t>
    </r>
    <r>
      <rPr>
        <sz val="11"/>
        <color rgb="FF000000"/>
        <rFont val="Calibri"/>
      </rPr>
      <t xml:space="preserve">
</t>
    </r>
    <r>
      <rPr>
        <sz val="11"/>
        <color rgb="FF000000"/>
        <rFont val="Calibri"/>
      </rPr>
      <t>Note: There is no command to show the status of the disabled ports or the RDA service.</t>
    </r>
    <r>
      <rPr>
        <sz val="11"/>
        <color rgb="FF000000"/>
        <rFont val="Calibri"/>
      </rPr>
      <t xml:space="preserve">
</t>
    </r>
    <r>
      <rPr>
        <sz val="11"/>
        <color rgb="FF000000"/>
        <rFont val="Calibri"/>
      </rPr>
      <t>cli% showrcopy -d</t>
    </r>
    <r>
      <rPr>
        <sz val="11"/>
        <color rgb="FF000000"/>
        <rFont val="Calibri"/>
      </rPr>
      <t xml:space="preserve">
</t>
    </r>
    <r>
      <rPr>
        <sz val="11"/>
        <color rgb="FF000000"/>
        <rFont val="Calibri"/>
      </rPr>
      <t>Remote Copy System Information</t>
    </r>
    <r>
      <rPr>
        <sz val="11"/>
        <color rgb="FF000000"/>
        <rFont val="Calibri"/>
      </rPr>
      <t xml:space="preserve">
</t>
    </r>
    <r>
      <rPr>
        <sz val="11"/>
        <color rgb="FF000000"/>
        <rFont val="Calibri"/>
      </rPr>
      <t>Status: Stopped, Normal</t>
    </r>
    <r>
      <rPr>
        <sz val="11"/>
        <color rgb="FF000000"/>
        <rFont val="Calibri"/>
      </rPr>
      <t xml:space="preserve">
</t>
    </r>
    <r>
      <rPr>
        <sz val="11"/>
        <color rgb="FF000000"/>
        <rFont val="Calibri"/>
      </rPr>
      <t>cli% showvasa</t>
    </r>
    <r>
      <rPr>
        <sz val="11"/>
        <color rgb="FF000000"/>
        <rFont val="Calibri"/>
      </rPr>
      <t xml:space="preserve">
</t>
    </r>
    <r>
      <rPr>
        <sz val="11"/>
        <color rgb="FF000000"/>
        <rFont val="Calibri"/>
      </rPr>
      <t>-Service-   -------------------VASA_API2_URL-------------------                                -MemUsage(MiB)- -Version-</t>
    </r>
    <r>
      <rPr>
        <sz val="11"/>
        <color rgb="FF000000"/>
        <rFont val="Calibri"/>
      </rPr>
      <t xml:space="preserve">
</t>
    </r>
    <r>
      <rPr>
        <sz val="11"/>
        <color rgb="FF000000"/>
        <rFont val="Calibri"/>
      </rPr>
      <t>Enabled    https://HPE_Alletra_Storage_MP-4UW0002474:9997/vasa             147                               5.2.0.18</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-Service- -State- --SLP-- SLPPort -HTTPS- HTTPSPort PGVer  CIMVer</t>
    </r>
    <r>
      <rPr>
        <sz val="11"/>
        <color rgb="FF000000"/>
        <rFont val="Calibri"/>
      </rPr>
      <t xml:space="preserve">
</t>
    </r>
    <r>
      <rPr>
        <sz val="11"/>
        <color rgb="FF000000"/>
        <rFont val="Calibri"/>
      </rPr>
      <t>Enabled   Active  Enabled     427 Enabled      5989 2.14.1 10.5.0</t>
    </r>
    <r>
      <rPr>
        <sz val="11"/>
        <color rgb="FF000000"/>
        <rFont val="Calibri"/>
      </rPr>
      <t xml:space="preserve">
</t>
    </r>
    <r>
      <rPr>
        <sz val="11"/>
        <color rgb="FF000000"/>
        <rFont val="Calibri"/>
      </rPr>
      <t>cli% showwsapi -d</t>
    </r>
    <r>
      <rPr>
        <sz val="11"/>
        <color rgb="FF000000"/>
        <rFont val="Calibri"/>
      </rPr>
      <t xml:space="preserve">
</t>
    </r>
    <r>
      <rPr>
        <sz val="11"/>
        <color rgb="FF000000"/>
        <rFont val="Calibri"/>
      </rPr>
      <t>service State Enabled</t>
    </r>
    <r>
      <rPr>
        <sz val="11"/>
        <color rgb="FF000000"/>
        <rFont val="Calibri"/>
      </rPr>
      <t xml:space="preserve">
</t>
    </r>
    <r>
      <rPr>
        <sz val="11"/>
        <color rgb="FF000000"/>
        <rFont val="Calibri"/>
      </rPr>
      <t>If any unnecessary and/or nonsecure ports, protocols, and/or services are enabled, this is a finding.</t>
    </r>
  </si>
  <si>
    <t>V-283378</t>
  </si>
  <si>
    <r>
      <rPr>
        <sz val="11"/>
        <rFont val="Calibri"/>
      </rPr>
      <t>The HPE Alletra Storage ArcusOS device must be configured with only one local interactive account to be used as the account of last resort in the event the authentication server is unavailable.</t>
    </r>
  </si>
  <si>
    <r>
      <rPr>
        <sz val="11"/>
        <color rgb="FF000000"/>
        <rFont val="Calibri"/>
      </rPr>
      <t>Remove all interactive accounts except one account with the "super" role for last resort login with, the following command:</t>
    </r>
    <r>
      <rPr>
        <sz val="11"/>
        <color rgb="FF000000"/>
        <rFont val="Calibri"/>
      </rPr>
      <t xml:space="preserve">
</t>
    </r>
    <r>
      <rPr>
        <sz val="11"/>
        <color rgb="FF000000"/>
        <rFont val="Calibri"/>
      </rPr>
      <t>cli% removeuser &lt;username&gt;</t>
    </r>
    <r>
      <rPr>
        <sz val="11"/>
        <color rgb="FF000000"/>
        <rFont val="Calibri"/>
      </rPr>
      <t xml:space="preserve">
</t>
    </r>
    <r>
      <rPr>
        <sz val="11"/>
        <color rgb="FF000000"/>
        <rFont val="Calibri"/>
      </rPr>
      <t>Note: You must keep at least one account with the "super" role and it can be any organizationally defined account name.</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</si>
  <si>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</si>
  <si>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Verify only one local interactive account is configured:</t>
    </r>
    <r>
      <rPr>
        <sz val="11"/>
        <color rgb="FF000000"/>
        <rFont val="Calibri"/>
      </rPr>
      <t xml:space="preserve">
</t>
    </r>
    <r>
      <rPr>
        <sz val="11"/>
        <color rgb="FF000000"/>
        <rFont val="Calibri"/>
      </rPr>
      <t>cli% showuser</t>
    </r>
    <r>
      <rPr>
        <sz val="11"/>
        <color rgb="FF000000"/>
        <rFont val="Calibri"/>
      </rPr>
      <t xml:space="preserve">
</t>
    </r>
    <r>
      <rPr>
        <sz val="11"/>
        <color rgb="FF000000"/>
        <rFont val="Calibri"/>
      </rPr>
      <t>The output will look similar to the example below:</t>
    </r>
    <r>
      <rPr>
        <sz val="11"/>
        <color rgb="FF000000"/>
        <rFont val="Calibri"/>
      </rPr>
      <t xml:space="preserve">
</t>
    </r>
    <r>
      <rPr>
        <sz val="11"/>
        <color rgb="FF000000"/>
        <rFont val="Calibri"/>
      </rPr>
      <t>Username                 Domain     Role       Default</t>
    </r>
    <r>
      <rPr>
        <sz val="11"/>
        <color rgb="FF000000"/>
        <rFont val="Calibri"/>
      </rPr>
      <t xml:space="preserve">
</t>
    </r>
    <r>
      <rPr>
        <sz val="11"/>
        <color rgb="FF000000"/>
        <rFont val="Calibri"/>
      </rPr>
      <t>adminsvc                        all           super         N</t>
    </r>
    <r>
      <rPr>
        <sz val="11"/>
        <color rgb="FF000000"/>
        <rFont val="Calibri"/>
      </rPr>
      <t xml:space="preserve">
</t>
    </r>
    <r>
      <rPr>
        <sz val="11"/>
        <color rgb="FF000000"/>
        <rFont val="Calibri"/>
      </rPr>
      <t>hpesupport                   all           service       N</t>
    </r>
    <r>
      <rPr>
        <sz val="11"/>
        <color rgb="FF000000"/>
        <rFont val="Calibri"/>
      </rPr>
      <t xml:space="preserve">
</t>
    </r>
    <r>
      <rPr>
        <sz val="11"/>
        <color rgb="FF000000"/>
        <rFont val="Calibri"/>
      </rPr>
      <t>telemetry                       all           service       N</t>
    </r>
    <r>
      <rPr>
        <sz val="11"/>
        <color rgb="FF000000"/>
        <rFont val="Calibri"/>
      </rPr>
      <t xml:space="preserve">
</t>
    </r>
    <r>
      <rPr>
        <sz val="11"/>
        <color rgb="FF000000"/>
        <rFont val="Calibri"/>
      </rPr>
      <t>Note: The service role accounts are not interactive and cannot be used for logins.</t>
    </r>
    <r>
      <rPr>
        <sz val="11"/>
        <color rgb="FF000000"/>
        <rFont val="Calibri"/>
      </rPr>
      <t xml:space="preserve">
</t>
    </r>
    <r>
      <rPr>
        <sz val="11"/>
        <color rgb="FF000000"/>
        <rFont val="Calibri"/>
      </rPr>
      <t>If more than one local interactive account to be used as the account of last resort exists, this is a finding.</t>
    </r>
  </si>
  <si>
    <t>V-283381</t>
  </si>
  <si>
    <r>
      <rPr>
        <sz val="11"/>
        <rFont val="Calibri"/>
      </rPr>
      <t>The HPE Alletra Storage ArcusOS device must enforce a minimum 15-character password length.</t>
    </r>
  </si>
  <si>
    <r>
      <rPr>
        <sz val="11"/>
        <color rgb="FF000000"/>
        <rFont val="Calibri"/>
      </rPr>
      <t>Configure the minimum password length for a value of "15":</t>
    </r>
    <r>
      <rPr>
        <sz val="11"/>
        <color rgb="FF000000"/>
        <rFont val="Calibri"/>
      </rPr>
      <t xml:space="preserve">
</t>
    </r>
    <r>
      <rPr>
        <sz val="11"/>
        <color rgb="FF000000"/>
        <rFont val="Calibri"/>
      </rPr>
      <t>cli%  setsys MinimumPWLength 15</t>
    </r>
    <r>
      <rPr>
        <sz val="11"/>
        <color rgb="FF000000"/>
        <rFont val="Calibri"/>
      </rPr>
      <t xml:space="preserve">
</t>
    </r>
    <r>
      <rPr>
        <sz val="11"/>
        <color rgb="FF000000"/>
        <rFont val="Calibri"/>
      </rPr>
      <t>Note: The user must have the "super" role to perform this action.</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</si>
  <si>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must be tested before the password is compromised. Use of more characters in a password helps to increase exponentially the time and/or resources required to compromise the password.</t>
    </r>
  </si>
  <si>
    <r>
      <rPr>
        <sz val="11"/>
        <color rgb="FF000000"/>
        <rFont val="Calibri"/>
      </rPr>
      <t>Verify the minimum password length is 15 characters with the following command:</t>
    </r>
    <r>
      <rPr>
        <sz val="11"/>
        <color rgb="FF000000"/>
        <rFont val="Calibri"/>
      </rPr>
      <t xml:space="preserve">
</t>
    </r>
    <r>
      <rPr>
        <sz val="11"/>
        <color rgb="FF000000"/>
        <rFont val="Calibri"/>
      </rPr>
      <t>cli% showsys -d</t>
    </r>
    <r>
      <rPr>
        <sz val="11"/>
        <color rgb="FF000000"/>
        <rFont val="Calibri"/>
      </rPr>
      <t xml:space="preserve">
</t>
    </r>
    <r>
      <rPr>
        <sz val="11"/>
        <color rgb="FF000000"/>
        <rFont val="Calibri"/>
      </rPr>
      <t>Minimum PW length 15</t>
    </r>
    <r>
      <rPr>
        <sz val="11"/>
        <color rgb="FF000000"/>
        <rFont val="Calibri"/>
      </rPr>
      <t xml:space="preserve">
</t>
    </r>
    <r>
      <rPr>
        <sz val="11"/>
        <color rgb="FF000000"/>
        <rFont val="Calibri"/>
      </rPr>
      <t>If the line containing the string "Minimum PW length" does not show "15" for the length, this is a finding.</t>
    </r>
  </si>
  <si>
    <t>V-283382</t>
  </si>
  <si>
    <r>
      <rPr>
        <sz val="11"/>
        <rFont val="Calibri"/>
      </rPr>
      <t>The HPE Alletra Storage ArcusOS device must enforce password complexity by requiring at least one uppercase character, one lowercase character, one numeric character, and one special character be used.</t>
    </r>
  </si>
  <si>
    <r>
      <rPr>
        <sz val="11"/>
        <color rgb="FF000000"/>
        <rFont val="Calibri"/>
      </rPr>
      <t>Configure the system to require complex passwords with the following command:</t>
    </r>
    <r>
      <rPr>
        <sz val="11"/>
        <color rgb="FF000000"/>
        <rFont val="Calibri"/>
      </rPr>
      <t xml:space="preserve">
</t>
    </r>
    <r>
      <rPr>
        <sz val="11"/>
        <color rgb="FF000000"/>
        <rFont val="Calibri"/>
      </rPr>
      <t>Cli% setsys MinimumPWCharacterClasses 4</t>
    </r>
  </si>
  <si>
    <r>
      <rPr>
        <sz val="11"/>
        <color rgb="FF000000"/>
        <rFont val="Calibri"/>
      </rPr>
      <t>Use of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r>
      <rPr>
        <sz val="11"/>
        <color rgb="FF000000"/>
        <rFont val="Calibri"/>
      </rPr>
      <t xml:space="preserve">
</t>
    </r>
    <r>
      <rPr>
        <sz val="11"/>
        <color rgb="FF000000"/>
        <rFont val="Calibri"/>
      </rPr>
      <t>Satisfies: SRG-APP-000166-NDM-000254, SRG-APP-000167-NDM-000255, SRG-APP-000168-NDM-000256, SRG-APP-000169-NDM-000257</t>
    </r>
  </si>
  <si>
    <r>
      <rPr>
        <sz val="11"/>
        <color rgb="FF000000"/>
        <rFont val="Calibri"/>
      </rPr>
      <t>Verify the system is configured to require complex passwords for local accounts with the following command:</t>
    </r>
    <r>
      <rPr>
        <sz val="11"/>
        <color rgb="FF000000"/>
        <rFont val="Calibri"/>
      </rPr>
      <t xml:space="preserve">
</t>
    </r>
    <r>
      <rPr>
        <sz val="11"/>
        <color rgb="FF000000"/>
        <rFont val="Calibri"/>
      </rPr>
      <t xml:space="preserve">cli% showsys -d </t>
    </r>
    <r>
      <rPr>
        <sz val="11"/>
        <color rgb="FF000000"/>
        <rFont val="Calibri"/>
      </rPr>
      <t xml:space="preserve">
</t>
    </r>
    <r>
      <rPr>
        <sz val="11"/>
        <color rgb="FF000000"/>
        <rFont val="Calibri"/>
      </rPr>
      <t>------------------------General------------------------</t>
    </r>
    <r>
      <rPr>
        <sz val="11"/>
        <color rgb="FF000000"/>
        <rFont val="Calibri"/>
      </rPr>
      <t xml:space="preserve">
</t>
    </r>
    <r>
      <rPr>
        <sz val="11"/>
        <color rgb="FF000000"/>
        <rFont val="Calibri"/>
      </rPr>
      <t>System Name                :                    s2474</t>
    </r>
    <r>
      <rPr>
        <sz val="11"/>
        <color rgb="FF000000"/>
        <rFont val="Calibri"/>
      </rPr>
      <t xml:space="preserve">
</t>
    </r>
    <r>
      <rPr>
        <sz val="11"/>
        <color rgb="FF000000"/>
        <rFont val="Calibri"/>
      </rPr>
      <t>System Model                :   HPE Alletra Storage MP</t>
    </r>
    <r>
      <rPr>
        <sz val="11"/>
        <color rgb="FF000000"/>
        <rFont val="Calibri"/>
      </rPr>
      <t xml:space="preserve">
</t>
    </r>
    <r>
      <rPr>
        <sz val="11"/>
        <color rgb="FF000000"/>
        <rFont val="Calibri"/>
      </rPr>
      <t>Serial Number               :               4UW0002474</t>
    </r>
    <r>
      <rPr>
        <sz val="11"/>
        <color rgb="FF000000"/>
        <rFont val="Calibri"/>
      </rPr>
      <t xml:space="preserve">
</t>
    </r>
    <r>
      <rPr>
        <sz val="11"/>
        <color rgb="FF000000"/>
        <rFont val="Calibri"/>
      </rPr>
      <t>Product Number           :                   S0B84A</t>
    </r>
    <r>
      <rPr>
        <sz val="11"/>
        <color rgb="FF000000"/>
        <rFont val="Calibri"/>
      </rPr>
      <t xml:space="preserve">
</t>
    </r>
    <r>
      <rPr>
        <sz val="11"/>
        <color rgb="FF000000"/>
        <rFont val="Calibri"/>
      </rPr>
      <t>System ID                         :                  0x7E734</t>
    </r>
    <r>
      <rPr>
        <sz val="11"/>
        <color rgb="FF000000"/>
        <rFont val="Calibri"/>
      </rPr>
      <t xml:space="preserve">
</t>
    </r>
    <r>
      <rPr>
        <sz val="11"/>
        <color rgb="FF000000"/>
        <rFont val="Calibri"/>
      </rPr>
      <t>Number of Nodes         :                        2</t>
    </r>
    <r>
      <rPr>
        <sz val="11"/>
        <color rgb="FF000000"/>
        <rFont val="Calibri"/>
      </rPr>
      <t xml:space="preserve">
</t>
    </r>
    <r>
      <rPr>
        <sz val="11"/>
        <color rgb="FF000000"/>
        <rFont val="Calibri"/>
      </rPr>
      <t>Master Node                   :                        0</t>
    </r>
    <r>
      <rPr>
        <sz val="11"/>
        <color rgb="FF000000"/>
        <rFont val="Calibri"/>
      </rPr>
      <t xml:space="preserve">
</t>
    </r>
    <r>
      <rPr>
        <sz val="11"/>
        <color rgb="FF000000"/>
        <rFont val="Calibri"/>
      </rPr>
      <t>Nodes Online                 :                      0,1</t>
    </r>
    <r>
      <rPr>
        <sz val="11"/>
        <color rgb="FF000000"/>
        <rFont val="Calibri"/>
      </rPr>
      <t xml:space="preserve">
</t>
    </r>
    <r>
      <rPr>
        <sz val="11"/>
        <color rgb="FF000000"/>
        <rFont val="Calibri"/>
      </rPr>
      <t>Nodes in Cluster            :                      0,1</t>
    </r>
    <r>
      <rPr>
        <sz val="11"/>
        <color rgb="FF000000"/>
        <rFont val="Calibri"/>
      </rPr>
      <t xml:space="preserve">
</t>
    </r>
    <r>
      <rPr>
        <sz val="11"/>
        <color rgb="FF000000"/>
        <rFont val="Calibri"/>
      </rPr>
      <t>Chunklet Size (MiB)       :                     1024</t>
    </r>
    <r>
      <rPr>
        <sz val="11"/>
        <color rgb="FF000000"/>
        <rFont val="Calibri"/>
      </rPr>
      <t xml:space="preserve">
</t>
    </r>
    <r>
      <rPr>
        <sz val="11"/>
        <color rgb="FF000000"/>
        <rFont val="Calibri"/>
      </rPr>
      <t>Minimum PW length      :                       15</t>
    </r>
    <r>
      <rPr>
        <sz val="11"/>
        <color rgb="FF000000"/>
        <rFont val="Calibri"/>
      </rPr>
      <t xml:space="preserve">
</t>
    </r>
    <r>
      <rPr>
        <sz val="11"/>
        <color rgb="FF000000"/>
        <rFont val="Calibri"/>
      </rPr>
      <t>Minimum PW character classes :       4</t>
    </r>
    <r>
      <rPr>
        <sz val="11"/>
        <color rgb="FF000000"/>
        <rFont val="Calibri"/>
      </rPr>
      <t xml:space="preserve">
</t>
    </r>
    <r>
      <rPr>
        <sz val="11"/>
        <color rgb="FF000000"/>
        <rFont val="Calibri"/>
      </rPr>
      <t>If "Minimum PW character classes" is not set to a value of " 4", this is a finding.</t>
    </r>
  </si>
  <si>
    <t>V-283387</t>
  </si>
  <si>
    <r>
      <rPr>
        <sz val="11"/>
        <rFont val="Calibri"/>
      </rPr>
      <t>The HPE Alletra Storage ArcusOS device must use FIPS 140-approved algorithms for authentication to a cryptographic module.</t>
    </r>
  </si>
  <si>
    <r>
      <rPr>
        <sz val="11"/>
        <color rgb="FF000000"/>
        <rFont val="Calibri"/>
      </rPr>
      <t>Warning: Enabling FIPS mode requires restarting all system management interfaces, which will terminate all existing connections including this one.</t>
    </r>
    <r>
      <rPr>
        <sz val="11"/>
        <color rgb="FF000000"/>
        <rFont val="Calibri"/>
      </rPr>
      <t xml:space="preserve">
</t>
    </r>
    <r>
      <rPr>
        <sz val="11"/>
        <color rgb="FF000000"/>
        <rFont val="Calibri"/>
      </rPr>
      <t>Set the communications encryption module into FIPS mode:</t>
    </r>
    <r>
      <rPr>
        <sz val="11"/>
        <color rgb="FF000000"/>
        <rFont val="Calibri"/>
      </rPr>
      <t xml:space="preserve">
</t>
    </r>
    <r>
      <rPr>
        <sz val="11"/>
        <color rgb="FF000000"/>
        <rFont val="Calibri"/>
      </rPr>
      <t>cli% controlsecurity fips enable</t>
    </r>
  </si>
  <si>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can accomplish this by making direct function calls to encryption modules or by leveraging operating system encryption capabilities.</t>
    </r>
    <r>
      <rPr>
        <sz val="11"/>
        <color rgb="FF000000"/>
        <rFont val="Calibri"/>
      </rPr>
      <t xml:space="preserve">
</t>
    </r>
    <r>
      <rPr>
        <sz val="11"/>
        <color rgb="FF000000"/>
        <rFont val="Calibri"/>
      </rPr>
      <t>Unapproved mechanisms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using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 However, authentication algorithms must configure security processes to use only FIPS-approved and NIST-recommended authentication algorithms.</t>
    </r>
    <r>
      <rPr>
        <sz val="11"/>
        <color rgb="FF000000"/>
        <rFont val="Calibri"/>
      </rPr>
      <t xml:space="preserve">
</t>
    </r>
    <r>
      <rPr>
        <sz val="11"/>
        <color rgb="FF000000"/>
        <rFont val="Calibri"/>
      </rPr>
      <t>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r>
      <rPr>
        <sz val="11"/>
        <color rgb="FF000000"/>
        <rFont val="Calibri"/>
      </rPr>
      <t xml:space="preserve">
</t>
    </r>
    <r>
      <rPr>
        <sz val="11"/>
        <color rgb="FF000000"/>
        <rFont val="Calibri"/>
      </rPr>
      <t>Satisfies: SRG-APP-000179-NDM-000265, SRG-APP-000172-NDM-000259, SRG-APP-000224-NDM-000270, SRG-APP-000411-NDM-000330, SRG-APP-000412-NDM-000331</t>
    </r>
  </si>
  <si>
    <r>
      <rPr>
        <sz val="11"/>
        <color rgb="FF000000"/>
        <rFont val="Calibri"/>
      </rPr>
      <t>Verify the status of the FIPS communication library with the following command:</t>
    </r>
    <r>
      <rPr>
        <sz val="11"/>
        <color rgb="FF000000"/>
        <rFont val="Calibri"/>
      </rPr>
      <t xml:space="preserve">
</t>
    </r>
    <r>
      <rPr>
        <sz val="11"/>
        <color rgb="FF000000"/>
        <rFont val="Calibri"/>
      </rPr>
      <t>cli% controlsecurity fips status</t>
    </r>
    <r>
      <rPr>
        <sz val="11"/>
        <color rgb="FF000000"/>
        <rFont val="Calibri"/>
      </rPr>
      <t xml:space="preserve">
</t>
    </r>
    <r>
      <rPr>
        <sz val="11"/>
        <color rgb="FF000000"/>
        <rFont val="Calibri"/>
      </rPr>
      <t>FIPS mode: Enabled</t>
    </r>
    <r>
      <rPr>
        <sz val="11"/>
        <color rgb="FF000000"/>
        <rFont val="Calibri"/>
      </rPr>
      <t xml:space="preserve">
</t>
    </r>
    <r>
      <rPr>
        <sz val="11"/>
        <color rgb="FF000000"/>
        <rFont val="Calibri"/>
      </rPr>
      <t>Service                      Status</t>
    </r>
    <r>
      <rPr>
        <sz val="11"/>
        <color rgb="FF000000"/>
        <rFont val="Calibri"/>
      </rPr>
      <t xml:space="preserve">
</t>
    </r>
    <r>
      <rPr>
        <sz val="11"/>
        <color rgb="FF000000"/>
        <rFont val="Calibri"/>
      </rPr>
      <t>AUTHN                        Enabled</t>
    </r>
    <r>
      <rPr>
        <sz val="11"/>
        <color rgb="FF000000"/>
        <rFont val="Calibri"/>
      </rPr>
      <t xml:space="preserve">
</t>
    </r>
    <r>
      <rPr>
        <sz val="11"/>
        <color rgb="FF000000"/>
        <rFont val="Calibri"/>
      </rPr>
      <t>CIM                          Disabled</t>
    </r>
    <r>
      <rPr>
        <sz val="11"/>
        <color rgb="FF000000"/>
        <rFont val="Calibri"/>
      </rPr>
      <t xml:space="preserve">
</t>
    </r>
    <r>
      <rPr>
        <sz val="11"/>
        <color rgb="FF000000"/>
        <rFont val="Calibri"/>
      </rPr>
      <t>CLI          Enabled</t>
    </r>
    <r>
      <rPr>
        <sz val="11"/>
        <color rgb="FF000000"/>
        <rFont val="Calibri"/>
      </rPr>
      <t xml:space="preserve">
</t>
    </r>
    <r>
      <rPr>
        <sz val="11"/>
        <color rgb="FF000000"/>
        <rFont val="Calibri"/>
      </rPr>
      <t>EKM         Enabled</t>
    </r>
    <r>
      <rPr>
        <sz val="11"/>
        <color rgb="FF000000"/>
        <rFont val="Calibri"/>
      </rPr>
      <t xml:space="preserve">
</t>
    </r>
    <r>
      <rPr>
        <sz val="11"/>
        <color rgb="FF000000"/>
        <rFont val="Calibri"/>
      </rPr>
      <t>LDAP         Enabled</t>
    </r>
    <r>
      <rPr>
        <sz val="11"/>
        <color rgb="FF000000"/>
        <rFont val="Calibri"/>
      </rPr>
      <t xml:space="preserve">
</t>
    </r>
    <r>
      <rPr>
        <sz val="11"/>
        <color rgb="FF000000"/>
        <rFont val="Calibri"/>
      </rPr>
      <t>QW          Enabled</t>
    </r>
    <r>
      <rPr>
        <sz val="11"/>
        <color rgb="FF000000"/>
        <rFont val="Calibri"/>
      </rPr>
      <t xml:space="preserve">
</t>
    </r>
    <r>
      <rPr>
        <sz val="11"/>
        <color rgb="FF000000"/>
        <rFont val="Calibri"/>
      </rPr>
      <t>RDA         Enabled</t>
    </r>
    <r>
      <rPr>
        <sz val="11"/>
        <color rgb="FF000000"/>
        <rFont val="Calibri"/>
      </rPr>
      <t xml:space="preserve">
</t>
    </r>
    <r>
      <rPr>
        <sz val="11"/>
        <color rgb="FF000000"/>
        <rFont val="Calibri"/>
      </rPr>
      <t>SC CONNECTOR Disabled</t>
    </r>
    <r>
      <rPr>
        <sz val="11"/>
        <color rgb="FF000000"/>
        <rFont val="Calibri"/>
      </rPr>
      <t xml:space="preserve">
</t>
    </r>
    <r>
      <rPr>
        <sz val="11"/>
        <color rgb="FF000000"/>
        <rFont val="Calibri"/>
      </rPr>
      <t>SNMP         Enabled</t>
    </r>
    <r>
      <rPr>
        <sz val="11"/>
        <color rgb="FF000000"/>
        <rFont val="Calibri"/>
      </rPr>
      <t xml:space="preserve">
</t>
    </r>
    <r>
      <rPr>
        <sz val="11"/>
        <color rgb="FF000000"/>
        <rFont val="Calibri"/>
      </rPr>
      <t>SSH          Enabled</t>
    </r>
    <r>
      <rPr>
        <sz val="11"/>
        <color rgb="FF000000"/>
        <rFont val="Calibri"/>
      </rPr>
      <t xml:space="preserve">
</t>
    </r>
    <r>
      <rPr>
        <sz val="11"/>
        <color rgb="FF000000"/>
        <rFont val="Calibri"/>
      </rPr>
      <t>SYSLOG       Enabled</t>
    </r>
    <r>
      <rPr>
        <sz val="11"/>
        <color rgb="FF000000"/>
        <rFont val="Calibri"/>
      </rPr>
      <t xml:space="preserve">
</t>
    </r>
    <r>
      <rPr>
        <sz val="11"/>
        <color rgb="FF000000"/>
        <rFont val="Calibri"/>
      </rPr>
      <t>VASA         Enabled</t>
    </r>
    <r>
      <rPr>
        <sz val="11"/>
        <color rgb="FF000000"/>
        <rFont val="Calibri"/>
      </rPr>
      <t xml:space="preserve">
</t>
    </r>
    <r>
      <rPr>
        <sz val="11"/>
        <color rgb="FF000000"/>
        <rFont val="Calibri"/>
      </rPr>
      <t>WSAPI        Enabled</t>
    </r>
    <r>
      <rPr>
        <sz val="11"/>
        <color rgb="FF000000"/>
        <rFont val="Calibri"/>
      </rPr>
      <t xml:space="preserve">
</t>
    </r>
    <r>
      <rPr>
        <sz val="11"/>
        <color rgb="FF000000"/>
        <rFont val="Calibri"/>
      </rPr>
      <t>If the line "FIPS Mode:" is not "Enabled", this is a finding.</t>
    </r>
    <r>
      <rPr>
        <sz val="11"/>
        <color rgb="FF000000"/>
        <rFont val="Calibri"/>
      </rPr>
      <t xml:space="preserve">
</t>
    </r>
    <r>
      <rPr>
        <sz val="11"/>
        <color rgb="FF000000"/>
        <rFont val="Calibri"/>
      </rPr>
      <t>If any of the service lines for "CLI", "EKM", "LDAP", "SNMP", "SSH", or "SYSLOG" are "Disabled", this is a finding.</t>
    </r>
    <r>
      <rPr>
        <sz val="11"/>
        <color rgb="FF000000"/>
        <rFont val="Calibri"/>
      </rPr>
      <t xml:space="preserve">
</t>
    </r>
    <r>
      <rPr>
        <sz val="11"/>
        <color rgb="FF000000"/>
        <rFont val="Calibri"/>
      </rPr>
      <t>If CIM, VASA, or WSAPI are "Disabled", and the services are enabled, this is a finding.</t>
    </r>
  </si>
  <si>
    <t>V-283388</t>
  </si>
  <si>
    <r>
      <rPr>
        <sz val="11"/>
        <rFont val="Calibri"/>
      </rPr>
      <t>The HPE Alletra Storage ArcusOS device must terminate all network connections at the end of the session, or the session must be terminated after five minutes of inactivity, except to fulfill documented and validated mission requirements.</t>
    </r>
  </si>
  <si>
    <r>
      <rPr>
        <sz val="11"/>
        <color rgb="FF000000"/>
        <rFont val="Calibri"/>
      </rPr>
      <t>Set the SessionTimeout value to 5 minutes:</t>
    </r>
    <r>
      <rPr>
        <sz val="11"/>
        <color rgb="FF000000"/>
        <rFont val="Calibri"/>
      </rPr>
      <t xml:space="preserve">
</t>
    </r>
    <r>
      <rPr>
        <sz val="11"/>
        <color rgb="FF000000"/>
        <rFont val="Calibri"/>
      </rPr>
      <t>cli% setsys SessionTimeout 5m</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</si>
  <si>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</si>
  <si>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Verify the current SessionTimeout setting with the following command:</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SessionTimeout : 00:05:00</t>
    </r>
    <r>
      <rPr>
        <sz val="11"/>
        <color rgb="FF000000"/>
        <rFont val="Calibri"/>
      </rPr>
      <t xml:space="preserve">
</t>
    </r>
    <r>
      <rPr>
        <sz val="11"/>
        <color rgb="FF000000"/>
        <rFont val="Calibri"/>
      </rPr>
      <t>If the value for "SessionTimeout" is not "00:05:00", this is a finding.</t>
    </r>
  </si>
  <si>
    <t>V-283400</t>
  </si>
  <si>
    <r>
      <rPr>
        <sz val="11"/>
        <rFont val="Calibri"/>
      </rPr>
      <t>The HPE Alletra Storage ArcusOS device must allocate audit record storage capacity in accordance with organization-defined audit record storage requirements.</t>
    </r>
  </si>
  <si>
    <r>
      <rPr>
        <sz val="11"/>
        <color rgb="FF000000"/>
        <rFont val="Calibri"/>
      </rPr>
      <t>Configure the system to limit the size of event logs stored:</t>
    </r>
    <r>
      <rPr>
        <sz val="11"/>
        <color rgb="FF000000"/>
        <rFont val="Calibri"/>
      </rPr>
      <t xml:space="preserve">
</t>
    </r>
    <r>
      <rPr>
        <sz val="11"/>
        <color rgb="FF000000"/>
        <rFont val="Calibri"/>
      </rPr>
      <t>cli% setsys EventLogSize 10M</t>
    </r>
  </si>
  <si>
    <r>
      <rPr>
        <sz val="11"/>
        <color rgb="FF000000"/>
        <rFont val="Calibri"/>
      </rPr>
      <t>Network devices must be able to allocate audit record storage capacity to ensure sufficient storage capacity in which to write the audit logs. The task of allocating audit record storage capacity is usually performed during initial device setup if it is modifiable.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</si>
  <si>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the system is configured to limit the size of event logs stored on the system with the following command:</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----------Parameter-----------      ----Value----</t>
    </r>
    <r>
      <rPr>
        <sz val="11"/>
        <color rgb="FF000000"/>
        <rFont val="Calibri"/>
      </rPr>
      <t xml:space="preserve">
</t>
    </r>
    <r>
      <rPr>
        <sz val="11"/>
        <color rgb="FF000000"/>
        <rFont val="Calibri"/>
      </rPr>
      <t>RawSpaceAlertSSD :              100</t>
    </r>
    <r>
      <rPr>
        <sz val="11"/>
        <color rgb="FF000000"/>
        <rFont val="Calibri"/>
      </rPr>
      <t xml:space="preserve">
</t>
    </r>
    <r>
      <rPr>
        <sz val="11"/>
        <color rgb="FF000000"/>
        <rFont val="Calibri"/>
      </rPr>
      <t>RawSpaceAlertQLC :               0</t>
    </r>
    <r>
      <rPr>
        <sz val="11"/>
        <color rgb="FF000000"/>
        <rFont val="Calibri"/>
      </rPr>
      <t xml:space="preserve">
</t>
    </r>
    <r>
      <rPr>
        <sz val="11"/>
        <color rgb="FF000000"/>
        <rFont val="Calibri"/>
      </rPr>
      <t>RemoteSyslog :                1</t>
    </r>
    <r>
      <rPr>
        <sz val="11"/>
        <color rgb="FF000000"/>
        <rFont val="Calibri"/>
      </rPr>
      <t xml:space="preserve">
</t>
    </r>
    <r>
      <rPr>
        <sz val="11"/>
        <color rgb="FF000000"/>
        <rFont val="Calibri"/>
      </rPr>
      <t>RemoteSyslogHost  :          16.172.70.122</t>
    </r>
    <r>
      <rPr>
        <sz val="11"/>
        <color rgb="FF000000"/>
        <rFont val="Calibri"/>
      </rPr>
      <t xml:space="preserve">
</t>
    </r>
    <r>
      <rPr>
        <sz val="11"/>
        <color rgb="FF000000"/>
        <rFont val="Calibri"/>
      </rPr>
      <t>RemoteSyslogProfile :             None</t>
    </r>
    <r>
      <rPr>
        <sz val="11"/>
        <color rgb="FF000000"/>
        <rFont val="Calibri"/>
      </rPr>
      <t xml:space="preserve">
</t>
    </r>
    <r>
      <rPr>
        <sz val="11"/>
        <color rgb="FF000000"/>
        <rFont val="Calibri"/>
      </rPr>
      <t>RemoteSyslogSecurityHost:    16.172.70.200</t>
    </r>
    <r>
      <rPr>
        <sz val="11"/>
        <color rgb="FF000000"/>
        <rFont val="Calibri"/>
      </rPr>
      <t xml:space="preserve">
</t>
    </r>
    <r>
      <rPr>
        <sz val="11"/>
        <color rgb="FF000000"/>
        <rFont val="Calibri"/>
      </rPr>
      <t>SparingAlgorithm:          Default</t>
    </r>
    <r>
      <rPr>
        <sz val="11"/>
        <color rgb="FF000000"/>
        <rFont val="Calibri"/>
      </rPr>
      <t xml:space="preserve">
</t>
    </r>
    <r>
      <rPr>
        <sz val="11"/>
        <color rgb="FF000000"/>
        <rFont val="Calibri"/>
      </rPr>
      <t>EventLogSize:               10M</t>
    </r>
    <r>
      <rPr>
        <sz val="11"/>
        <color rgb="FF000000"/>
        <rFont val="Calibri"/>
      </rPr>
      <t xml:space="preserve">
</t>
    </r>
    <r>
      <rPr>
        <sz val="11"/>
        <color rgb="FF000000"/>
        <rFont val="Calibri"/>
      </rPr>
      <t>EventLogNum :            30</t>
    </r>
    <r>
      <rPr>
        <sz val="11"/>
        <color rgb="FF000000"/>
        <rFont val="Calibri"/>
      </rPr>
      <t xml:space="preserve">
</t>
    </r>
    <r>
      <rPr>
        <sz val="11"/>
        <color rgb="FF000000"/>
        <rFont val="Calibri"/>
      </rPr>
      <t>If "EventLogSize" is set to a value less than "10M", this is a finding.</t>
    </r>
  </si>
  <si>
    <t>V-283401</t>
  </si>
  <si>
    <r>
      <rPr>
        <sz val="11"/>
        <rFont val="Calibri"/>
      </rPr>
      <t>The HPE Alletra Storage ArcusOS device must allocate a set number of audit records that can be stored on the system in accordance with organization-defined audit record storage requirements.</t>
    </r>
  </si>
  <si>
    <r>
      <rPr>
        <sz val="11"/>
        <color rgb="FF000000"/>
        <rFont val="Calibri"/>
      </rPr>
      <t>Configure the system to limit the number of event logs stored:</t>
    </r>
    <r>
      <rPr>
        <sz val="11"/>
        <color rgb="FF000000"/>
        <rFont val="Calibri"/>
      </rPr>
      <t xml:space="preserve">
</t>
    </r>
    <r>
      <rPr>
        <sz val="11"/>
        <color rgb="FF000000"/>
        <rFont val="Calibri"/>
      </rPr>
      <t>cli% setsys EventLogNum 30</t>
    </r>
  </si>
  <si>
    <r>
      <rPr>
        <sz val="11"/>
        <color rgb="FF000000"/>
        <rFont val="Calibri"/>
      </rPr>
      <t xml:space="preserve">Network devices must be able to allocate audit record storage capacity to ensure sufficient storage capacity in which to write the audit logs.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</si>
  <si>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the system is configured to limit the number of event logs stored on the system with the following command:</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----------Parameter-----------      ----Value----</t>
    </r>
    <r>
      <rPr>
        <sz val="11"/>
        <color rgb="FF000000"/>
        <rFont val="Calibri"/>
      </rPr>
      <t xml:space="preserve">
</t>
    </r>
    <r>
      <rPr>
        <sz val="11"/>
        <color rgb="FF000000"/>
        <rFont val="Calibri"/>
      </rPr>
      <t>RawSpaceAlertSSD :              100</t>
    </r>
    <r>
      <rPr>
        <sz val="11"/>
        <color rgb="FF000000"/>
        <rFont val="Calibri"/>
      </rPr>
      <t xml:space="preserve">
</t>
    </r>
    <r>
      <rPr>
        <sz val="11"/>
        <color rgb="FF000000"/>
        <rFont val="Calibri"/>
      </rPr>
      <t>RawSpaceAlertQLC :               0</t>
    </r>
    <r>
      <rPr>
        <sz val="11"/>
        <color rgb="FF000000"/>
        <rFont val="Calibri"/>
      </rPr>
      <t xml:space="preserve">
</t>
    </r>
    <r>
      <rPr>
        <sz val="11"/>
        <color rgb="FF000000"/>
        <rFont val="Calibri"/>
      </rPr>
      <t>RemoteSyslog :                1</t>
    </r>
    <r>
      <rPr>
        <sz val="11"/>
        <color rgb="FF000000"/>
        <rFont val="Calibri"/>
      </rPr>
      <t xml:space="preserve">
</t>
    </r>
    <r>
      <rPr>
        <sz val="11"/>
        <color rgb="FF000000"/>
        <rFont val="Calibri"/>
      </rPr>
      <t>RemoteSyslogHost  :          16.172.70.122</t>
    </r>
    <r>
      <rPr>
        <sz val="11"/>
        <color rgb="FF000000"/>
        <rFont val="Calibri"/>
      </rPr>
      <t xml:space="preserve">
</t>
    </r>
    <r>
      <rPr>
        <sz val="11"/>
        <color rgb="FF000000"/>
        <rFont val="Calibri"/>
      </rPr>
      <t>RemoteSyslogProfile :             None</t>
    </r>
    <r>
      <rPr>
        <sz val="11"/>
        <color rgb="FF000000"/>
        <rFont val="Calibri"/>
      </rPr>
      <t xml:space="preserve">
</t>
    </r>
    <r>
      <rPr>
        <sz val="11"/>
        <color rgb="FF000000"/>
        <rFont val="Calibri"/>
      </rPr>
      <t>RemoteSyslogSecurityHost:    16.172.70.200</t>
    </r>
    <r>
      <rPr>
        <sz val="11"/>
        <color rgb="FF000000"/>
        <rFont val="Calibri"/>
      </rPr>
      <t xml:space="preserve">
</t>
    </r>
    <r>
      <rPr>
        <sz val="11"/>
        <color rgb="FF000000"/>
        <rFont val="Calibri"/>
      </rPr>
      <t>SparingAlgorithm:          Default</t>
    </r>
    <r>
      <rPr>
        <sz val="11"/>
        <color rgb="FF000000"/>
        <rFont val="Calibri"/>
      </rPr>
      <t xml:space="preserve">
</t>
    </r>
    <r>
      <rPr>
        <sz val="11"/>
        <color rgb="FF000000"/>
        <rFont val="Calibri"/>
      </rPr>
      <t>EventLogSize:               10M</t>
    </r>
    <r>
      <rPr>
        <sz val="11"/>
        <color rgb="FF000000"/>
        <rFont val="Calibri"/>
      </rPr>
      <t xml:space="preserve">
</t>
    </r>
    <r>
      <rPr>
        <sz val="11"/>
        <color rgb="FF000000"/>
        <rFont val="Calibri"/>
      </rPr>
      <t>EventLogNum :            30</t>
    </r>
    <r>
      <rPr>
        <sz val="11"/>
        <color rgb="FF000000"/>
        <rFont val="Calibri"/>
      </rPr>
      <t xml:space="preserve">
</t>
    </r>
    <r>
      <rPr>
        <sz val="11"/>
        <color rgb="FF000000"/>
        <rFont val="Calibri"/>
      </rPr>
      <t>If "EventLogNum" is set to a value less than "30", this is a finding.</t>
    </r>
  </si>
  <si>
    <t>V-283402</t>
  </si>
  <si>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using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</si>
  <si>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Verify an SNMPv3 user account is configured with the following command:</t>
    </r>
    <r>
      <rPr>
        <sz val="11"/>
        <color rgb="FF000000"/>
        <rFont val="Calibri"/>
      </rPr>
      <t xml:space="preserve">
</t>
    </r>
    <r>
      <rPr>
        <sz val="11"/>
        <color rgb="FF000000"/>
        <rFont val="Calibri"/>
      </rPr>
      <t>cli%  showsnmpuser</t>
    </r>
    <r>
      <rPr>
        <sz val="11"/>
        <color rgb="FF000000"/>
        <rFont val="Calibri"/>
      </rPr>
      <t xml:space="preserve">
</t>
    </r>
    <r>
      <rPr>
        <sz val="11"/>
        <color rgb="FF000000"/>
        <rFont val="Calibri"/>
      </rPr>
      <t>Username        AuthProtocol PrivProtocol</t>
    </r>
    <r>
      <rPr>
        <sz val="11"/>
        <color rgb="FF000000"/>
        <rFont val="Calibri"/>
      </rPr>
      <t xml:space="preserve">
</t>
    </r>
    <r>
      <rPr>
        <sz val="11"/>
        <color rgb="FF000000"/>
        <rFont val="Calibri"/>
      </rPr>
      <t>Alletrasnmpuser HMAC-SHA-96  CFB128-AES-128</t>
    </r>
    <r>
      <rPr>
        <sz val="11"/>
        <color rgb="FF000000"/>
        <rFont val="Calibri"/>
      </rPr>
      <t xml:space="preserve">
</t>
    </r>
    <r>
      <rPr>
        <sz val="11"/>
        <color rgb="FF000000"/>
        <rFont val="Calibri"/>
      </rPr>
      <t>If the output is not displayed in the above format, this is a finding.</t>
    </r>
  </si>
  <si>
    <t>V-283403</t>
  </si>
  <si>
    <r>
      <rPr>
        <sz val="11"/>
        <color rgb="FF000000"/>
        <rFont val="Calibri"/>
      </rPr>
      <t>Configure SNMPv3 alert notifications using the following sequence of operations:</t>
    </r>
    <r>
      <rPr>
        <sz val="11"/>
        <color rgb="FF000000"/>
        <rFont val="Calibri"/>
      </rPr>
      <t xml:space="preserve">
</t>
    </r>
    <r>
      <rPr>
        <sz val="11"/>
        <color rgb="FF000000"/>
        <rFont val="Calibri"/>
      </rPr>
      <t>Add the IP address of the SNMPv3 trap recipient, where permissions of the account are used.</t>
    </r>
    <r>
      <rPr>
        <sz val="11"/>
        <color rgb="FF000000"/>
        <rFont val="Calibri"/>
      </rPr>
      <t xml:space="preserve">
</t>
    </r>
    <r>
      <rPr>
        <sz val="11"/>
        <color rgb="FF000000"/>
        <rFont val="Calibri"/>
      </rPr>
      <t>cli%  addsnmpmgr -version 3 -snmpuser Alletrasnmpuser  &lt;ip address&gt;</t>
    </r>
  </si>
  <si>
    <r>
      <rPr>
        <sz val="11"/>
        <color rgb="FF000000"/>
        <rFont val="Calibri"/>
      </rPr>
      <t>Identify the SNMP trap recipient and report SNMP configuration with the following command:</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HostIP                                      Port          SNMPVersion   User                            Notify          AlertClear</t>
    </r>
    <r>
      <rPr>
        <sz val="11"/>
        <color rgb="FF000000"/>
        <rFont val="Calibri"/>
      </rPr>
      <t xml:space="preserve">
</t>
    </r>
    <r>
      <rPr>
        <sz val="11"/>
        <color rgb="FF000000"/>
        <rFont val="Calibri"/>
      </rPr>
      <t>&lt;snmp trap recipient IP&gt;  162                                    3    Alletrasnmpuser   standard   standard</t>
    </r>
    <r>
      <rPr>
        <sz val="11"/>
        <color rgb="FF000000"/>
        <rFont val="Calibri"/>
      </rPr>
      <t xml:space="preserve">
</t>
    </r>
    <r>
      <rPr>
        <sz val="11"/>
        <color rgb="FF000000"/>
        <rFont val="Calibri"/>
      </rPr>
      <t>If the SNMP trap recipient IP address is incorrect, this is a finding.</t>
    </r>
    <r>
      <rPr>
        <sz val="11"/>
        <color rgb="FF000000"/>
        <rFont val="Calibri"/>
      </rPr>
      <t xml:space="preserve">
</t>
    </r>
    <r>
      <rPr>
        <sz val="11"/>
        <color rgb="FF000000"/>
        <rFont val="Calibri"/>
      </rPr>
      <t>If the SNMP port is not "162", this is a finding.</t>
    </r>
    <r>
      <rPr>
        <sz val="11"/>
        <color rgb="FF000000"/>
        <rFont val="Calibri"/>
      </rPr>
      <t xml:space="preserve">
</t>
    </r>
    <r>
      <rPr>
        <sz val="11"/>
        <color rgb="FF000000"/>
        <rFont val="Calibri"/>
      </rPr>
      <t>If the SNMP version is not "3", this is a finding.</t>
    </r>
    <r>
      <rPr>
        <sz val="11"/>
        <color rgb="FF000000"/>
        <rFont val="Calibri"/>
      </rPr>
      <t xml:space="preserve">
</t>
    </r>
    <r>
      <rPr>
        <sz val="11"/>
        <color rgb="FF000000"/>
        <rFont val="Calibri"/>
      </rPr>
      <t>If the SNMP user ID is incorrect, this is a finding.</t>
    </r>
  </si>
  <si>
    <t>V-283404</t>
  </si>
  <si>
    <r>
      <rPr>
        <sz val="11"/>
        <rFont val="Calibri"/>
      </rPr>
      <t>The HPE Alletra Storage ArcusOS device must record time stamps for audit records that can be mapped to Coordinated Universal Time (UTC) or Greenwich Mean Time (GMT).</t>
    </r>
  </si>
  <si>
    <r>
      <rPr>
        <sz val="11"/>
        <color rgb="FF000000"/>
        <rFont val="Calibri"/>
      </rPr>
      <t>Identify the time zone group:</t>
    </r>
    <r>
      <rPr>
        <sz val="11"/>
        <color rgb="FF000000"/>
        <rFont val="Calibri"/>
      </rPr>
      <t xml:space="preserve">
</t>
    </r>
    <r>
      <rPr>
        <sz val="11"/>
        <color rgb="FF000000"/>
        <rFont val="Calibri"/>
      </rPr>
      <t>cli% setdate -tzlist</t>
    </r>
    <r>
      <rPr>
        <sz val="11"/>
        <color rgb="FF000000"/>
        <rFont val="Calibri"/>
      </rPr>
      <t xml:space="preserve">
</t>
    </r>
    <r>
      <rPr>
        <sz val="11"/>
        <color rgb="FF000000"/>
        <rFont val="Calibri"/>
      </rPr>
      <t>Identify the specific time zone in the selected group:</t>
    </r>
    <r>
      <rPr>
        <sz val="11"/>
        <color rgb="FF000000"/>
        <rFont val="Calibri"/>
      </rPr>
      <t xml:space="preserve">
</t>
    </r>
    <r>
      <rPr>
        <sz val="11"/>
        <color rgb="FF000000"/>
        <rFont val="Calibri"/>
      </rPr>
      <t>cli% setdate -tzlist &lt;time zone group&gt;</t>
    </r>
    <r>
      <rPr>
        <sz val="11"/>
        <color rgb="FF000000"/>
        <rFont val="Calibri"/>
      </rPr>
      <t xml:space="preserve">
</t>
    </r>
    <r>
      <rPr>
        <sz val="11"/>
        <color rgb="FF000000"/>
        <rFont val="Calibri"/>
      </rPr>
      <t>Configure the time zone with:</t>
    </r>
    <r>
      <rPr>
        <sz val="11"/>
        <color rgb="FF000000"/>
        <rFont val="Calibri"/>
      </rPr>
      <t xml:space="preserve">
</t>
    </r>
    <r>
      <rPr>
        <sz val="11"/>
        <color rgb="FF000000"/>
        <rFont val="Calibri"/>
      </rPr>
      <t>cli% setdate -tz &lt;time zone group/location&gt;</t>
    </r>
    <r>
      <rPr>
        <sz val="11"/>
        <color rgb="FF000000"/>
        <rFont val="Calibri"/>
      </rPr>
      <t xml:space="preserve">
</t>
    </r>
    <r>
      <rPr>
        <sz val="11"/>
        <color rgb="FF000000"/>
        <rFont val="Calibri"/>
      </rPr>
      <t>Verify the time zone is set with:</t>
    </r>
    <r>
      <rPr>
        <sz val="11"/>
        <color rgb="FF000000"/>
        <rFont val="Calibri"/>
      </rPr>
      <t xml:space="preserve">
</t>
    </r>
    <r>
      <rPr>
        <sz val="11"/>
        <color rgb="FF000000"/>
        <rFont val="Calibri"/>
      </rPr>
      <t>cli% showdate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</si>
  <si>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UTC, a modern continuation of GMT, or local time with an offset from UTC.</t>
    </r>
  </si>
  <si>
    <r>
      <rPr>
        <sz val="11"/>
        <color rgb="FF000000"/>
        <rFont val="Calibri"/>
      </rPr>
      <t>Verify the time zone is configured with the following command:</t>
    </r>
    <r>
      <rPr>
        <sz val="11"/>
        <color rgb="FF000000"/>
        <rFont val="Calibri"/>
      </rPr>
      <t xml:space="preserve">
</t>
    </r>
    <r>
      <rPr>
        <sz val="11"/>
        <color rgb="FF000000"/>
        <rFont val="Calibri"/>
      </rPr>
      <t>cli% showdate</t>
    </r>
    <r>
      <rPr>
        <sz val="11"/>
        <color rgb="FF000000"/>
        <rFont val="Calibri"/>
      </rPr>
      <t xml:space="preserve">
</t>
    </r>
    <r>
      <rPr>
        <sz val="11"/>
        <color rgb="FF000000"/>
        <rFont val="Calibri"/>
      </rPr>
      <t>If the time zone field is not configured, this is a finding.</t>
    </r>
  </si>
  <si>
    <t>V-283409</t>
  </si>
  <si>
    <r>
      <rPr>
        <sz val="11"/>
        <rFont val="Calibri"/>
      </rPr>
      <t>The HPE Alletra Storage ArcusOS device must be configured to authenticate SNMP messages using a FIPS-validated Keyed-Hash Message Authentication Code (HMAC).</t>
    </r>
  </si>
  <si>
    <r>
      <rPr>
        <sz val="11"/>
        <color rgb="FF000000"/>
        <rFont val="Calibri"/>
      </rPr>
      <t>Configure the system to use SNMPv3:</t>
    </r>
    <r>
      <rPr>
        <sz val="11"/>
        <color rgb="FF000000"/>
        <rFont val="Calibri"/>
      </rPr>
      <t xml:space="preserve">
</t>
    </r>
    <r>
      <rPr>
        <sz val="11"/>
        <color rgb="FF000000"/>
        <rFont val="Calibri"/>
      </rPr>
      <t>cli% setsnmpmgr &lt;ip_address&gt; -p &lt;port&gt; -version 3</t>
    </r>
    <r>
      <rPr>
        <sz val="11"/>
        <color rgb="FF000000"/>
        <rFont val="Calibri"/>
      </rPr>
      <t xml:space="preserve">
</t>
    </r>
    <r>
      <rPr>
        <sz val="11"/>
        <color rgb="FF000000"/>
        <rFont val="Calibri"/>
      </rPr>
      <t>Note: The system supports both IPv4 and IPv6 addresses for the SNMP Host.</t>
    </r>
  </si>
  <si>
    <r>
      <rPr>
        <sz val="11"/>
        <color rgb="FF000000"/>
        <rFont val="Calibri"/>
      </rPr>
      <t>Verify the system is configured to use SNMP v3 with the following command:</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HostIP                   Port         SNMPVersion      User                             Notify         AlertClear</t>
    </r>
    <r>
      <rPr>
        <sz val="11"/>
        <color rgb="FF000000"/>
        <rFont val="Calibri"/>
      </rPr>
      <t xml:space="preserve">
</t>
    </r>
    <r>
      <rPr>
        <sz val="11"/>
        <color rgb="FF000000"/>
        <rFont val="Calibri"/>
      </rPr>
      <t>16.172.70.200     162           3                               Alletrasnmpuser    standard   standard</t>
    </r>
    <r>
      <rPr>
        <sz val="11"/>
        <color rgb="FF000000"/>
        <rFont val="Calibri"/>
      </rPr>
      <t xml:space="preserve">
</t>
    </r>
    <r>
      <rPr>
        <sz val="11"/>
        <color rgb="FF000000"/>
        <rFont val="Calibri"/>
      </rPr>
      <t>If the "HostIP" is blank, this is a finding.</t>
    </r>
    <r>
      <rPr>
        <sz val="11"/>
        <color rgb="FF000000"/>
        <rFont val="Calibri"/>
      </rPr>
      <t xml:space="preserve">
</t>
    </r>
    <r>
      <rPr>
        <sz val="11"/>
        <color rgb="FF000000"/>
        <rFont val="Calibri"/>
      </rPr>
      <t>If "SNMPVersion" is not set to "3", this is a finding.</t>
    </r>
  </si>
  <si>
    <t>V-283410</t>
  </si>
  <si>
    <r>
      <rPr>
        <sz val="11"/>
        <rFont val="Calibri"/>
      </rPr>
      <t>The HPE Alletra Storage ArcusOS device must authenticate Network Time Protocol (NTP) sources using authentication that is cryptographically based.</t>
    </r>
  </si>
  <si>
    <r>
      <rPr>
        <sz val="11"/>
        <color rgb="FF000000"/>
        <rFont val="Calibri"/>
      </rPr>
      <t>Import the NTP key and add it to the NTP server with the following commands:</t>
    </r>
    <r>
      <rPr>
        <sz val="11"/>
        <color rgb="FF000000"/>
        <rFont val="Calibri"/>
      </rPr>
      <t xml:space="preserve">
</t>
    </r>
    <r>
      <rPr>
        <sz val="11"/>
        <color rgb="FF000000"/>
        <rFont val="Calibri"/>
      </rPr>
      <t>cli% setnet ntp -add &lt;server ip address&gt;</t>
    </r>
    <r>
      <rPr>
        <sz val="11"/>
        <color rgb="FF000000"/>
        <rFont val="Calibri"/>
      </rPr>
      <t xml:space="preserve">
</t>
    </r>
    <r>
      <rPr>
        <sz val="11"/>
        <color rgb="FF000000"/>
        <rFont val="Calibri"/>
      </rPr>
      <t>cli% importkeys ntp stdin</t>
    </r>
    <r>
      <rPr>
        <sz val="11"/>
        <color rgb="FF000000"/>
        <rFont val="Calibri"/>
      </rPr>
      <t xml:space="preserve">
</t>
    </r>
    <r>
      <rPr>
        <sz val="11"/>
        <color rgb="FF000000"/>
        <rFont val="Calibri"/>
      </rPr>
      <t>Please paste the keys for ntp. Once finished, please press Enter twice.</t>
    </r>
    <r>
      <rPr>
        <sz val="11"/>
        <color rgb="FF000000"/>
        <rFont val="Calibri"/>
      </rPr>
      <t xml:space="preserve">
</t>
    </r>
    <r>
      <rPr>
        <sz val="11"/>
        <color rgb="FF000000"/>
        <rFont val="Calibri"/>
      </rPr>
      <t>1 SHA256 myfirstsecretkey</t>
    </r>
    <r>
      <rPr>
        <sz val="11"/>
        <color rgb="FF000000"/>
        <rFont val="Calibri"/>
      </rPr>
      <t xml:space="preserve">
</t>
    </r>
    <r>
      <rPr>
        <sz val="11"/>
        <color rgb="FF000000"/>
        <rFont val="Calibri"/>
      </rPr>
      <t>cli%</t>
    </r>
    <r>
      <rPr>
        <sz val="11"/>
        <color rgb="FF000000"/>
        <rFont val="Calibri"/>
      </rPr>
      <t xml:space="preserve">
</t>
    </r>
    <r>
      <rPr>
        <sz val="11"/>
        <color rgb="FF000000"/>
        <rFont val="Calibri"/>
      </rPr>
      <t>cli%  setnet ntp -add -key &lt;ID&gt; &lt;NTP_Server_IP&gt;</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</si>
  <si>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r>
      <rPr>
        <sz val="11"/>
        <color rgb="FF000000"/>
        <rFont val="Calibri"/>
      </rPr>
      <t xml:space="preserve">
</t>
    </r>
    <r>
      <rPr>
        <sz val="11"/>
        <color rgb="FF000000"/>
        <rFont val="Calibri"/>
      </rPr>
      <t>Satisfies: SRG-APP-000395-NDM-000347, SRG-APP-000920-NDM-000320, SRG-APP-000925-NDM-000330</t>
    </r>
  </si>
  <si>
    <r>
      <rPr>
        <sz val="11"/>
        <color rgb="FF000000"/>
        <rFont val="Calibri"/>
      </rPr>
      <t>Verify the NTP server is configured to utilize a valid key using the following command:</t>
    </r>
    <r>
      <rPr>
        <sz val="11"/>
        <color rgb="FF000000"/>
        <rFont val="Calibri"/>
      </rPr>
      <t xml:space="preserve">
</t>
    </r>
    <r>
      <rPr>
        <sz val="11"/>
        <color rgb="FF000000"/>
        <rFont val="Calibri"/>
      </rPr>
      <t xml:space="preserve">cli% shownet -d </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Detailed information about configured NTP servers</t>
    </r>
    <r>
      <rPr>
        <sz val="11"/>
        <color rgb="FF000000"/>
        <rFont val="Calibri"/>
      </rPr>
      <t xml:space="preserve">
</t>
    </r>
    <r>
      <rPr>
        <sz val="11"/>
        <color rgb="FF000000"/>
        <rFont val="Calibri"/>
      </rPr>
      <t xml:space="preserve">16.110.135.123 : </t>
    </r>
    <r>
      <rPr>
        <sz val="11"/>
        <color rgb="FF000000"/>
        <rFont val="Calibri"/>
      </rPr>
      <t xml:space="preserve">
</t>
    </r>
    <r>
      <rPr>
        <sz val="11"/>
        <color rgb="FF000000"/>
        <rFont val="Calibri"/>
      </rPr>
      <t>10.157.44.5    : key 1</t>
    </r>
    <r>
      <rPr>
        <sz val="11"/>
        <color rgb="FF000000"/>
        <rFont val="Calibri"/>
      </rPr>
      <t xml:space="preserve">
</t>
    </r>
    <r>
      <rPr>
        <sz val="11"/>
        <color rgb="FF000000"/>
        <rFont val="Calibri"/>
      </rPr>
      <t>If "Detailed information about configured NTP servers" does not display an NTP server with a key, this is a finding.</t>
    </r>
  </si>
  <si>
    <t>V-283414</t>
  </si>
  <si>
    <r>
      <rPr>
        <sz val="11"/>
        <rFont val="Calibri"/>
      </rPr>
      <t>The HPE Alletra Storage ArcusOS device must install security-relevant firmware updates within 30 days unless the time period is directed by an authoritative source (e.g., IAVM, CTOs, DTMs, STIGs).</t>
    </r>
  </si>
  <si>
    <r>
      <rPr>
        <sz val="11"/>
        <color rgb="FF000000"/>
        <rFont val="Calibri"/>
      </rPr>
      <t>Install the latest approved update through the web UI.</t>
    </r>
    <r>
      <rPr>
        <sz val="11"/>
        <color rgb="FF000000"/>
        <rFont val="Calibri"/>
      </rPr>
      <t xml:space="preserve">
</t>
    </r>
    <r>
      <rPr>
        <sz val="11"/>
        <color rgb="FF000000"/>
        <rFont val="Calibri"/>
      </rPr>
      <t>1. Select "system" from left navigation pane.</t>
    </r>
    <r>
      <rPr>
        <sz val="11"/>
        <color rgb="FF000000"/>
        <rFont val="Calibri"/>
      </rPr>
      <t xml:space="preserve">
</t>
    </r>
    <r>
      <rPr>
        <sz val="11"/>
        <color rgb="FF000000"/>
        <rFont val="Calibri"/>
      </rPr>
      <t>2. Select "software" from main navigation pane.</t>
    </r>
    <r>
      <rPr>
        <sz val="11"/>
        <color rgb="FF000000"/>
        <rFont val="Calibri"/>
      </rPr>
      <t xml:space="preserve">
</t>
    </r>
    <r>
      <rPr>
        <sz val="11"/>
        <color rgb="FF000000"/>
        <rFont val="Calibri"/>
      </rPr>
      <t>3. Select "Load an update package" from the Actions pane.</t>
    </r>
    <r>
      <rPr>
        <sz val="11"/>
        <color rgb="FF000000"/>
        <rFont val="Calibri"/>
      </rPr>
      <t xml:space="preserve">
</t>
    </r>
    <r>
      <rPr>
        <sz val="11"/>
        <color rgb="FF000000"/>
        <rFont val="Calibri"/>
      </rPr>
      <t>4. Choose a file location from which to upload.</t>
    </r>
    <r>
      <rPr>
        <sz val="11"/>
        <color rgb="FF000000"/>
        <rFont val="Calibri"/>
      </rPr>
      <t xml:space="preserve">
</t>
    </r>
    <r>
      <rPr>
        <sz val="11"/>
        <color rgb="FF000000"/>
        <rFont val="Calibri"/>
      </rPr>
      <t>5. Return to the software screen and select "Update software" from the Actions pane.</t>
    </r>
    <r>
      <rPr>
        <sz val="11"/>
        <color rgb="FF000000"/>
        <rFont val="Calibri"/>
      </rPr>
      <t xml:space="preserve">
</t>
    </r>
    <r>
      <rPr>
        <sz val="11"/>
        <color rgb="FF000000"/>
        <rFont val="Calibri"/>
      </rPr>
      <t>6. Verify the version selected for update is listed/selected, and then click "Install".</t>
    </r>
  </si>
  <si>
    <r>
      <rPr>
        <sz val="11"/>
        <color rgb="FF000000"/>
        <rFont val="Calibri"/>
      </rPr>
      <t>Security flaws with firmware are discovered daily. Vendors are constantly updating and patching their products to address newly discovered security vulnerabilities. Organizations (including any contractor to the organization) are required to promptly install security-relevant firmware updates. Flaws discovered during security assessments, continuous monitoring, incident response activities, or information system error handling must also be addressed expeditiously.</t>
    </r>
  </si>
  <si>
    <r>
      <rPr>
        <sz val="11"/>
        <color rgb="FF000000"/>
        <rFont val="Calibri"/>
      </rPr>
      <t>Verify software updates are consistently applied to the HPE Alletra Storage ArcusOS device within the time frame defined for each patch.</t>
    </r>
    <r>
      <rPr>
        <sz val="11"/>
        <color rgb="FF000000"/>
        <rFont val="Calibri"/>
      </rPr>
      <t xml:space="preserve">
</t>
    </r>
    <r>
      <rPr>
        <sz val="11"/>
        <color rgb="FF000000"/>
        <rFont val="Calibri"/>
      </rPr>
      <t>Check the software version:</t>
    </r>
    <r>
      <rPr>
        <sz val="11"/>
        <color rgb="FF000000"/>
        <rFont val="Calibri"/>
      </rPr>
      <t xml:space="preserve">
</t>
    </r>
    <r>
      <rPr>
        <sz val="11"/>
        <color rgb="FF000000"/>
        <rFont val="Calibri"/>
      </rPr>
      <t>cli% showversion</t>
    </r>
    <r>
      <rPr>
        <sz val="11"/>
        <color rgb="FF000000"/>
        <rFont val="Calibri"/>
      </rPr>
      <t xml:space="preserve">
</t>
    </r>
    <r>
      <rPr>
        <sz val="11"/>
        <color rgb="FF000000"/>
        <rFont val="Calibri"/>
      </rPr>
      <t xml:space="preserve">        Release version 10.3.0</t>
    </r>
    <r>
      <rPr>
        <sz val="11"/>
        <color rgb="FF000000"/>
        <rFont val="Calibri"/>
      </rPr>
      <t xml:space="preserve">
</t>
    </r>
    <r>
      <rPr>
        <sz val="11"/>
        <color rgb="FF000000"/>
        <rFont val="Calibri"/>
      </rPr>
      <t xml:space="preserve">        Component Name                   Version</t>
    </r>
    <r>
      <rPr>
        <sz val="11"/>
        <color rgb="FF000000"/>
        <rFont val="Calibri"/>
      </rPr>
      <t xml:space="preserve">
</t>
    </r>
    <r>
      <rPr>
        <sz val="11"/>
        <color rgb="FF000000"/>
        <rFont val="Calibri"/>
      </rPr>
      <t xml:space="preserve">        CLI Server                       10.3.0</t>
    </r>
    <r>
      <rPr>
        <sz val="11"/>
        <color rgb="FF000000"/>
        <rFont val="Calibri"/>
      </rPr>
      <t xml:space="preserve">
</t>
    </r>
    <r>
      <rPr>
        <sz val="11"/>
        <color rgb="FF000000"/>
        <rFont val="Calibri"/>
      </rPr>
      <t xml:space="preserve">        CLI Client                       10.3.0</t>
    </r>
    <r>
      <rPr>
        <sz val="11"/>
        <color rgb="FF000000"/>
        <rFont val="Calibri"/>
      </rPr>
      <t xml:space="preserve">
</t>
    </r>
    <r>
      <rPr>
        <sz val="11"/>
        <color rgb="FF000000"/>
        <rFont val="Calibri"/>
      </rPr>
      <t xml:space="preserve">        System Manager                   10.3.0</t>
    </r>
    <r>
      <rPr>
        <sz val="11"/>
        <color rgb="FF000000"/>
        <rFont val="Calibri"/>
      </rPr>
      <t xml:space="preserve">
</t>
    </r>
    <r>
      <rPr>
        <sz val="11"/>
        <color rgb="FF000000"/>
        <rFont val="Calibri"/>
      </rPr>
      <t xml:space="preserve">        Kernel                           10.3.0</t>
    </r>
    <r>
      <rPr>
        <sz val="11"/>
        <color rgb="FF000000"/>
        <rFont val="Calibri"/>
      </rPr>
      <t xml:space="preserve">
</t>
    </r>
    <r>
      <rPr>
        <sz val="11"/>
        <color rgb="FF000000"/>
        <rFont val="Calibri"/>
      </rPr>
      <t xml:space="preserve">        IO Stack                         10.3.0</t>
    </r>
    <r>
      <rPr>
        <sz val="11"/>
        <color rgb="FF000000"/>
        <rFont val="Calibri"/>
      </rPr>
      <t xml:space="preserve">
</t>
    </r>
    <r>
      <rPr>
        <sz val="11"/>
        <color rgb="FF000000"/>
        <rFont val="Calibri"/>
      </rPr>
      <t xml:space="preserve">        Drive Firmware                   10.3.0</t>
    </r>
    <r>
      <rPr>
        <sz val="11"/>
        <color rgb="FF000000"/>
        <rFont val="Calibri"/>
      </rPr>
      <t xml:space="preserve">
</t>
    </r>
    <r>
      <rPr>
        <sz val="11"/>
        <color rgb="FF000000"/>
        <rFont val="Calibri"/>
      </rPr>
      <t xml:space="preserve">        Enclosure Firmware               10.3.0</t>
    </r>
    <r>
      <rPr>
        <sz val="11"/>
        <color rgb="FF000000"/>
        <rFont val="Calibri"/>
      </rPr>
      <t xml:space="preserve">
</t>
    </r>
    <r>
      <rPr>
        <sz val="11"/>
        <color rgb="FF000000"/>
        <rFont val="Calibri"/>
      </rPr>
      <t xml:space="preserve">        Upgrade Tool                     61 (231107)</t>
    </r>
    <r>
      <rPr>
        <sz val="11"/>
        <color rgb="FF000000"/>
        <rFont val="Calibri"/>
      </rPr>
      <t xml:space="preserve">
</t>
    </r>
    <r>
      <rPr>
        <sz val="11"/>
        <color rgb="FF000000"/>
        <rFont val="Calibri"/>
      </rPr>
      <t>If the HPE Alletra Storage ArcusOS device does not have security-relevant updates installed within the time period directed by the authoritative source, this is a finding.</t>
    </r>
  </si>
  <si>
    <t>V-283425</t>
  </si>
  <si>
    <r>
      <rPr>
        <sz val="11"/>
        <rFont val="Calibri"/>
      </rPr>
      <t>The HPE Alletra Storage ArcusOS device must be configured to use at least two authentication servers for the purpose of authenticating users prior to granting administrative access.</t>
    </r>
  </si>
  <si>
    <r>
      <rPr>
        <sz val="11"/>
        <color rgb="FF000000"/>
        <rFont val="Calibri"/>
      </rPr>
      <t>Use the following commands to configure the primary and secondary authentication servers.</t>
    </r>
    <r>
      <rPr>
        <sz val="11"/>
        <color rgb="FF000000"/>
        <rFont val="Calibri"/>
      </rPr>
      <t xml:space="preserve">
</t>
    </r>
    <r>
      <rPr>
        <sz val="11"/>
        <color rgb="FF000000"/>
        <rFont val="Calibri"/>
      </rPr>
      <t>cli% setauthparam -f ldap-type &lt;type&gt;  where type is MSAD, RHDS or OPEN.</t>
    </r>
    <r>
      <rPr>
        <sz val="11"/>
        <color rgb="FF000000"/>
        <rFont val="Calibri"/>
      </rPr>
      <t xml:space="preserve">
</t>
    </r>
    <r>
      <rPr>
        <sz val="11"/>
        <color rgb="FF000000"/>
        <rFont val="Calibri"/>
      </rPr>
      <t>cli% setauthparam ldap-server &lt;primary hostname&gt; &lt;secondary hostname&gt;</t>
    </r>
    <r>
      <rPr>
        <sz val="11"/>
        <color rgb="FF000000"/>
        <rFont val="Calibri"/>
      </rPr>
      <t xml:space="preserve">
</t>
    </r>
    <r>
      <rPr>
        <sz val="11"/>
        <color rgb="FF000000"/>
        <rFont val="Calibri"/>
      </rPr>
      <t>cli% setauthparam -f accounts-dn &lt;base of the ad subtree, such as CN=Users,DC=win2k12forest,DC=thisdomain,DC=com&gt;</t>
    </r>
    <r>
      <rPr>
        <sz val="11"/>
        <color rgb="FF000000"/>
        <rFont val="Calibri"/>
      </rPr>
      <t xml:space="preserve">
</t>
    </r>
    <r>
      <rPr>
        <sz val="11"/>
        <color rgb="FF000000"/>
        <rFont val="Calibri"/>
      </rPr>
      <t>cli% setauthparam -f kerberos-realm &lt;Kerberos-realm configuration&gt;</t>
    </r>
    <r>
      <rPr>
        <sz val="11"/>
        <color rgb="FF000000"/>
        <rFont val="Calibri"/>
      </rPr>
      <t xml:space="preserve">
</t>
    </r>
    <r>
      <rPr>
        <sz val="11"/>
        <color rgb="FF000000"/>
        <rFont val="Calibri"/>
      </rPr>
      <t>cli% setauthparam -f ldap-reqcert 1</t>
    </r>
    <r>
      <rPr>
        <sz val="11"/>
        <color rgb="FF000000"/>
        <rFont val="Calibri"/>
      </rPr>
      <t xml:space="preserve">
</t>
    </r>
    <r>
      <rPr>
        <sz val="11"/>
        <color rgb="FF000000"/>
        <rFont val="Calibri"/>
      </rPr>
      <t>Set up a super role such as the super role:</t>
    </r>
    <r>
      <rPr>
        <sz val="11"/>
        <color rgb="FF000000"/>
        <rFont val="Calibri"/>
      </rPr>
      <t xml:space="preserve">
</t>
    </r>
    <r>
      <rPr>
        <sz val="11"/>
        <color rgb="FF000000"/>
        <rFont val="Calibri"/>
      </rPr>
      <t>cli% setauthparam -f super-map &lt;customer-assigned name of "super" group&gt;</t>
    </r>
    <r>
      <rPr>
        <sz val="11"/>
        <color rgb="FF000000"/>
        <rFont val="Calibri"/>
      </rPr>
      <t xml:space="preserve">
</t>
    </r>
    <r>
      <rPr>
        <sz val="11"/>
        <color rgb="FF000000"/>
        <rFont val="Calibri"/>
      </rPr>
      <t>Enable TLS with:</t>
    </r>
    <r>
      <rPr>
        <sz val="11"/>
        <color rgb="FF000000"/>
        <rFont val="Calibri"/>
      </rPr>
      <t xml:space="preserve">
</t>
    </r>
    <r>
      <rPr>
        <sz val="11"/>
        <color rgb="FF000000"/>
        <rFont val="Calibri"/>
      </rPr>
      <t>cli% setauthparam -f ldap-StartTLS require</t>
    </r>
    <r>
      <rPr>
        <sz val="11"/>
        <color rgb="FF000000"/>
        <rFont val="Calibri"/>
      </rPr>
      <t xml:space="preserve">
</t>
    </r>
    <r>
      <rPr>
        <sz val="11"/>
        <color rgb="FF000000"/>
        <rFont val="Calibri"/>
      </rPr>
      <t>or</t>
    </r>
    <r>
      <rPr>
        <sz val="11"/>
        <color rgb="FF000000"/>
        <rFont val="Calibri"/>
      </rPr>
      <t xml:space="preserve">
</t>
    </r>
    <r>
      <rPr>
        <sz val="11"/>
        <color rgb="FF000000"/>
        <rFont val="Calibri"/>
      </rPr>
      <t>cli% setauthparam -f ldap-ssl 1</t>
    </r>
    <r>
      <rPr>
        <sz val="11"/>
        <color rgb="FF000000"/>
        <rFont val="Calibri"/>
      </rPr>
      <t xml:space="preserve">
</t>
    </r>
    <r>
      <rPr>
        <sz val="11"/>
        <color rgb="FF000000"/>
        <rFont val="Calibri"/>
      </rPr>
      <t>Import a TLS certificate:</t>
    </r>
    <r>
      <rPr>
        <sz val="11"/>
        <color rgb="FF000000"/>
        <rFont val="Calibri"/>
      </rPr>
      <t xml:space="preserve">
</t>
    </r>
    <r>
      <rPr>
        <sz val="11"/>
        <color rgb="FF000000"/>
        <rFont val="Calibri"/>
      </rPr>
      <t>cli% importcert ldap -f stdin</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</si>
  <si>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Satisfies: SRG-APP-000516-NDM-000336, SRG-APP-000156-NDM-000250, SRG-APP-000177-NDM-000263</t>
    </r>
  </si>
  <si>
    <r>
      <rPr>
        <sz val="11"/>
        <color rgb="FF000000"/>
        <rFont val="Calibri"/>
      </rPr>
      <t>Determine if the system is configured to use a primary and secondary authentication server with the following command:</t>
    </r>
    <r>
      <rPr>
        <sz val="11"/>
        <color rgb="FF000000"/>
        <rFont val="Calibri"/>
      </rPr>
      <t xml:space="preserve">
</t>
    </r>
    <r>
      <rPr>
        <sz val="11"/>
        <color rgb="FF000000"/>
        <rFont val="Calibri"/>
      </rPr>
      <t>cli% showauthparam</t>
    </r>
    <r>
      <rPr>
        <sz val="11"/>
        <color rgb="FF000000"/>
        <rFont val="Calibri"/>
      </rPr>
      <t xml:space="preserve">
</t>
    </r>
    <r>
      <rPr>
        <sz val="11"/>
        <color rgb="FF000000"/>
        <rFont val="Calibri"/>
      </rPr>
      <t>ldap-type      MSAD</t>
    </r>
    <r>
      <rPr>
        <sz val="11"/>
        <color rgb="FF000000"/>
        <rFont val="Calibri"/>
      </rPr>
      <t xml:space="preserve">
</t>
    </r>
    <r>
      <rPr>
        <sz val="11"/>
        <color rgb="FF000000"/>
        <rFont val="Calibri"/>
      </rPr>
      <t>accounts-dn          &lt;accounts dn configuration&gt;</t>
    </r>
    <r>
      <rPr>
        <sz val="11"/>
        <color rgb="FF000000"/>
        <rFont val="Calibri"/>
      </rPr>
      <t xml:space="preserve">
</t>
    </r>
    <r>
      <rPr>
        <sz val="11"/>
        <color rgb="FF000000"/>
        <rFont val="Calibri"/>
      </rPr>
      <t>super-map              &lt;super-map configuration&gt;</t>
    </r>
    <r>
      <rPr>
        <sz val="11"/>
        <color rgb="FF000000"/>
        <rFont val="Calibri"/>
      </rPr>
      <t xml:space="preserve">
</t>
    </r>
    <r>
      <rPr>
        <sz val="11"/>
        <color rgb="FF000000"/>
        <rFont val="Calibri"/>
      </rPr>
      <t>edit-map                  &lt;edit-map configuration&gt;</t>
    </r>
    <r>
      <rPr>
        <sz val="11"/>
        <color rgb="FF000000"/>
        <rFont val="Calibri"/>
      </rPr>
      <t xml:space="preserve">
</t>
    </r>
    <r>
      <rPr>
        <sz val="11"/>
        <color rgb="FF000000"/>
        <rFont val="Calibri"/>
      </rPr>
      <t>browse-map           &lt;browse-map configuration&gt;</t>
    </r>
    <r>
      <rPr>
        <sz val="11"/>
        <color rgb="FF000000"/>
        <rFont val="Calibri"/>
      </rPr>
      <t xml:space="preserve">
</t>
    </r>
    <r>
      <rPr>
        <sz val="11"/>
        <color rgb="FF000000"/>
        <rFont val="Calibri"/>
      </rPr>
      <t>service-map           &lt;service-map configuration&gt;</t>
    </r>
    <r>
      <rPr>
        <sz val="11"/>
        <color rgb="FF000000"/>
        <rFont val="Calibri"/>
      </rPr>
      <t xml:space="preserve">
</t>
    </r>
    <r>
      <rPr>
        <sz val="11"/>
        <color rgb="FF000000"/>
        <rFont val="Calibri"/>
      </rPr>
      <t>ldap-StartTLS        require</t>
    </r>
    <r>
      <rPr>
        <sz val="11"/>
        <color rgb="FF000000"/>
        <rFont val="Calibri"/>
      </rPr>
      <t xml:space="preserve">
</t>
    </r>
    <r>
      <rPr>
        <sz val="11"/>
        <color rgb="FF000000"/>
        <rFont val="Calibri"/>
      </rPr>
      <t>kerberos-realm       &lt;Kerberos-realm configuration&gt;</t>
    </r>
    <r>
      <rPr>
        <sz val="11"/>
        <color rgb="FF000000"/>
        <rFont val="Calibri"/>
      </rPr>
      <t xml:space="preserve">
</t>
    </r>
    <r>
      <rPr>
        <sz val="11"/>
        <color rgb="FF000000"/>
        <rFont val="Calibri"/>
      </rPr>
      <t>ldap-2FA-cert-field  subjectAlt:rfc822Name</t>
    </r>
    <r>
      <rPr>
        <sz val="11"/>
        <color rgb="FF000000"/>
        <rFont val="Calibri"/>
      </rPr>
      <t xml:space="preserve">
</t>
    </r>
    <r>
      <rPr>
        <sz val="11"/>
        <color rgb="FF000000"/>
        <rFont val="Calibri"/>
      </rPr>
      <t>ldap-2FA-object-attr mail</t>
    </r>
    <r>
      <rPr>
        <sz val="11"/>
        <color rgb="FF000000"/>
        <rFont val="Calibri"/>
      </rPr>
      <t xml:space="preserve">
</t>
    </r>
    <r>
      <rPr>
        <sz val="11"/>
        <color rgb="FF000000"/>
        <rFont val="Calibri"/>
      </rPr>
      <t>ldap-server          &lt;server hostname&gt;</t>
    </r>
    <r>
      <rPr>
        <sz val="11"/>
        <color rgb="FF000000"/>
        <rFont val="Calibri"/>
      </rPr>
      <t xml:space="preserve">
</t>
    </r>
    <r>
      <rPr>
        <sz val="11"/>
        <color rgb="FF000000"/>
        <rFont val="Calibri"/>
      </rPr>
      <t>ldap-server          &lt;server hostname&gt;</t>
    </r>
    <r>
      <rPr>
        <sz val="11"/>
        <color rgb="FF000000"/>
        <rFont val="Calibri"/>
      </rPr>
      <t xml:space="preserve">
</t>
    </r>
    <r>
      <rPr>
        <sz val="11"/>
        <color rgb="FF000000"/>
        <rFont val="Calibri"/>
      </rPr>
      <t>ldap-ssl-cacert:</t>
    </r>
    <r>
      <rPr>
        <sz val="11"/>
        <color rgb="FF000000"/>
        <rFont val="Calibri"/>
      </rPr>
      <t xml:space="preserve">
</t>
    </r>
    <r>
      <rPr>
        <sz val="11"/>
        <color rgb="FF000000"/>
        <rFont val="Calibri"/>
      </rPr>
      <t>-----BEGIN CERTIFICATE-----</t>
    </r>
    <r>
      <rPr>
        <sz val="11"/>
        <color rgb="FF000000"/>
        <rFont val="Calibri"/>
      </rPr>
      <t xml:space="preserve">
</t>
    </r>
    <r>
      <rPr>
        <sz val="11"/>
        <color rgb="FF000000"/>
        <rFont val="Calibri"/>
      </rPr>
      <t xml:space="preserve">If the command output does not list authparams for ldap-type, kerberos-realm, accounts-dn, ldap-ssl-cacert, and at least one role map (e.g., super-map), this is a finding. </t>
    </r>
    <r>
      <rPr>
        <sz val="11"/>
        <color rgb="FF000000"/>
        <rFont val="Calibri"/>
      </rPr>
      <t xml:space="preserve">
</t>
    </r>
    <r>
      <rPr>
        <sz val="11"/>
        <color rgb="FF000000"/>
        <rFont val="Calibri"/>
      </rPr>
      <t>If there are not two ldap-server lines, this is a finding.</t>
    </r>
    <r>
      <rPr>
        <sz val="11"/>
        <color rgb="FF000000"/>
        <rFont val="Calibri"/>
      </rPr>
      <t xml:space="preserve">
</t>
    </r>
    <r>
      <rPr>
        <sz val="11"/>
        <color rgb="FF000000"/>
        <rFont val="Calibri"/>
      </rPr>
      <t>ldap-StartTLS must be set to require, if not, this is a finding.</t>
    </r>
    <r>
      <rPr>
        <sz val="11"/>
        <color rgb="FF000000"/>
        <rFont val="Calibri"/>
      </rPr>
      <t xml:space="preserve">
</t>
    </r>
    <r>
      <rPr>
        <sz val="11"/>
        <color rgb="FF000000"/>
        <rFont val="Calibri"/>
      </rPr>
      <t>If the ldap-reqcert authparam is not set to "1", this is a finding.</t>
    </r>
  </si>
  <si>
    <t>V-283429</t>
  </si>
  <si>
    <r>
      <rPr>
        <sz val="11"/>
        <rFont val="Calibri"/>
      </rPr>
      <t>The HPE Alletra Storage ArcusOS device must be configured to send log data to at least one central log server for the purpose of forwarding alerts to the administrators and the information system security officer (ISSO). For boundary devices, two log servers are required.</t>
    </r>
  </si>
  <si>
    <r>
      <rPr>
        <sz val="11"/>
        <color rgb="FF000000"/>
        <rFont val="Calibri"/>
      </rPr>
      <t>Configure the remote syslog host:</t>
    </r>
    <r>
      <rPr>
        <sz val="11"/>
        <color rgb="FF000000"/>
        <rFont val="Calibri"/>
      </rPr>
      <t xml:space="preserve">
</t>
    </r>
    <r>
      <rPr>
        <sz val="11"/>
        <color rgb="FF000000"/>
        <rFont val="Calibri"/>
      </rPr>
      <t>cli% setsys RemoteSyslogSecurityHost &lt;hostname&gt; &lt;address-spec&gt; [:port]</t>
    </r>
    <r>
      <rPr>
        <sz val="11"/>
        <color rgb="FF000000"/>
        <rFont val="Calibri"/>
      </rPr>
      <t xml:space="preserve">
</t>
    </r>
    <r>
      <rPr>
        <sz val="11"/>
        <color rgb="FF000000"/>
        <rFont val="Calibri"/>
      </rPr>
      <t>Note: The hostname and address are both required. If both IPv4 and IPv6 addresses are supplied, the IPv6 address must be enclosed in []. The default port is 6514 using TLS.</t>
    </r>
    <r>
      <rPr>
        <sz val="11"/>
        <color rgb="FF000000"/>
        <rFont val="Calibri"/>
      </rPr>
      <t xml:space="preserve">
</t>
    </r>
    <r>
      <rPr>
        <sz val="11"/>
        <color rgb="FF000000"/>
        <rFont val="Calibri"/>
      </rPr>
      <t>Configure the system to use remote syslog:</t>
    </r>
    <r>
      <rPr>
        <sz val="11"/>
        <color rgb="FF000000"/>
        <rFont val="Calibri"/>
      </rPr>
      <t xml:space="preserve">
</t>
    </r>
    <r>
      <rPr>
        <sz val="11"/>
        <color rgb="FF000000"/>
        <rFont val="Calibri"/>
      </rPr>
      <t>cli% setsys RemoteSyslog 1</t>
    </r>
  </si>
  <si>
    <r>
      <rPr>
        <sz val="11"/>
        <color rgb="FF000000"/>
        <rFont val="Calibri"/>
      </rPr>
      <t>The aggregation of log data kept on a syslog server can be used to detect attacks and trigger an alert to the appropriate security personnel. The stored log data can be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r>
      <rPr>
        <sz val="11"/>
        <color rgb="FF000000"/>
        <rFont val="Calibri"/>
      </rPr>
      <t xml:space="preserve">
</t>
    </r>
    <r>
      <rPr>
        <sz val="11"/>
        <color rgb="FF000000"/>
        <rFont val="Calibri"/>
      </rPr>
      <t>A network boundary device is a piece of networking hardware that sits at the edge of a network, controlling the flow of data traffic between the internal network and external networks like the internet. It acts as a gatekeeper, enforcing security policies and protecting the internal network from unauthorized access and malicious attacks. Having a second central log server delivers a defense in depth approach for critical boundary devices.</t>
    </r>
    <r>
      <rPr>
        <sz val="11"/>
        <color rgb="FF000000"/>
        <rFont val="Calibri"/>
      </rPr>
      <t xml:space="preserve">
</t>
    </r>
    <r>
      <rPr>
        <sz val="11"/>
        <color rgb="FF000000"/>
        <rFont val="Calibri"/>
      </rPr>
      <t>Satisfies: SRG-APP-000516-NDM-000350, SRG-APP-000515-NDM-000325, SRG-APP-000795-NDM-000130</t>
    </r>
  </si>
  <si>
    <r>
      <rPr>
        <sz val="11"/>
        <color rgb="FF000000"/>
        <rFont val="Calibri"/>
      </rPr>
      <t>Verify the system is configured to off-load security syslog events with the following command:</t>
    </r>
    <r>
      <rPr>
        <sz val="11"/>
        <color rgb="FF000000"/>
        <rFont val="Calibri"/>
      </rPr>
      <t xml:space="preserve">
</t>
    </r>
    <r>
      <rPr>
        <sz val="11"/>
        <color rgb="FF000000"/>
        <rFont val="Calibri"/>
      </rPr>
      <t>cli% showsys -d</t>
    </r>
    <r>
      <rPr>
        <sz val="11"/>
        <color rgb="FF000000"/>
        <rFont val="Calibri"/>
      </rPr>
      <t xml:space="preserve">
</t>
    </r>
    <r>
      <rPr>
        <sz val="11"/>
        <color rgb="FF000000"/>
        <rFont val="Calibri"/>
      </rPr>
      <t>--------------------Remote_Syslog_Status--------------------</t>
    </r>
    <r>
      <rPr>
        <sz val="11"/>
        <color rgb="FF000000"/>
        <rFont val="Calibri"/>
      </rPr>
      <t xml:space="preserve">
</t>
    </r>
    <r>
      <rPr>
        <sz val="11"/>
        <color rgb="FF000000"/>
        <rFont val="Calibri"/>
      </rPr>
      <t>Active              :                                      1</t>
    </r>
    <r>
      <rPr>
        <sz val="11"/>
        <color rgb="FF000000"/>
        <rFont val="Calibri"/>
      </rPr>
      <t xml:space="preserve">
</t>
    </r>
    <r>
      <rPr>
        <sz val="11"/>
        <color rgb="FF000000"/>
        <rFont val="Calibri"/>
      </rPr>
      <t>General Server      :   es1-vlan3489-rsyslog.es1-storage.net</t>
    </r>
    <r>
      <rPr>
        <sz val="11"/>
        <color rgb="FF000000"/>
        <rFont val="Calibri"/>
      </rPr>
      <t xml:space="preserve">
</t>
    </r>
    <r>
      <rPr>
        <sz val="11"/>
        <color rgb="FF000000"/>
        <rFont val="Calibri"/>
      </rPr>
      <t>General Connection  :                                    TLS</t>
    </r>
    <r>
      <rPr>
        <sz val="11"/>
        <color rgb="FF000000"/>
        <rFont val="Calibri"/>
      </rPr>
      <t xml:space="preserve">
</t>
    </r>
    <r>
      <rPr>
        <sz val="11"/>
        <color rgb="FF000000"/>
        <rFont val="Calibri"/>
      </rPr>
      <t>RemoteSyslogProfile :                                   None</t>
    </r>
    <r>
      <rPr>
        <sz val="11"/>
        <color rgb="FF000000"/>
        <rFont val="Calibri"/>
      </rPr>
      <t xml:space="preserve">
</t>
    </r>
    <r>
      <rPr>
        <sz val="11"/>
        <color rgb="FF000000"/>
        <rFont val="Calibri"/>
      </rPr>
      <t>Security Server     :   es1-vlan3489-rsyslog.es1-storage.net</t>
    </r>
    <r>
      <rPr>
        <sz val="11"/>
        <color rgb="FF000000"/>
        <rFont val="Calibri"/>
      </rPr>
      <t xml:space="preserve">
</t>
    </r>
    <r>
      <rPr>
        <sz val="11"/>
        <color rgb="FF000000"/>
        <rFont val="Calibri"/>
      </rPr>
      <t>Security Connection :                                   TLS</t>
    </r>
    <r>
      <rPr>
        <sz val="11"/>
        <color rgb="FF000000"/>
        <rFont val="Calibri"/>
      </rPr>
      <t xml:space="preserve">
</t>
    </r>
    <r>
      <rPr>
        <sz val="11"/>
        <color rgb="FF000000"/>
        <rFont val="Calibri"/>
      </rPr>
      <t>For the options in the "Remote Syslog Status" section:</t>
    </r>
    <r>
      <rPr>
        <sz val="11"/>
        <color rgb="FF000000"/>
        <rFont val="Calibri"/>
      </rPr>
      <t xml:space="preserve">
</t>
    </r>
    <r>
      <rPr>
        <sz val="11"/>
        <color rgb="FF000000"/>
        <rFont val="Calibri"/>
      </rPr>
      <t>If "Active" is not "1", this is a finding.</t>
    </r>
    <r>
      <rPr>
        <sz val="11"/>
        <color rgb="FF000000"/>
        <rFont val="Calibri"/>
      </rPr>
      <t xml:space="preserve">
</t>
    </r>
    <r>
      <rPr>
        <sz val="11"/>
        <color rgb="FF000000"/>
        <rFont val="Calibri"/>
      </rPr>
      <t>If "Security Server" is not defined, this is a finding.</t>
    </r>
    <r>
      <rPr>
        <sz val="11"/>
        <color rgb="FF000000"/>
        <rFont val="Calibri"/>
      </rPr>
      <t xml:space="preserve">
</t>
    </r>
    <r>
      <rPr>
        <sz val="11"/>
        <color rgb="FF000000"/>
        <rFont val="Calibri"/>
      </rPr>
      <t>If "Security Connection" is not "TLS", this is a finding.</t>
    </r>
  </si>
  <si>
    <t>V-283430</t>
  </si>
  <si>
    <r>
      <rPr>
        <sz val="11"/>
        <rFont val="Calibri"/>
      </rPr>
      <t>The HPE Alletra Storage ArcusOS device must be running an operating system release that is currently supported by the vendor.</t>
    </r>
  </si>
  <si>
    <r>
      <rPr>
        <sz val="11"/>
        <color rgb="FF000000"/>
        <rFont val="Calibri"/>
      </rPr>
      <t>Contact an authorized service partner to obtain and install the most recent version of the operating system.</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</si>
  <si>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</si>
  <si>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Verify the operating system is at the current version with the following command:</t>
    </r>
    <r>
      <rPr>
        <sz val="11"/>
        <color rgb="FF000000"/>
        <rFont val="Calibri"/>
      </rPr>
      <t xml:space="preserve">
</t>
    </r>
    <r>
      <rPr>
        <sz val="11"/>
        <color rgb="FF000000"/>
        <rFont val="Calibri"/>
      </rPr>
      <t>cli% showversion</t>
    </r>
    <r>
      <rPr>
        <sz val="11"/>
        <color rgb="FF000000"/>
        <rFont val="Calibri"/>
      </rPr>
      <t xml:space="preserve">
</t>
    </r>
    <r>
      <rPr>
        <sz val="11"/>
        <color rgb="FF000000"/>
        <rFont val="Calibri"/>
      </rPr>
      <t>Release version 10.4.2</t>
    </r>
    <r>
      <rPr>
        <sz val="11"/>
        <color rgb="FF000000"/>
        <rFont val="Calibri"/>
      </rPr>
      <t xml:space="preserve">
</t>
    </r>
    <r>
      <rPr>
        <sz val="11"/>
        <color rgb="FF000000"/>
        <rFont val="Calibri"/>
      </rPr>
      <t>Release Type: Standard Support Release</t>
    </r>
    <r>
      <rPr>
        <sz val="11"/>
        <color rgb="FF000000"/>
        <rFont val="Calibri"/>
      </rPr>
      <t xml:space="preserve">
</t>
    </r>
    <r>
      <rPr>
        <sz val="11"/>
        <color rgb="FF000000"/>
        <rFont val="Calibri"/>
      </rPr>
      <t>Component Name                   Version</t>
    </r>
    <r>
      <rPr>
        <sz val="11"/>
        <color rgb="FF000000"/>
        <rFont val="Calibri"/>
      </rPr>
      <t xml:space="preserve">
</t>
    </r>
    <r>
      <rPr>
        <sz val="11"/>
        <color rgb="FF000000"/>
        <rFont val="Calibri"/>
      </rPr>
      <t>CLI Server                                10.4.2</t>
    </r>
    <r>
      <rPr>
        <sz val="11"/>
        <color rgb="FF000000"/>
        <rFont val="Calibri"/>
      </rPr>
      <t xml:space="preserve">
</t>
    </r>
    <r>
      <rPr>
        <sz val="11"/>
        <color rgb="FF000000"/>
        <rFont val="Calibri"/>
      </rPr>
      <t>CLI Client                                      10.4.2</t>
    </r>
    <r>
      <rPr>
        <sz val="11"/>
        <color rgb="FF000000"/>
        <rFont val="Calibri"/>
      </rPr>
      <t xml:space="preserve">
</t>
    </r>
    <r>
      <rPr>
        <sz val="11"/>
        <color rgb="FF000000"/>
        <rFont val="Calibri"/>
      </rPr>
      <t>System Manager                       10.4.2</t>
    </r>
    <r>
      <rPr>
        <sz val="11"/>
        <color rgb="FF000000"/>
        <rFont val="Calibri"/>
      </rPr>
      <t xml:space="preserve">
</t>
    </r>
    <r>
      <rPr>
        <sz val="11"/>
        <color rgb="FF000000"/>
        <rFont val="Calibri"/>
      </rPr>
      <t>Kernel                                           10.4.2</t>
    </r>
    <r>
      <rPr>
        <sz val="11"/>
        <color rgb="FF000000"/>
        <rFont val="Calibri"/>
      </rPr>
      <t xml:space="preserve">
</t>
    </r>
    <r>
      <rPr>
        <sz val="11"/>
        <color rgb="FF000000"/>
        <rFont val="Calibri"/>
      </rPr>
      <t>IO Stack                                       10.4.2</t>
    </r>
    <r>
      <rPr>
        <sz val="11"/>
        <color rgb="FF000000"/>
        <rFont val="Calibri"/>
      </rPr>
      <t xml:space="preserve">
</t>
    </r>
    <r>
      <rPr>
        <sz val="11"/>
        <color rgb="FF000000"/>
        <rFont val="Calibri"/>
      </rPr>
      <t>Drive Firmware                         10.4.2</t>
    </r>
    <r>
      <rPr>
        <sz val="11"/>
        <color rgb="FF000000"/>
        <rFont val="Calibri"/>
      </rPr>
      <t xml:space="preserve">
</t>
    </r>
    <r>
      <rPr>
        <sz val="11"/>
        <color rgb="FF000000"/>
        <rFont val="Calibri"/>
      </rPr>
      <t>Enclosure Firmware               10.4.2</t>
    </r>
    <r>
      <rPr>
        <sz val="11"/>
        <color rgb="FF000000"/>
        <rFont val="Calibri"/>
      </rPr>
      <t xml:space="preserve">
</t>
    </r>
    <r>
      <rPr>
        <sz val="11"/>
        <color rgb="FF000000"/>
        <rFont val="Calibri"/>
      </rPr>
      <t xml:space="preserve">Upgrade Tool                            67 (240730-10.4.2) </t>
    </r>
    <r>
      <rPr>
        <sz val="11"/>
        <color rgb="FF000000"/>
        <rFont val="Calibri"/>
      </rPr>
      <t xml:space="preserve">
</t>
    </r>
    <r>
      <rPr>
        <sz val="11"/>
        <color rgb="FF000000"/>
        <rFont val="Calibri"/>
      </rPr>
      <t>If the displayed version does not match the HPE Alletra Storage ArcusOS device latest version, this is a finding.</t>
    </r>
  </si>
  <si>
    <t>V-283437</t>
  </si>
  <si>
    <r>
      <rPr>
        <sz val="11"/>
        <rFont val="Calibri"/>
      </rPr>
      <t>The HPE Alletra Storage ArcusOS device must be configured to protect nonlocal maintenance sessions by separating the maintenance session from other network sessions with the system by logically separated communications paths.</t>
    </r>
  </si>
  <si>
    <r>
      <rPr>
        <sz val="11"/>
        <color rgb="FF000000"/>
        <rFont val="Calibri"/>
      </rPr>
      <t>Disable all unencrypted ports:</t>
    </r>
    <r>
      <rPr>
        <sz val="11"/>
        <color rgb="FF000000"/>
        <rFont val="Calibri"/>
      </rPr>
      <t xml:space="preserve">
</t>
    </r>
    <r>
      <rPr>
        <sz val="11"/>
        <color rgb="FF000000"/>
        <rFont val="Calibri"/>
      </rPr>
      <t>cli%  setnet disableports yes</t>
    </r>
  </si>
  <si>
    <r>
      <rPr>
        <sz val="11"/>
        <color rgb="FF000000"/>
        <rFont val="Calibri"/>
      </rPr>
      <t>Using the nmap tool, verify only secure ports are open. </t>
    </r>
    <r>
      <rPr>
        <sz val="11"/>
        <color rgb="FF000000"/>
        <rFont val="Calibri"/>
      </rPr>
      <t xml:space="preserve">
</t>
    </r>
    <r>
      <rPr>
        <sz val="11"/>
        <color rgb="FF000000"/>
        <rFont val="Calibri"/>
      </rPr>
      <t>From a command shell on a Linux workstation in the operational environment, enter the following command:</t>
    </r>
    <r>
      <rPr>
        <sz val="11"/>
        <color rgb="FF000000"/>
        <rFont val="Calibri"/>
      </rPr>
      <t xml:space="preserve">
</t>
    </r>
    <r>
      <rPr>
        <sz val="11"/>
        <color rgb="FF000000"/>
        <rFont val="Calibri"/>
      </rPr>
      <t xml:space="preserve">$ sudo nmap -sT -sU -sV --version-all -vv -p 1-65535 &lt;ip address of storage system&gt; </t>
    </r>
    <r>
      <rPr>
        <sz val="11"/>
        <color rgb="FF000000"/>
        <rFont val="Calibri"/>
      </rPr>
      <t xml:space="preserve">
</t>
    </r>
    <r>
      <rPr>
        <sz val="11"/>
        <color rgb="FF000000"/>
        <rFont val="Calibri"/>
      </rPr>
      <t>If any Port is listed other than SSHD(22), NTP(123), SNMP(161,162), 3par-mgmt-ssl (5783), CIM (5989/configurable), or WSAPI (8088/configurable),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</si>
  <si>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</si>
  <si>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</si>
  <si>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</si>
  <si>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</si>
  <si>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</si>
  <si>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</si>
  <si>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</si>
  <si>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</si>
  <si>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</si>
  <si>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</si>
  <si>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</si>
  <si>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</si>
  <si>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</si>
  <si>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</si>
  <si>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</si>
  <si>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</si>
  <si>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</si>
  <si>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</si>
  <si>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</si>
  <si>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</si>
  <si>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</si>
  <si>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</si>
  <si>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</si>
  <si>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</si>
  <si>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</si>
  <si>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</si>
  <si>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</si>
  <si>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</si>
  <si>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</si>
  <si>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HPE Alletra Storage ArcusOS Security Technical Implementation Guide Y26M02</t>
  </si>
  <si>
    <t>Developed By:</t>
  </si>
  <si>
    <t>HPE and Defense Information Systems Agency (DISA) for the US DoD</t>
  </si>
  <si>
    <t>Release Information:</t>
  </si>
  <si>
    <r>
      <rPr>
        <b/>
        <sz val="11"/>
        <color rgb="FF000000"/>
        <rFont val="Calibri"/>
      </rPr>
      <t>Version:</t>
    </r>
    <r>
      <rPr>
        <sz val="11"/>
        <color rgb="FF000000"/>
        <rFont val="Calibri"/>
      </rPr>
      <t xml:space="preserve"> Y26M02    </t>
    </r>
    <r>
      <rPr>
        <b/>
        <sz val="11"/>
        <color rgb="FF000000"/>
        <rFont val="Calibri"/>
      </rPr>
      <t>Date:</t>
    </r>
    <r>
      <rPr>
        <sz val="11"/>
        <color rgb="FF000000"/>
        <rFont val="Calibri"/>
      </rPr>
      <t xml:space="preserve"> 26 February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25</t>
    </r>
  </si>
  <si>
    <t>Download Url:</t>
  </si>
  <si>
    <t>https://www.cyber.mil/stigs</t>
  </si>
  <si>
    <t>Guide Overview:</t>
  </si>
  <si>
    <r>
      <rPr>
        <sz val="11"/>
        <color rgb="FF000000"/>
        <rFont val="Calibri"/>
      </rPr>
      <t>The HPE Alletra Storage ArcusOS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application STIGs. The HPE Alletra Storage ArcusOS STIG comprises the following individual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HPE Alletra Storage ArcusOS NDM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HPE Alletra Storage ArcusOS Web Sever STIG.</t>
    </r>
  </si>
  <si>
    <t>Components:</t>
  </si>
  <si>
    <r>
      <rPr>
        <i/>
        <sz val="11"/>
        <color rgb="FF000000"/>
        <rFont val="Calibri"/>
      </rPr>
      <t>Title:</t>
    </r>
    <r>
      <rPr>
        <sz val="11"/>
        <color rgb="FF000000"/>
        <rFont val="Calibri"/>
      </rPr>
      <t xml:space="preserve"> HPE Alletra Storage ArcusOS Web Server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February 2026     </t>
    </r>
    <r>
      <rPr>
        <i/>
        <sz val="11"/>
        <color rgb="FF000000"/>
        <rFont val="Calibri"/>
      </rPr>
      <t>Recommendation Count:</t>
    </r>
    <r>
      <rPr>
        <sz val="11"/>
        <color rgb="FF000000"/>
        <rFont val="Calibri"/>
      </rPr>
      <t xml:space="preserve"> 6</t>
    </r>
  </si>
  <si>
    <r>
      <rPr>
        <i/>
        <sz val="11"/>
        <color rgb="FF000000"/>
        <rFont val="Calibri"/>
      </rPr>
      <t>Title:</t>
    </r>
    <r>
      <rPr>
        <sz val="11"/>
        <color rgb="FF000000"/>
        <rFont val="Calibri"/>
      </rPr>
      <t xml:space="preserve"> HPE Alletra Storage ArcusOS Network Device Management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February 2026     </t>
    </r>
    <r>
      <rPr>
        <i/>
        <sz val="11"/>
        <color rgb="FF000000"/>
        <rFont val="Calibri"/>
      </rPr>
      <t>Recommendation Count:</t>
    </r>
    <r>
      <rPr>
        <sz val="11"/>
        <color rgb="FF000000"/>
        <rFont val="Calibri"/>
      </rPr>
      <t xml:space="preserve"> 19</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</si>
  <si>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</si>
  <si>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</si>
  <si>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</si>
  <si>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</si>
  <si>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</si>
  <si>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</si>
  <si>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</si>
  <si>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</si>
  <si>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</si>
  <si>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</si>
  <si>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</si>
  <si>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</si>
  <si>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</si>
  <si>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</si>
  <si>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</si>
  <si>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</si>
  <si>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</si>
  <si>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</si>
  <si>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</si>
  <si>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</si>
  <si>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</si>
  <si>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</si>
  <si>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</si>
  <si>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HPE Alletra Storage ArcusOS Security Technical Implementation Guide Y26M02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</si>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</sst>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BFB-41BE-8353-131F2AE1F0C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BFB-41BE-8353-131F2AE1F0C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25</c:v>
                </c:pt>
              </c:numCache>
            </c:numRef>
          </c:val>
          <c:extLst>
            <c:ext xmlns:c16="http://schemas.microsoft.com/office/drawing/2014/chart" uri="{C3380CC4-5D6E-409C-BE32-E72D297353CC}">
              <c16:uniqueId val="{00000002-9BFB-41BE-8353-131F2AE1F0C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Network Device Management</c:v>
                </c:pt>
                <c:pt idx="1">
                  <c:v>Web Server</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33E-47AF-9ABE-D1CD2E81AD6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Network Device Management</c:v>
                </c:pt>
                <c:pt idx="1">
                  <c:v>Web Server</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33E-47AF-9ABE-D1CD2E81AD6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Network Device Management</c:v>
                </c:pt>
                <c:pt idx="1">
                  <c:v>Web Server</c:v>
                </c:pt>
              </c:strCache>
            </c:strRef>
          </c:cat>
          <c:val>
            <c:numRef>
              <c:f>Dashboard!$E$29:$E$30</c:f>
              <c:numCache>
                <c:formatCode>General</c:formatCode>
                <c:ptCount val="2"/>
                <c:pt idx="0">
                  <c:v>19</c:v>
                </c:pt>
                <c:pt idx="1">
                  <c:v>6</c:v>
                </c:pt>
              </c:numCache>
            </c:numRef>
          </c:val>
          <c:extLst>
            <c:ext xmlns:c16="http://schemas.microsoft.com/office/drawing/2014/chart" uri="{C3380CC4-5D6E-409C-BE32-E72D297353CC}">
              <c16:uniqueId val="{00000002-933E-47AF-9ABE-D1CD2E81AD6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8E6-4334-A79B-5D206DAB1B9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8E6-4334-A79B-5D206DAB1B9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25</c:v>
                </c:pt>
              </c:numCache>
            </c:numRef>
          </c:val>
          <c:extLst>
            <c:ext xmlns:c16="http://schemas.microsoft.com/office/drawing/2014/chart" uri="{C3380CC4-5D6E-409C-BE32-E72D297353CC}">
              <c16:uniqueId val="{00000002-58E6-4334-A79B-5D206DAB1B9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01C-4270-A8CC-219CDE99627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01C-4270-A8CC-219CDE99627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Dashboard!$E$67:$E$68</c:f>
              <c:numCache>
                <c:formatCode>General</c:formatCode>
                <c:ptCount val="2"/>
                <c:pt idx="0">
                  <c:v>6</c:v>
                </c:pt>
                <c:pt idx="1">
                  <c:v>19</c:v>
                </c:pt>
              </c:numCache>
            </c:numRef>
          </c:val>
          <c:extLst>
            <c:ext xmlns:c16="http://schemas.microsoft.com/office/drawing/2014/chart" uri="{C3380CC4-5D6E-409C-BE32-E72D297353CC}">
              <c16:uniqueId val="{00000002-C01C-4270-A8CC-219CDE99627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BC4-4F47-8AA8-B4DBDF6383E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BC4-4F47-8AA8-B4DBDF6383E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25</c:v>
                </c:pt>
              </c:numCache>
            </c:numRef>
          </c:val>
          <c:extLst>
            <c:ext xmlns:c16="http://schemas.microsoft.com/office/drawing/2014/chart" uri="{C3380CC4-5D6E-409C-BE32-E72D297353CC}">
              <c16:uniqueId val="{00000002-7BC4-4F47-8AA8-B4DBDF6383E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D00-480D-8064-CADEDCDDADC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D00-480D-8064-CADEDCDDADC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25</c:v>
                </c:pt>
              </c:numCache>
            </c:numRef>
          </c:val>
          <c:extLst>
            <c:ext xmlns:c16="http://schemas.microsoft.com/office/drawing/2014/chart" uri="{C3380CC4-5D6E-409C-BE32-E72D297353CC}">
              <c16:uniqueId val="{00000002-6D00-480D-8064-CADEDCDDAD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442-44BC-88DF-20FA46E002C8}"/>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442-44BC-88DF-20FA46E002C8}"/>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442-44BC-88DF-20FA46E002C8}"/>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442-44BC-88DF-20FA46E002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E97-4FE8-9927-6ECF8ECE435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a0bf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ry5xw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vbpkh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ariv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h1qqi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apbu2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zv41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t4lmkv">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6">
  <autoFilter ref="A1:N26"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141</v>
      </c>
    </row>
    <row r="3" spans="2:3" ht="15" customHeight="1" x14ac:dyDescent="0.35"/>
    <row r="4" spans="2:3" ht="58" x14ac:dyDescent="0.35">
      <c r="B4" s="20" t="s">
        <v>142</v>
      </c>
      <c r="C4" s="21" t="s">
        <v>143</v>
      </c>
    </row>
    <row r="5" spans="2:3" x14ac:dyDescent="0.35">
      <c r="C5" s="21" t="s">
        <v>144</v>
      </c>
    </row>
    <row r="6" spans="2:3" x14ac:dyDescent="0.35">
      <c r="C6" s="18" t="s">
        <v>145</v>
      </c>
    </row>
    <row r="7" spans="2:3" ht="10" customHeight="1" x14ac:dyDescent="0.35"/>
    <row r="8" spans="2:3" ht="232" x14ac:dyDescent="0.35">
      <c r="B8" s="22" t="s">
        <v>146</v>
      </c>
      <c r="C8" s="21" t="s">
        <v>147</v>
      </c>
    </row>
    <row r="9" spans="2:3" ht="10" customHeight="1" x14ac:dyDescent="0.35"/>
    <row r="10" spans="2:3" ht="35" customHeight="1" x14ac:dyDescent="0.35">
      <c r="B10" s="22" t="s">
        <v>148</v>
      </c>
      <c r="C10" s="21" t="s">
        <v>149</v>
      </c>
    </row>
    <row r="11" spans="2:3" ht="75" customHeight="1" x14ac:dyDescent="0.35">
      <c r="B11" s="18" t="s">
        <v>21</v>
      </c>
      <c r="C11" s="21" t="s">
        <v>150</v>
      </c>
    </row>
    <row r="12" spans="2:3" ht="47" customHeight="1" x14ac:dyDescent="0.35">
      <c r="B12" s="18" t="s">
        <v>21</v>
      </c>
      <c r="C12" s="21" t="s">
        <v>151</v>
      </c>
    </row>
    <row r="13" spans="2:3" ht="35" customHeight="1" x14ac:dyDescent="0.35">
      <c r="B13" s="18" t="s">
        <v>21</v>
      </c>
      <c r="C13" s="21" t="s">
        <v>152</v>
      </c>
    </row>
    <row r="14" spans="2:3" ht="32" customHeight="1" x14ac:dyDescent="0.35">
      <c r="B14" s="18" t="s">
        <v>21</v>
      </c>
      <c r="C14" s="21" t="s">
        <v>153</v>
      </c>
    </row>
    <row r="15" spans="2:3" ht="30" customHeight="1" x14ac:dyDescent="0.35">
      <c r="B15" s="18" t="s">
        <v>21</v>
      </c>
      <c r="C15" s="21" t="s">
        <v>154</v>
      </c>
    </row>
    <row r="16" spans="2:3" ht="10" customHeight="1" x14ac:dyDescent="0.35"/>
    <row r="17" spans="1:3" ht="145" customHeight="1" x14ac:dyDescent="0.35">
      <c r="B17" s="22" t="s">
        <v>155</v>
      </c>
      <c r="C17" s="21" t="s">
        <v>156</v>
      </c>
    </row>
    <row r="18" spans="1:3" ht="10" customHeight="1" x14ac:dyDescent="0.35"/>
    <row r="19" spans="1:3" ht="3" customHeight="1" x14ac:dyDescent="0.35">
      <c r="B19" s="23"/>
      <c r="C19" s="23"/>
    </row>
    <row r="20" spans="1:3" ht="12" customHeight="1" x14ac:dyDescent="0.35"/>
    <row r="21" spans="1:3" ht="35" customHeight="1" x14ac:dyDescent="0.35">
      <c r="A21" s="25"/>
      <c r="B21" s="26" t="s">
        <v>157</v>
      </c>
      <c r="C21" s="27" t="s">
        <v>158</v>
      </c>
    </row>
    <row r="22" spans="1:3" ht="18" customHeight="1" x14ac:dyDescent="0.35">
      <c r="A22" s="25"/>
      <c r="B22" s="25" t="s">
        <v>21</v>
      </c>
      <c r="C22" s="27" t="s">
        <v>159</v>
      </c>
    </row>
    <row r="23" spans="1:3" ht="18" customHeight="1" x14ac:dyDescent="0.35">
      <c r="A23" s="25"/>
      <c r="B23" s="25" t="s">
        <v>21</v>
      </c>
      <c r="C23" s="27" t="s">
        <v>160</v>
      </c>
    </row>
    <row r="24" spans="1:3" ht="18" customHeight="1" x14ac:dyDescent="0.35">
      <c r="A24" s="25"/>
      <c r="B24" s="25" t="s">
        <v>21</v>
      </c>
      <c r="C24" s="27" t="s">
        <v>161</v>
      </c>
    </row>
    <row r="25" spans="1:3" ht="18" customHeight="1" x14ac:dyDescent="0.35">
      <c r="A25" s="25"/>
      <c r="B25" s="25" t="s">
        <v>21</v>
      </c>
      <c r="C25" s="27" t="s">
        <v>162</v>
      </c>
    </row>
    <row r="26" spans="1:3" ht="18" customHeight="1" x14ac:dyDescent="0.35">
      <c r="A26" s="25"/>
      <c r="B26" s="25" t="s">
        <v>21</v>
      </c>
      <c r="C26" s="27" t="s">
        <v>163</v>
      </c>
    </row>
    <row r="27" spans="1:3" ht="18" customHeight="1" x14ac:dyDescent="0.35">
      <c r="A27" s="25"/>
      <c r="B27" s="25" t="s">
        <v>21</v>
      </c>
      <c r="C27" s="27" t="s">
        <v>164</v>
      </c>
    </row>
    <row r="28" spans="1:3" ht="18" customHeight="1" x14ac:dyDescent="0.35">
      <c r="A28" s="25"/>
      <c r="B28" s="25" t="s">
        <v>21</v>
      </c>
      <c r="C28" s="27" t="s">
        <v>165</v>
      </c>
    </row>
    <row r="29" spans="1:3" ht="18" customHeight="1" x14ac:dyDescent="0.35">
      <c r="A29" s="25"/>
      <c r="B29" s="25" t="s">
        <v>21</v>
      </c>
      <c r="C29" s="27" t="s">
        <v>166</v>
      </c>
    </row>
    <row r="30" spans="1:3" ht="44" customHeight="1" x14ac:dyDescent="0.35">
      <c r="A30" s="25"/>
      <c r="B30" s="25" t="s">
        <v>21</v>
      </c>
      <c r="C30" s="28" t="s">
        <v>167</v>
      </c>
    </row>
    <row r="31" spans="1:3" ht="10" customHeight="1" x14ac:dyDescent="0.35"/>
    <row r="32" spans="1:3" ht="3" customHeight="1" x14ac:dyDescent="0.35">
      <c r="B32" s="23"/>
      <c r="C32" s="23"/>
    </row>
    <row r="33" spans="2:3" ht="12" customHeight="1" x14ac:dyDescent="0.35"/>
    <row r="34" spans="2:3" ht="24" customHeight="1" x14ac:dyDescent="0.35">
      <c r="B34" s="29" t="s">
        <v>168</v>
      </c>
      <c r="C34" s="30" t="s">
        <v>169</v>
      </c>
    </row>
    <row r="35" spans="2:3" ht="18.5" x14ac:dyDescent="0.35">
      <c r="B35" s="29" t="s">
        <v>170</v>
      </c>
      <c r="C35" s="31" t="s">
        <v>171</v>
      </c>
    </row>
    <row r="36" spans="2:3" ht="27" customHeight="1" x14ac:dyDescent="0.35">
      <c r="B36" s="32" t="s">
        <v>172</v>
      </c>
      <c r="C36" s="24" t="s">
        <v>173</v>
      </c>
    </row>
    <row r="37" spans="2:3" x14ac:dyDescent="0.35">
      <c r="B37" s="29" t="s">
        <v>174</v>
      </c>
      <c r="C37" s="33" t="s">
        <v>175</v>
      </c>
    </row>
    <row r="38" spans="2:3" ht="10" customHeight="1" x14ac:dyDescent="0.35"/>
    <row r="39" spans="2:3" ht="101.5" x14ac:dyDescent="0.35">
      <c r="B39" s="29" t="s">
        <v>176</v>
      </c>
      <c r="C39" s="34" t="s">
        <v>177</v>
      </c>
    </row>
    <row r="40" spans="2:3" ht="10" customHeight="1" x14ac:dyDescent="0.35"/>
    <row r="41" spans="2:3" ht="20" customHeight="1" x14ac:dyDescent="0.35">
      <c r="B41" s="29" t="s">
        <v>178</v>
      </c>
      <c r="C41" s="35" t="s">
        <v>17</v>
      </c>
    </row>
    <row r="42" spans="2:3" ht="29" x14ac:dyDescent="0.35">
      <c r="C42" s="21" t="s">
        <v>179</v>
      </c>
    </row>
    <row r="43" spans="2:3" ht="10" customHeight="1" x14ac:dyDescent="0.35"/>
    <row r="44" spans="2:3" ht="20" customHeight="1" x14ac:dyDescent="0.35">
      <c r="C44" s="35" t="s">
        <v>51</v>
      </c>
    </row>
    <row r="45" spans="2:3" ht="43.5" x14ac:dyDescent="0.35">
      <c r="C45" s="21" t="s">
        <v>180</v>
      </c>
    </row>
    <row r="46" spans="2:3" ht="10" customHeight="1" x14ac:dyDescent="0.35"/>
    <row r="47" spans="2:3" ht="43.5" x14ac:dyDescent="0.35">
      <c r="B47" s="29" t="s">
        <v>181</v>
      </c>
      <c r="C47" s="21" t="s">
        <v>182</v>
      </c>
    </row>
    <row r="48" spans="2:3" ht="10" customHeight="1" x14ac:dyDescent="0.35"/>
    <row r="49" spans="2:3" ht="15.5" x14ac:dyDescent="0.35">
      <c r="C49" s="36" t="s">
        <v>57</v>
      </c>
    </row>
    <row r="50" spans="2:3" ht="29" x14ac:dyDescent="0.35">
      <c r="C50" s="21" t="s">
        <v>183</v>
      </c>
    </row>
    <row r="51" spans="2:3" ht="10" customHeight="1" x14ac:dyDescent="0.35"/>
    <row r="52" spans="2:3" ht="15.5" x14ac:dyDescent="0.35">
      <c r="C52" s="37" t="s">
        <v>16</v>
      </c>
    </row>
    <row r="53" spans="2:3" ht="29" x14ac:dyDescent="0.35">
      <c r="C53" s="21" t="s">
        <v>184</v>
      </c>
    </row>
    <row r="54" spans="2:3" ht="10" customHeight="1" x14ac:dyDescent="0.35"/>
    <row r="55" spans="2:3" ht="15.5" x14ac:dyDescent="0.35">
      <c r="C55" s="38" t="s">
        <v>185</v>
      </c>
    </row>
    <row r="56" spans="2:3" ht="29" x14ac:dyDescent="0.35">
      <c r="C56" s="21" t="s">
        <v>186</v>
      </c>
    </row>
    <row r="57" spans="2:3" ht="10" customHeight="1" x14ac:dyDescent="0.35"/>
    <row r="58" spans="2:3" ht="3" customHeight="1" x14ac:dyDescent="0.35">
      <c r="B58" s="23"/>
      <c r="C58" s="23"/>
    </row>
    <row r="59" spans="2:3" ht="12" customHeight="1" x14ac:dyDescent="0.35"/>
    <row r="60" spans="2:3" ht="130.5" x14ac:dyDescent="0.35">
      <c r="B60" s="20" t="s">
        <v>187</v>
      </c>
      <c r="C60" s="21" t="s">
        <v>188</v>
      </c>
    </row>
    <row r="61" spans="2:3" ht="6" customHeight="1" x14ac:dyDescent="0.35"/>
    <row r="62" spans="2:3" ht="217.5" x14ac:dyDescent="0.35">
      <c r="C62" s="21" t="s">
        <v>189</v>
      </c>
    </row>
    <row r="63" spans="2:3" ht="6" customHeight="1" x14ac:dyDescent="0.35"/>
    <row r="64" spans="2:3" ht="43.5" x14ac:dyDescent="0.35">
      <c r="C64" s="21" t="s">
        <v>190</v>
      </c>
    </row>
    <row r="65" spans="2:3" ht="10" customHeight="1" x14ac:dyDescent="0.35"/>
    <row r="66" spans="2:3" ht="3" customHeight="1" x14ac:dyDescent="0.35">
      <c r="B66" s="23"/>
      <c r="C66" s="23"/>
    </row>
    <row r="67" spans="2:3" ht="12" customHeight="1" x14ac:dyDescent="0.35"/>
    <row r="68" spans="2:3" ht="145" x14ac:dyDescent="0.35">
      <c r="B68" s="20" t="s">
        <v>191</v>
      </c>
      <c r="C68" s="21" t="s">
        <v>192</v>
      </c>
    </row>
    <row r="69" spans="2:3" ht="6" customHeight="1" x14ac:dyDescent="0.35"/>
    <row r="70" spans="2:3" ht="203" x14ac:dyDescent="0.35">
      <c r="C70" s="21" t="s">
        <v>193</v>
      </c>
    </row>
    <row r="71" spans="2:3" ht="6" customHeight="1" x14ac:dyDescent="0.35"/>
    <row r="72" spans="2:3" ht="43.5" x14ac:dyDescent="0.35">
      <c r="C72" s="21" t="s">
        <v>194</v>
      </c>
    </row>
    <row r="73" spans="2:3" ht="10" customHeight="1" x14ac:dyDescent="0.35"/>
    <row r="74" spans="2:3" ht="3" customHeight="1" x14ac:dyDescent="0.35">
      <c r="B74" s="23"/>
      <c r="C74" s="23"/>
    </row>
    <row r="75" spans="2:3" ht="12" customHeight="1" x14ac:dyDescent="0.35"/>
    <row r="76" spans="2:3" ht="101.5" x14ac:dyDescent="0.35">
      <c r="B76" s="20" t="s">
        <v>195</v>
      </c>
      <c r="C76" s="21" t="s">
        <v>196</v>
      </c>
    </row>
    <row r="77" spans="2:3" ht="6" customHeight="1" x14ac:dyDescent="0.35"/>
    <row r="78" spans="2:3" ht="145" x14ac:dyDescent="0.35">
      <c r="C78" s="21" t="s">
        <v>197</v>
      </c>
    </row>
    <row r="79" spans="2:3" ht="6" customHeight="1" x14ac:dyDescent="0.35"/>
    <row r="80" spans="2:3" ht="43.5" x14ac:dyDescent="0.35">
      <c r="C80" s="21" t="s">
        <v>198</v>
      </c>
    </row>
    <row r="84" spans="2:3" ht="32" customHeight="1" x14ac:dyDescent="0.35">
      <c r="B84" s="81" t="s">
        <v>140</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199</v>
      </c>
      <c r="C2" s="83"/>
      <c r="D2" s="83"/>
      <c r="E2" s="83"/>
      <c r="F2" s="83"/>
      <c r="G2" s="83"/>
      <c r="H2" s="83"/>
      <c r="I2" s="83"/>
    </row>
    <row r="4" spans="2:15" ht="18.5" x14ac:dyDescent="0.45">
      <c r="B4" s="40" t="s">
        <v>200</v>
      </c>
    </row>
    <row r="5" spans="2:15" x14ac:dyDescent="0.35">
      <c r="B5" s="42" t="s">
        <v>21</v>
      </c>
      <c r="C5" s="42" t="s">
        <v>201</v>
      </c>
      <c r="D5" s="42" t="s">
        <v>202</v>
      </c>
      <c r="F5" s="84" t="s">
        <v>203</v>
      </c>
      <c r="G5" s="84"/>
      <c r="H5" s="84"/>
      <c r="I5" s="85" t="s">
        <v>204</v>
      </c>
      <c r="J5" s="85"/>
      <c r="K5" s="85"/>
      <c r="L5" s="85"/>
      <c r="M5" s="85"/>
      <c r="N5" s="85"/>
      <c r="O5" s="85"/>
    </row>
    <row r="6" spans="2:15" x14ac:dyDescent="0.35">
      <c r="B6" s="48" t="s">
        <v>205</v>
      </c>
      <c r="C6" s="49">
        <v>25</v>
      </c>
      <c r="D6" s="50" t="s">
        <v>21</v>
      </c>
      <c r="F6" s="84" t="s">
        <v>206</v>
      </c>
      <c r="G6" s="84"/>
      <c r="H6" s="84"/>
      <c r="I6" s="86" t="s">
        <v>207</v>
      </c>
      <c r="J6" s="86"/>
      <c r="K6" s="86"/>
      <c r="L6" s="86"/>
      <c r="M6" s="86"/>
      <c r="N6" s="86"/>
      <c r="O6" s="86"/>
    </row>
    <row r="7" spans="2:15" x14ac:dyDescent="0.35">
      <c r="B7" s="51" t="s">
        <v>208</v>
      </c>
      <c r="C7" s="52">
        <f>C6-C8-C9</f>
        <v>25</v>
      </c>
      <c r="D7" s="53">
        <f>IF(C6&gt;0,C7/C6,0)</f>
        <v>1</v>
      </c>
      <c r="F7" s="84" t="s">
        <v>209</v>
      </c>
      <c r="G7" s="84"/>
      <c r="H7" s="84"/>
      <c r="I7" s="86" t="s">
        <v>207</v>
      </c>
      <c r="J7" s="86"/>
      <c r="K7" s="86"/>
      <c r="L7" s="86"/>
      <c r="M7" s="86"/>
      <c r="N7" s="86"/>
      <c r="O7" s="86"/>
    </row>
    <row r="8" spans="2:15" x14ac:dyDescent="0.35">
      <c r="B8" s="44" t="s">
        <v>210</v>
      </c>
      <c r="C8" s="45">
        <f>COUNTIF('Recommendations'!H:H,"Risk Accepted")</f>
        <v>0</v>
      </c>
      <c r="D8" s="46">
        <f>IF(C6&gt;0,C8/C6,0)</f>
        <v>0</v>
      </c>
      <c r="F8" s="84" t="s">
        <v>211</v>
      </c>
      <c r="G8" s="84"/>
      <c r="H8" s="84"/>
      <c r="I8" s="86" t="s">
        <v>207</v>
      </c>
      <c r="J8" s="86"/>
      <c r="K8" s="86"/>
      <c r="L8" s="86"/>
      <c r="M8" s="86"/>
      <c r="N8" s="86"/>
      <c r="O8" s="86"/>
    </row>
    <row r="9" spans="2:15" x14ac:dyDescent="0.35">
      <c r="B9" s="44" t="s">
        <v>212</v>
      </c>
      <c r="C9" s="45">
        <f>COUNTIF('Recommendations'!H:H,"N/A")</f>
        <v>0</v>
      </c>
      <c r="D9" s="46">
        <f>IF(C6&gt;0,C9/C6,0)</f>
        <v>0</v>
      </c>
      <c r="F9" s="84" t="s">
        <v>213</v>
      </c>
      <c r="G9" s="84"/>
      <c r="H9" s="84"/>
      <c r="I9" s="86" t="s">
        <v>207</v>
      </c>
      <c r="J9" s="86"/>
      <c r="K9" s="86"/>
      <c r="L9" s="86"/>
      <c r="M9" s="86"/>
      <c r="N9" s="86"/>
      <c r="O9" s="86"/>
    </row>
    <row r="12" spans="2:15" ht="18.5" x14ac:dyDescent="0.45">
      <c r="B12" s="40" t="s">
        <v>214</v>
      </c>
    </row>
    <row r="14" spans="2:15" x14ac:dyDescent="0.35">
      <c r="B14" s="54" t="s">
        <v>215</v>
      </c>
    </row>
    <row r="15" spans="2:15" x14ac:dyDescent="0.35">
      <c r="B15" s="42" t="s">
        <v>21</v>
      </c>
      <c r="C15" s="42" t="s">
        <v>216</v>
      </c>
      <c r="D15" s="42" t="s">
        <v>217</v>
      </c>
      <c r="E15" s="42" t="s">
        <v>218</v>
      </c>
      <c r="F15" s="42" t="s">
        <v>219</v>
      </c>
    </row>
    <row r="16" spans="2:15" x14ac:dyDescent="0.35">
      <c r="B16" s="44" t="s">
        <v>220</v>
      </c>
      <c r="C16" s="45">
        <f>COUNTIF('Recommendations'!M:M,"Resolved")</f>
        <v>0</v>
      </c>
      <c r="D16" s="45">
        <f>COUNTIF('Recommendations'!M:M,"Testing")</f>
        <v>0</v>
      </c>
      <c r="E16" s="45">
        <f>COUNTIF('Recommendations'!M:M,"Outstanding")</f>
        <v>25</v>
      </c>
      <c r="F16" s="45">
        <f>SUM(C16:E16)</f>
        <v>25</v>
      </c>
    </row>
    <row r="18" spans="2:6" x14ac:dyDescent="0.35">
      <c r="B18" s="54" t="s">
        <v>221</v>
      </c>
    </row>
    <row r="19" spans="2:6" x14ac:dyDescent="0.35">
      <c r="B19" s="55" t="s">
        <v>21</v>
      </c>
      <c r="C19" s="55" t="s">
        <v>216</v>
      </c>
      <c r="D19" s="55" t="s">
        <v>217</v>
      </c>
      <c r="E19" s="55" t="s">
        <v>218</v>
      </c>
      <c r="F19" s="55" t="s">
        <v>21</v>
      </c>
    </row>
    <row r="20" spans="2:6" x14ac:dyDescent="0.35">
      <c r="B20" s="44" t="s">
        <v>220</v>
      </c>
      <c r="C20" s="46">
        <f>IF(F16&gt;0, C16/F16, 0)</f>
        <v>0</v>
      </c>
      <c r="D20" s="46">
        <f>IF(F16&gt;0, D16/F16, 0)</f>
        <v>0</v>
      </c>
      <c r="E20" s="46">
        <f>IF(F16&gt;0, E16/F16, 0)</f>
        <v>1</v>
      </c>
      <c r="F20" s="47" t="s">
        <v>21</v>
      </c>
    </row>
    <row r="25" spans="2:6" ht="18.5" x14ac:dyDescent="0.45">
      <c r="B25" s="40" t="s">
        <v>222</v>
      </c>
    </row>
    <row r="27" spans="2:6" x14ac:dyDescent="0.35">
      <c r="B27" s="54" t="s">
        <v>215</v>
      </c>
    </row>
    <row r="28" spans="2:6" x14ac:dyDescent="0.35">
      <c r="B28" s="42" t="s">
        <v>3</v>
      </c>
      <c r="C28" s="42" t="s">
        <v>216</v>
      </c>
      <c r="D28" s="42" t="s">
        <v>217</v>
      </c>
      <c r="E28" s="42" t="s">
        <v>218</v>
      </c>
      <c r="F28" s="42" t="s">
        <v>219</v>
      </c>
    </row>
    <row r="29" spans="2:6" x14ac:dyDescent="0.35">
      <c r="B29" s="44" t="s">
        <v>51</v>
      </c>
      <c r="C29" s="45">
        <f>COUNTIFS('Recommendations'!D:D,"Network Device Management",'Recommendations'!M:M,"=Resolved")</f>
        <v>0</v>
      </c>
      <c r="D29" s="45">
        <f>COUNTIFS('Recommendations'!D:D,"=Network Device Management",'Recommendations'!M:M,"=Testing")</f>
        <v>0</v>
      </c>
      <c r="E29" s="45">
        <f>COUNTIFS('Recommendations'!D:D,"=Network Device Management",'Recommendations'!M:M,"=Outstanding")</f>
        <v>19</v>
      </c>
      <c r="F29" s="45">
        <f>SUM(C29:E29)</f>
        <v>19</v>
      </c>
    </row>
    <row r="30" spans="2:6" x14ac:dyDescent="0.35">
      <c r="B30" s="44" t="s">
        <v>17</v>
      </c>
      <c r="C30" s="45">
        <f>COUNTIFS('Recommendations'!D:D,"Web Server",'Recommendations'!M:M,"=Resolved")</f>
        <v>0</v>
      </c>
      <c r="D30" s="45">
        <f>COUNTIFS('Recommendations'!D:D,"=Web Server",'Recommendations'!M:M,"=Testing")</f>
        <v>0</v>
      </c>
      <c r="E30" s="45">
        <f>COUNTIFS('Recommendations'!D:D,"=Web Server",'Recommendations'!M:M,"=Outstanding")</f>
        <v>6</v>
      </c>
      <c r="F30" s="45">
        <f>SUM(C30:E30)</f>
        <v>6</v>
      </c>
    </row>
    <row r="32" spans="2:6" x14ac:dyDescent="0.35">
      <c r="B32" s="54" t="s">
        <v>221</v>
      </c>
    </row>
    <row r="33" spans="2:6" x14ac:dyDescent="0.35">
      <c r="B33" s="55" t="s">
        <v>3</v>
      </c>
      <c r="C33" s="55" t="s">
        <v>216</v>
      </c>
      <c r="D33" s="55" t="s">
        <v>217</v>
      </c>
      <c r="E33" s="55" t="s">
        <v>218</v>
      </c>
      <c r="F33" s="55" t="s">
        <v>21</v>
      </c>
    </row>
    <row r="34" spans="2:6" x14ac:dyDescent="0.35">
      <c r="B34" s="44" t="s">
        <v>51</v>
      </c>
      <c r="C34" s="46">
        <f>IF(F29&gt;0, C29/F29, 0)</f>
        <v>0</v>
      </c>
      <c r="D34" s="46">
        <f>IF(F29&gt;0, D29/F29, 0)</f>
        <v>0</v>
      </c>
      <c r="E34" s="46">
        <f>IF(F29&gt;0, E29/F29, 0)</f>
        <v>1</v>
      </c>
      <c r="F34" s="47" t="s">
        <v>21</v>
      </c>
    </row>
    <row r="35" spans="2:6" x14ac:dyDescent="0.35">
      <c r="B35" s="44" t="s">
        <v>17</v>
      </c>
      <c r="C35" s="46">
        <f>IF(F30&gt;0, C30/F30, 0)</f>
        <v>0</v>
      </c>
      <c r="D35" s="46">
        <f>IF(F30&gt;0, D30/F30, 0)</f>
        <v>0</v>
      </c>
      <c r="E35" s="46">
        <f>IF(F30&gt;0, E30/F30, 0)</f>
        <v>1</v>
      </c>
      <c r="F35" s="47" t="s">
        <v>21</v>
      </c>
    </row>
    <row r="40" spans="2:6" ht="18.5" x14ac:dyDescent="0.45">
      <c r="B40" s="40" t="s">
        <v>223</v>
      </c>
    </row>
    <row r="42" spans="2:6" x14ac:dyDescent="0.35">
      <c r="B42" s="54" t="s">
        <v>215</v>
      </c>
    </row>
    <row r="43" spans="2:6" x14ac:dyDescent="0.35">
      <c r="B43" s="42" t="s">
        <v>6</v>
      </c>
      <c r="C43" s="42" t="s">
        <v>216</v>
      </c>
      <c r="D43" s="42" t="s">
        <v>217</v>
      </c>
      <c r="E43" s="42" t="s">
        <v>218</v>
      </c>
      <c r="F43" s="42" t="s">
        <v>219</v>
      </c>
    </row>
    <row r="44" spans="2:6" x14ac:dyDescent="0.35">
      <c r="B44" s="44" t="s">
        <v>224</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225</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226</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227</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228</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25</v>
      </c>
      <c r="F49" s="45">
        <f t="shared" si="0"/>
        <v>25</v>
      </c>
    </row>
    <row r="51" spans="2:6" x14ac:dyDescent="0.35">
      <c r="B51" s="54" t="s">
        <v>221</v>
      </c>
    </row>
    <row r="52" spans="2:6" x14ac:dyDescent="0.35">
      <c r="B52" s="55" t="s">
        <v>6</v>
      </c>
      <c r="C52" s="55" t="s">
        <v>216</v>
      </c>
      <c r="D52" s="55" t="s">
        <v>217</v>
      </c>
      <c r="E52" s="55" t="s">
        <v>218</v>
      </c>
      <c r="F52" s="55" t="s">
        <v>21</v>
      </c>
    </row>
    <row r="53" spans="2:6" x14ac:dyDescent="0.35">
      <c r="B53" s="44" t="s">
        <v>224</v>
      </c>
      <c r="C53" s="46">
        <f t="shared" ref="C53:C58" si="1">IF(F44&gt;0, C44/F44, 0)</f>
        <v>0</v>
      </c>
      <c r="D53" s="46">
        <f t="shared" ref="D53:D58" si="2">IF(F44&gt;0, D44/F44, 0)</f>
        <v>0</v>
      </c>
      <c r="E53" s="46">
        <f t="shared" ref="E53:E58" si="3">IF(F44&gt;0, E44/F44, 0)</f>
        <v>0</v>
      </c>
      <c r="F53" s="47" t="s">
        <v>21</v>
      </c>
    </row>
    <row r="54" spans="2:6" x14ac:dyDescent="0.35">
      <c r="B54" s="44" t="s">
        <v>225</v>
      </c>
      <c r="C54" s="46">
        <f t="shared" si="1"/>
        <v>0</v>
      </c>
      <c r="D54" s="46">
        <f t="shared" si="2"/>
        <v>0</v>
      </c>
      <c r="E54" s="46">
        <f t="shared" si="3"/>
        <v>0</v>
      </c>
      <c r="F54" s="47" t="s">
        <v>21</v>
      </c>
    </row>
    <row r="55" spans="2:6" x14ac:dyDescent="0.35">
      <c r="B55" s="44" t="s">
        <v>226</v>
      </c>
      <c r="C55" s="46">
        <f t="shared" si="1"/>
        <v>0</v>
      </c>
      <c r="D55" s="46">
        <f t="shared" si="2"/>
        <v>0</v>
      </c>
      <c r="E55" s="46">
        <f t="shared" si="3"/>
        <v>0</v>
      </c>
      <c r="F55" s="47" t="s">
        <v>21</v>
      </c>
    </row>
    <row r="56" spans="2:6" x14ac:dyDescent="0.35">
      <c r="B56" s="44" t="s">
        <v>227</v>
      </c>
      <c r="C56" s="46">
        <f t="shared" si="1"/>
        <v>0</v>
      </c>
      <c r="D56" s="46">
        <f t="shared" si="2"/>
        <v>0</v>
      </c>
      <c r="E56" s="46">
        <f t="shared" si="3"/>
        <v>0</v>
      </c>
      <c r="F56" s="47" t="s">
        <v>21</v>
      </c>
    </row>
    <row r="57" spans="2:6" x14ac:dyDescent="0.35">
      <c r="B57" s="44" t="s">
        <v>228</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229</v>
      </c>
    </row>
    <row r="65" spans="2:6" x14ac:dyDescent="0.35">
      <c r="B65" s="54" t="s">
        <v>215</v>
      </c>
    </row>
    <row r="66" spans="2:6" x14ac:dyDescent="0.35">
      <c r="B66" s="42" t="s">
        <v>2</v>
      </c>
      <c r="C66" s="42" t="s">
        <v>216</v>
      </c>
      <c r="D66" s="42" t="s">
        <v>217</v>
      </c>
      <c r="E66" s="42" t="s">
        <v>218</v>
      </c>
      <c r="F66" s="42" t="s">
        <v>219</v>
      </c>
    </row>
    <row r="67" spans="2:6" x14ac:dyDescent="0.35">
      <c r="B67" s="44" t="s">
        <v>57</v>
      </c>
      <c r="C67" s="45">
        <f>COUNTIFS('Recommendations'!C:C,"CAT I (High)",'Recommendations'!M:M,"=Resolved")</f>
        <v>0</v>
      </c>
      <c r="D67" s="45">
        <f>COUNTIFS('Recommendations'!C:C,"=CAT I (High)",'Recommendations'!M:M,"=Testing")</f>
        <v>0</v>
      </c>
      <c r="E67" s="45">
        <f>COUNTIFS('Recommendations'!C:C,"=CAT I (High)",'Recommendations'!M:M,"=Outstanding")</f>
        <v>6</v>
      </c>
      <c r="F67" s="45">
        <f>SUM(C67:E67)</f>
        <v>6</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19</v>
      </c>
      <c r="F68" s="45">
        <f>SUM(C68:E68)</f>
        <v>19</v>
      </c>
    </row>
    <row r="70" spans="2:6" x14ac:dyDescent="0.35">
      <c r="B70" s="54" t="s">
        <v>221</v>
      </c>
    </row>
    <row r="71" spans="2:6" x14ac:dyDescent="0.35">
      <c r="B71" s="55" t="s">
        <v>2</v>
      </c>
      <c r="C71" s="55" t="s">
        <v>216</v>
      </c>
      <c r="D71" s="55" t="s">
        <v>217</v>
      </c>
      <c r="E71" s="55" t="s">
        <v>218</v>
      </c>
      <c r="F71" s="55" t="s">
        <v>21</v>
      </c>
    </row>
    <row r="72" spans="2:6" x14ac:dyDescent="0.35">
      <c r="B72" s="44" t="s">
        <v>57</v>
      </c>
      <c r="C72" s="46">
        <f>IF(F67&gt;0, C67/F67, 0)</f>
        <v>0</v>
      </c>
      <c r="D72" s="46">
        <f>IF(F67&gt;0, D67/F67, 0)</f>
        <v>0</v>
      </c>
      <c r="E72" s="46">
        <f>IF(F67&gt;0, E67/F67, 0)</f>
        <v>1</v>
      </c>
      <c r="F72" s="47" t="s">
        <v>21</v>
      </c>
    </row>
    <row r="73" spans="2:6" x14ac:dyDescent="0.35">
      <c r="B73" s="44" t="s">
        <v>16</v>
      </c>
      <c r="C73" s="46">
        <f>IF(F68&gt;0, C68/F68, 0)</f>
        <v>0</v>
      </c>
      <c r="D73" s="46">
        <f>IF(F68&gt;0, D68/F68, 0)</f>
        <v>0</v>
      </c>
      <c r="E73" s="46">
        <f>IF(F68&gt;0, E68/F68, 0)</f>
        <v>1</v>
      </c>
      <c r="F73" s="47" t="s">
        <v>21</v>
      </c>
    </row>
    <row r="78" spans="2:6" ht="18.5" x14ac:dyDescent="0.45">
      <c r="B78" s="40" t="s">
        <v>230</v>
      </c>
    </row>
    <row r="80" spans="2:6" x14ac:dyDescent="0.35">
      <c r="B80" s="54" t="s">
        <v>215</v>
      </c>
    </row>
    <row r="81" spans="2:6" x14ac:dyDescent="0.35">
      <c r="B81" s="42" t="s">
        <v>4</v>
      </c>
      <c r="C81" s="42" t="s">
        <v>216</v>
      </c>
      <c r="D81" s="42" t="s">
        <v>217</v>
      </c>
      <c r="E81" s="42" t="s">
        <v>218</v>
      </c>
      <c r="F81" s="42" t="s">
        <v>219</v>
      </c>
    </row>
    <row r="82" spans="2:6" x14ac:dyDescent="0.35">
      <c r="B82" s="44" t="s">
        <v>231</v>
      </c>
      <c r="C82" s="45">
        <f>COUNTIFS('Recommendations'!E:E,"Must",'Recommendations'!M:M,"=Resolved")</f>
        <v>0</v>
      </c>
      <c r="D82" s="45">
        <f>COUNTIFS('Recommendations'!E:E,"=Must",'Recommendations'!M:M,"=Testing")</f>
        <v>0</v>
      </c>
      <c r="E82" s="45">
        <f>COUNTIFS('Recommendations'!E:E,"=Must",'Recommendations'!M:M,"=Outstanding")</f>
        <v>0</v>
      </c>
      <c r="F82" s="45">
        <f>SUM(C82:E82)</f>
        <v>0</v>
      </c>
    </row>
    <row r="83" spans="2:6" x14ac:dyDescent="0.35">
      <c r="B83" s="44" t="s">
        <v>232</v>
      </c>
      <c r="C83" s="45">
        <f>COUNTIFS('Recommendations'!E:E,"Should",'Recommendations'!M:M,"=Resolved")</f>
        <v>0</v>
      </c>
      <c r="D83" s="45">
        <f>COUNTIFS('Recommendations'!E:E,"=Should",'Recommendations'!M:M,"=Testing")</f>
        <v>0</v>
      </c>
      <c r="E83" s="45">
        <f>COUNTIFS('Recommendations'!E:E,"=Should",'Recommendations'!M:M,"=Outstanding")</f>
        <v>0</v>
      </c>
      <c r="F83" s="45">
        <f>SUM(C83:E83)</f>
        <v>0</v>
      </c>
    </row>
    <row r="84" spans="2:6" x14ac:dyDescent="0.35">
      <c r="B84" s="44" t="s">
        <v>233</v>
      </c>
      <c r="C84" s="45">
        <f>COUNTIFS('Recommendations'!E:E,"Could",'Recommendations'!M:M,"=Resolved")</f>
        <v>0</v>
      </c>
      <c r="D84" s="45">
        <f>COUNTIFS('Recommendations'!E:E,"=Could",'Recommendations'!M:M,"=Testing")</f>
        <v>0</v>
      </c>
      <c r="E84" s="45">
        <f>COUNTIFS('Recommendations'!E:E,"=Could",'Recommendations'!M:M,"=Outstanding")</f>
        <v>0</v>
      </c>
      <c r="F84" s="45">
        <f>SUM(C84:E84)</f>
        <v>0</v>
      </c>
    </row>
    <row r="85" spans="2:6" x14ac:dyDescent="0.35">
      <c r="B85" s="44" t="s">
        <v>234</v>
      </c>
      <c r="C85" s="45">
        <f>COUNTIFS('Recommendations'!E:E,"Won't",'Recommendations'!M:M,"=Resolved")</f>
        <v>0</v>
      </c>
      <c r="D85" s="45">
        <f>COUNTIFS('Recommendations'!E:E,"=Won't",'Recommendations'!M:M,"=Testing")</f>
        <v>0</v>
      </c>
      <c r="E85" s="45">
        <f>COUNTIFS('Recommendations'!E:E,"=Won't",'Recommendations'!M:M,"=Outstanding")</f>
        <v>0</v>
      </c>
      <c r="F85" s="45">
        <f>SUM(C85:E85)</f>
        <v>0</v>
      </c>
    </row>
    <row r="86" spans="2:6" x14ac:dyDescent="0.35">
      <c r="B86" s="44" t="s">
        <v>18</v>
      </c>
      <c r="C86" s="45">
        <f>COUNTIFS('Recommendations'!E:E,"Unassigned",'Recommendations'!M:M,"=Resolved")</f>
        <v>0</v>
      </c>
      <c r="D86" s="45">
        <f>COUNTIFS('Recommendations'!E:E,"=Unassigned",'Recommendations'!M:M,"=Testing")</f>
        <v>0</v>
      </c>
      <c r="E86" s="45">
        <f>COUNTIFS('Recommendations'!E:E,"=Unassigned",'Recommendations'!M:M,"=Outstanding")</f>
        <v>25</v>
      </c>
      <c r="F86" s="45">
        <f>SUM(C86:E86)</f>
        <v>25</v>
      </c>
    </row>
    <row r="88" spans="2:6" x14ac:dyDescent="0.35">
      <c r="B88" s="54" t="s">
        <v>221</v>
      </c>
    </row>
    <row r="89" spans="2:6" x14ac:dyDescent="0.35">
      <c r="B89" s="55" t="s">
        <v>4</v>
      </c>
      <c r="C89" s="55" t="s">
        <v>216</v>
      </c>
      <c r="D89" s="55" t="s">
        <v>217</v>
      </c>
      <c r="E89" s="55" t="s">
        <v>218</v>
      </c>
      <c r="F89" s="55" t="s">
        <v>21</v>
      </c>
    </row>
    <row r="90" spans="2:6" x14ac:dyDescent="0.35">
      <c r="B90" s="44" t="s">
        <v>231</v>
      </c>
      <c r="C90" s="46">
        <f>IF(F82&gt;0, C82/F82, 0)</f>
        <v>0</v>
      </c>
      <c r="D90" s="46">
        <f>IF(F82&gt;0, D82/F82, 0)</f>
        <v>0</v>
      </c>
      <c r="E90" s="46">
        <f>IF(F82&gt;0, E82/F82, 0)</f>
        <v>0</v>
      </c>
      <c r="F90" s="47" t="s">
        <v>21</v>
      </c>
    </row>
    <row r="91" spans="2:6" x14ac:dyDescent="0.35">
      <c r="B91" s="44" t="s">
        <v>232</v>
      </c>
      <c r="C91" s="46">
        <f>IF(F83&gt;0, C83/F83, 0)</f>
        <v>0</v>
      </c>
      <c r="D91" s="46">
        <f>IF(F83&gt;0, D83/F83, 0)</f>
        <v>0</v>
      </c>
      <c r="E91" s="46">
        <f>IF(F83&gt;0, E83/F83, 0)</f>
        <v>0</v>
      </c>
      <c r="F91" s="47" t="s">
        <v>21</v>
      </c>
    </row>
    <row r="92" spans="2:6" x14ac:dyDescent="0.35">
      <c r="B92" s="44" t="s">
        <v>233</v>
      </c>
      <c r="C92" s="46">
        <f>IF(F84&gt;0, C84/F84, 0)</f>
        <v>0</v>
      </c>
      <c r="D92" s="46">
        <f>IF(F84&gt;0, D84/F84, 0)</f>
        <v>0</v>
      </c>
      <c r="E92" s="46">
        <f>IF(F84&gt;0, E84/F84, 0)</f>
        <v>0</v>
      </c>
      <c r="F92" s="47" t="s">
        <v>21</v>
      </c>
    </row>
    <row r="93" spans="2:6" x14ac:dyDescent="0.35">
      <c r="B93" s="44" t="s">
        <v>234</v>
      </c>
      <c r="C93" s="46">
        <f>IF(F85&gt;0, C85/F85, 0)</f>
        <v>0</v>
      </c>
      <c r="D93" s="46">
        <f>IF(F85&gt;0, D85/F85, 0)</f>
        <v>0</v>
      </c>
      <c r="E93" s="46">
        <f>IF(F85&gt;0, E85/F85, 0)</f>
        <v>0</v>
      </c>
      <c r="F93" s="47" t="s">
        <v>21</v>
      </c>
    </row>
    <row r="94" spans="2:6" x14ac:dyDescent="0.35">
      <c r="B94" s="44" t="s">
        <v>18</v>
      </c>
      <c r="C94" s="46">
        <f>IF(F86&gt;0, C86/F86, 0)</f>
        <v>0</v>
      </c>
      <c r="D94" s="46">
        <f>IF(F86&gt;0, D86/F86, 0)</f>
        <v>0</v>
      </c>
      <c r="E94" s="46">
        <f>IF(F86&gt;0, E86/F86, 0)</f>
        <v>1</v>
      </c>
      <c r="F94" s="47" t="s">
        <v>21</v>
      </c>
    </row>
    <row r="99" spans="2:6" ht="18.5" x14ac:dyDescent="0.45">
      <c r="B99" s="40" t="s">
        <v>235</v>
      </c>
    </row>
    <row r="101" spans="2:6" x14ac:dyDescent="0.35">
      <c r="B101" s="54" t="s">
        <v>215</v>
      </c>
    </row>
    <row r="102" spans="2:6" x14ac:dyDescent="0.35">
      <c r="B102" s="42" t="s">
        <v>236</v>
      </c>
      <c r="C102" s="42" t="s">
        <v>216</v>
      </c>
      <c r="D102" s="42" t="s">
        <v>217</v>
      </c>
      <c r="E102" s="42" t="s">
        <v>218</v>
      </c>
      <c r="F102" s="42" t="s">
        <v>219</v>
      </c>
    </row>
    <row r="103" spans="2:6" x14ac:dyDescent="0.35">
      <c r="B103" s="44" t="s">
        <v>237</v>
      </c>
      <c r="C103" s="45">
        <f>COUNTIFS('Recommendations'!F:F,"Low",'Recommendations'!M:M,"=Resolved")</f>
        <v>0</v>
      </c>
      <c r="D103" s="45">
        <f>COUNTIFS('Recommendations'!F:F,"=Low",'Recommendations'!M:M,"=Testing")</f>
        <v>0</v>
      </c>
      <c r="E103" s="45">
        <f>COUNTIFS('Recommendations'!F:F,"=Low",'Recommendations'!M:M,"=Outstanding")</f>
        <v>0</v>
      </c>
      <c r="F103" s="45">
        <f>SUM(C103:E103)</f>
        <v>0</v>
      </c>
    </row>
    <row r="104" spans="2:6" x14ac:dyDescent="0.35">
      <c r="B104" s="44" t="s">
        <v>238</v>
      </c>
      <c r="C104" s="45">
        <f>COUNTIFS('Recommendations'!F:F,"Medium",'Recommendations'!M:M,"=Resolved")</f>
        <v>0</v>
      </c>
      <c r="D104" s="45">
        <f>COUNTIFS('Recommendations'!F:F,"=Medium",'Recommendations'!M:M,"=Testing")</f>
        <v>0</v>
      </c>
      <c r="E104" s="45">
        <f>COUNTIFS('Recommendations'!F:F,"=Medium",'Recommendations'!M:M,"=Outstanding")</f>
        <v>0</v>
      </c>
      <c r="F104" s="45">
        <f>SUM(C104:E104)</f>
        <v>0</v>
      </c>
    </row>
    <row r="105" spans="2:6" x14ac:dyDescent="0.35">
      <c r="B105" s="44" t="s">
        <v>239</v>
      </c>
      <c r="C105" s="45">
        <f>COUNTIFS('Recommendations'!F:F,"High",'Recommendations'!M:M,"=Resolved")</f>
        <v>0</v>
      </c>
      <c r="D105" s="45">
        <f>COUNTIFS('Recommendations'!F:F,"=High",'Recommendations'!M:M,"=Testing")</f>
        <v>0</v>
      </c>
      <c r="E105" s="45">
        <f>COUNTIFS('Recommendations'!F:F,"=High",'Recommendations'!M:M,"=Outstanding")</f>
        <v>0</v>
      </c>
      <c r="F105" s="45">
        <f>SUM(C105:E105)</f>
        <v>0</v>
      </c>
    </row>
    <row r="106" spans="2:6" x14ac:dyDescent="0.35">
      <c r="B106" s="44" t="s">
        <v>19</v>
      </c>
      <c r="C106" s="45">
        <f>COUNTIFS('Recommendations'!F:F,"Unassessed",'Recommendations'!M:M,"=Resolved")</f>
        <v>0</v>
      </c>
      <c r="D106" s="45">
        <f>COUNTIFS('Recommendations'!F:F,"=Unassessed",'Recommendations'!M:M,"=Testing")</f>
        <v>0</v>
      </c>
      <c r="E106" s="45">
        <f>COUNTIFS('Recommendations'!F:F,"=Unassessed",'Recommendations'!M:M,"=Outstanding")</f>
        <v>25</v>
      </c>
      <c r="F106" s="45">
        <f>SUM(C106:E106)</f>
        <v>25</v>
      </c>
    </row>
    <row r="108" spans="2:6" x14ac:dyDescent="0.35">
      <c r="B108" s="54" t="s">
        <v>221</v>
      </c>
    </row>
    <row r="109" spans="2:6" x14ac:dyDescent="0.35">
      <c r="B109" s="55" t="s">
        <v>236</v>
      </c>
      <c r="C109" s="55" t="s">
        <v>216</v>
      </c>
      <c r="D109" s="55" t="s">
        <v>217</v>
      </c>
      <c r="E109" s="55" t="s">
        <v>218</v>
      </c>
      <c r="F109" s="55" t="s">
        <v>21</v>
      </c>
    </row>
    <row r="110" spans="2:6" x14ac:dyDescent="0.35">
      <c r="B110" s="44" t="s">
        <v>237</v>
      </c>
      <c r="C110" s="46">
        <f>IF(F103&gt;0, C103/F103, 0)</f>
        <v>0</v>
      </c>
      <c r="D110" s="46">
        <f>IF(F103&gt;0, D103/F103, 0)</f>
        <v>0</v>
      </c>
      <c r="E110" s="46">
        <f>IF(F103&gt;0, E103/F103, 0)</f>
        <v>0</v>
      </c>
      <c r="F110" s="47" t="s">
        <v>21</v>
      </c>
    </row>
    <row r="111" spans="2:6" x14ac:dyDescent="0.35">
      <c r="B111" s="44" t="s">
        <v>238</v>
      </c>
      <c r="C111" s="46">
        <f>IF(F104&gt;0, C104/F104, 0)</f>
        <v>0</v>
      </c>
      <c r="D111" s="46">
        <f>IF(F104&gt;0, D104/F104, 0)</f>
        <v>0</v>
      </c>
      <c r="E111" s="46">
        <f>IF(F104&gt;0, E104/F104, 0)</f>
        <v>0</v>
      </c>
      <c r="F111" s="47" t="s">
        <v>21</v>
      </c>
    </row>
    <row r="112" spans="2:6" x14ac:dyDescent="0.35">
      <c r="B112" s="44" t="s">
        <v>239</v>
      </c>
      <c r="C112" s="46">
        <f>IF(F105&gt;0, C105/F105, 0)</f>
        <v>0</v>
      </c>
      <c r="D112" s="46">
        <f>IF(F105&gt;0, D105/F105, 0)</f>
        <v>0</v>
      </c>
      <c r="E112" s="46">
        <f>IF(F105&gt;0, E105/F105, 0)</f>
        <v>0</v>
      </c>
      <c r="F112" s="47" t="s">
        <v>21</v>
      </c>
    </row>
    <row r="113" spans="2:15" x14ac:dyDescent="0.35">
      <c r="B113" s="44" t="s">
        <v>19</v>
      </c>
      <c r="C113" s="46">
        <f>IF(F106&gt;0, C106/F106, 0)</f>
        <v>0</v>
      </c>
      <c r="D113" s="46">
        <f>IF(F106&gt;0, D106/F106, 0)</f>
        <v>0</v>
      </c>
      <c r="E113" s="46">
        <f>IF(F106&gt;0, E106/F106, 0)</f>
        <v>1</v>
      </c>
      <c r="F113" s="47" t="s">
        <v>21</v>
      </c>
    </row>
    <row r="118" spans="2:15" ht="18.5" x14ac:dyDescent="0.45">
      <c r="B118" s="40" t="s">
        <v>240</v>
      </c>
      <c r="J118" s="40" t="s">
        <v>241</v>
      </c>
    </row>
    <row r="119" spans="2:15" x14ac:dyDescent="0.35">
      <c r="B119" s="42" t="s">
        <v>6</v>
      </c>
      <c r="C119" s="87" t="s">
        <v>242</v>
      </c>
      <c r="D119" s="87"/>
      <c r="E119" s="42" t="s">
        <v>208</v>
      </c>
      <c r="F119" s="42" t="s">
        <v>216</v>
      </c>
      <c r="G119" s="87" t="s">
        <v>243</v>
      </c>
      <c r="H119" s="87"/>
      <c r="J119" s="42" t="s">
        <v>6</v>
      </c>
      <c r="K119" s="42" t="s">
        <v>231</v>
      </c>
      <c r="L119" s="42" t="s">
        <v>232</v>
      </c>
      <c r="M119" s="42" t="s">
        <v>233</v>
      </c>
      <c r="N119" s="42" t="s">
        <v>234</v>
      </c>
      <c r="O119" s="42" t="s">
        <v>18</v>
      </c>
    </row>
    <row r="120" spans="2:15" x14ac:dyDescent="0.35">
      <c r="B120" s="48" t="s">
        <v>224</v>
      </c>
      <c r="C120" s="88" t="s">
        <v>21</v>
      </c>
      <c r="D120" s="88"/>
      <c r="E120" s="45">
        <f>COUNTIF('Recommendations'!G:G,"Phase1")-COUNTIFS('Recommendations'!G:G,"Phase1",'Recommendations'!H:H,"Risk Accepted")-COUNTIFS('Recommendations'!G:G,"Phase1",'Recommendations'!H:H,"N/A")</f>
        <v>0</v>
      </c>
      <c r="F120" s="45">
        <f>COUNTIFS('Recommendations'!G:G,"Phase1",'Recommendations'!M:M,"Resolved")</f>
        <v>0</v>
      </c>
      <c r="G120" s="89">
        <f t="shared" ref="G120:G125" si="4">IF(E120&gt;0,F120/E120,0)</f>
        <v>0</v>
      </c>
      <c r="H120" s="89"/>
      <c r="J120" s="48" t="s">
        <v>224</v>
      </c>
      <c r="K120" s="45">
        <f>COUNTIFS('Recommendations'!G:G,"Phase1",'Recommendations'!E:E,"Must")</f>
        <v>0</v>
      </c>
      <c r="L120" s="45">
        <f>COUNTIFS('Recommendations'!G:G,"Phase1",'Recommendations'!E:E,"Should")</f>
        <v>0</v>
      </c>
      <c r="M120" s="45">
        <f>COUNTIFS('Recommendations'!G:G,"Phase1",'Recommendations'!E:E,"Could")</f>
        <v>0</v>
      </c>
      <c r="N120" s="45">
        <f>COUNTIFS('Recommendations'!G:G,"Phase1",'Recommendations'!E:E,"Won't")</f>
        <v>0</v>
      </c>
      <c r="O120" s="45">
        <f>COUNTIFS('Recommendations'!G:G,"Phase1",'Recommendations'!E:E,"Unassigned")</f>
        <v>0</v>
      </c>
    </row>
    <row r="121" spans="2:15" x14ac:dyDescent="0.35">
      <c r="B121" s="48" t="s">
        <v>225</v>
      </c>
      <c r="C121" s="88" t="s">
        <v>21</v>
      </c>
      <c r="D121" s="88"/>
      <c r="E121" s="45">
        <f>COUNTIF('Recommendations'!G:G,"Phase2")-COUNTIFS('Recommendations'!G:G,"Phase2",'Recommendations'!H:H,"Risk Accepted")-COUNTIFS('Recommendations'!G:G,"Phase2",'Recommendations'!H:H,"N/A")</f>
        <v>0</v>
      </c>
      <c r="F121" s="45">
        <f>COUNTIFS('Recommendations'!G:G,"Phase2",'Recommendations'!M:M,"Resolved")</f>
        <v>0</v>
      </c>
      <c r="G121" s="89">
        <f t="shared" si="4"/>
        <v>0</v>
      </c>
      <c r="H121" s="89"/>
      <c r="J121" s="48" t="s">
        <v>225</v>
      </c>
      <c r="K121" s="45">
        <f>COUNTIFS('Recommendations'!G:G,"Phase2",'Recommendations'!E:E,"Must")</f>
        <v>0</v>
      </c>
      <c r="L121" s="45">
        <f>COUNTIFS('Recommendations'!G:G,"Phase2",'Recommendations'!E:E,"Should")</f>
        <v>0</v>
      </c>
      <c r="M121" s="45">
        <f>COUNTIFS('Recommendations'!G:G,"Phase2",'Recommendations'!E:E,"Could")</f>
        <v>0</v>
      </c>
      <c r="N121" s="45">
        <f>COUNTIFS('Recommendations'!G:G,"Phase2",'Recommendations'!E:E,"Won't")</f>
        <v>0</v>
      </c>
      <c r="O121" s="45">
        <f>COUNTIFS('Recommendations'!G:G,"Phase2",'Recommendations'!E:E,"Unassigned")</f>
        <v>0</v>
      </c>
    </row>
    <row r="122" spans="2:15" x14ac:dyDescent="0.35">
      <c r="B122" s="48" t="s">
        <v>226</v>
      </c>
      <c r="C122" s="88" t="s">
        <v>21</v>
      </c>
      <c r="D122" s="88"/>
      <c r="E122" s="45">
        <f>COUNTIF('Recommendations'!G:G,"Phase3")-COUNTIFS('Recommendations'!G:G,"Phase3",'Recommendations'!H:H,"Risk Accepted")-COUNTIFS('Recommendations'!G:G,"Phase3",'Recommendations'!H:H,"N/A")</f>
        <v>0</v>
      </c>
      <c r="F122" s="45">
        <f>COUNTIFS('Recommendations'!G:G,"Phase3",'Recommendations'!M:M,"Resolved")</f>
        <v>0</v>
      </c>
      <c r="G122" s="89">
        <f t="shared" si="4"/>
        <v>0</v>
      </c>
      <c r="H122" s="89"/>
      <c r="J122" s="48" t="s">
        <v>226</v>
      </c>
      <c r="K122" s="45">
        <f>COUNTIFS('Recommendations'!G:G,"Phase3",'Recommendations'!E:E,"Must")</f>
        <v>0</v>
      </c>
      <c r="L122" s="45">
        <f>COUNTIFS('Recommendations'!G:G,"Phase3",'Recommendations'!E:E,"Should")</f>
        <v>0</v>
      </c>
      <c r="M122" s="45">
        <f>COUNTIFS('Recommendations'!G:G,"Phase3",'Recommendations'!E:E,"Could")</f>
        <v>0</v>
      </c>
      <c r="N122" s="45">
        <f>COUNTIFS('Recommendations'!G:G,"Phase3",'Recommendations'!E:E,"Won't")</f>
        <v>0</v>
      </c>
      <c r="O122" s="45">
        <f>COUNTIFS('Recommendations'!G:G,"Phase3",'Recommendations'!E:E,"Unassigned")</f>
        <v>0</v>
      </c>
    </row>
    <row r="123" spans="2:15" x14ac:dyDescent="0.35">
      <c r="B123" s="48" t="s">
        <v>227</v>
      </c>
      <c r="C123" s="88" t="s">
        <v>21</v>
      </c>
      <c r="D123" s="88"/>
      <c r="E123" s="45">
        <f>COUNTIF('Recommendations'!G:G,"Phase4")-COUNTIFS('Recommendations'!G:G,"Phase4",'Recommendations'!H:H,"Risk Accepted")-COUNTIFS('Recommendations'!G:G,"Phase4",'Recommendations'!H:H,"N/A")</f>
        <v>0</v>
      </c>
      <c r="F123" s="45">
        <f>COUNTIFS('Recommendations'!G:G,"Phase4",'Recommendations'!M:M,"Resolved")</f>
        <v>0</v>
      </c>
      <c r="G123" s="89">
        <f t="shared" si="4"/>
        <v>0</v>
      </c>
      <c r="H123" s="89"/>
      <c r="J123" s="48" t="s">
        <v>227</v>
      </c>
      <c r="K123" s="45">
        <f>COUNTIFS('Recommendations'!G:G,"Phase4",'Recommendations'!E:E,"Must")</f>
        <v>0</v>
      </c>
      <c r="L123" s="45">
        <f>COUNTIFS('Recommendations'!G:G,"Phase4",'Recommendations'!E:E,"Should")</f>
        <v>0</v>
      </c>
      <c r="M123" s="45">
        <f>COUNTIFS('Recommendations'!G:G,"Phase4",'Recommendations'!E:E,"Could")</f>
        <v>0</v>
      </c>
      <c r="N123" s="45">
        <f>COUNTIFS('Recommendations'!G:G,"Phase4",'Recommendations'!E:E,"Won't")</f>
        <v>0</v>
      </c>
      <c r="O123" s="45">
        <f>COUNTIFS('Recommendations'!G:G,"Phase4",'Recommendations'!E:E,"Unassigned")</f>
        <v>0</v>
      </c>
    </row>
    <row r="124" spans="2:15" x14ac:dyDescent="0.35">
      <c r="B124" s="48" t="s">
        <v>228</v>
      </c>
      <c r="C124" s="88" t="s">
        <v>21</v>
      </c>
      <c r="D124" s="88"/>
      <c r="E124" s="45">
        <f>COUNTIF('Recommendations'!G:G,"Phase5")-COUNTIFS('Recommendations'!G:G,"Phase5",'Recommendations'!H:H,"Risk Accepted")-COUNTIFS('Recommendations'!G:G,"Phase5",'Recommendations'!H:H,"N/A")</f>
        <v>0</v>
      </c>
      <c r="F124" s="45">
        <f>COUNTIFS('Recommendations'!G:G,"Phase5",'Recommendations'!M:M,"Resolved")</f>
        <v>0</v>
      </c>
      <c r="G124" s="89">
        <f t="shared" si="4"/>
        <v>0</v>
      </c>
      <c r="H124" s="89"/>
      <c r="J124" s="48" t="s">
        <v>228</v>
      </c>
      <c r="K124" s="45">
        <f>COUNTIFS('Recommendations'!G:G,"Phase5",'Recommendations'!E:E,"Must")</f>
        <v>0</v>
      </c>
      <c r="L124" s="45">
        <f>COUNTIFS('Recommendations'!G:G,"Phase5",'Recommendations'!E:E,"Should")</f>
        <v>0</v>
      </c>
      <c r="M124" s="45">
        <f>COUNTIFS('Recommendations'!G:G,"Phase5",'Recommendations'!E:E,"Could")</f>
        <v>0</v>
      </c>
      <c r="N124" s="45">
        <f>COUNTIFS('Recommendations'!G:G,"Phase5",'Recommendations'!E:E,"Won't")</f>
        <v>0</v>
      </c>
      <c r="O124" s="45">
        <f>COUNTIFS('Recommendations'!G:G,"Phase5",'Recommendations'!E:E,"Unassigned")</f>
        <v>0</v>
      </c>
    </row>
    <row r="125" spans="2:15" x14ac:dyDescent="0.35">
      <c r="B125" s="48" t="s">
        <v>20</v>
      </c>
      <c r="C125" s="88" t="s">
        <v>21</v>
      </c>
      <c r="D125" s="88"/>
      <c r="E125" s="45">
        <f>COUNTIF('Recommendations'!G:G,"Pending")-COUNTIFS('Recommendations'!G:G,"Pending",'Recommendations'!H:H,"Risk Accepted")-COUNTIFS('Recommendations'!G:G,"Pending",'Recommendations'!H:H,"N/A")</f>
        <v>25</v>
      </c>
      <c r="F125" s="45">
        <f>COUNTIFS('Recommendations'!G:G,"Pending",'Recommendations'!M:M,"Resolved")</f>
        <v>0</v>
      </c>
      <c r="G125" s="89">
        <f t="shared" si="4"/>
        <v>0</v>
      </c>
      <c r="H125" s="89"/>
      <c r="J125" s="48" t="s">
        <v>20</v>
      </c>
      <c r="K125" s="45">
        <f>COUNTIFS('Recommendations'!G:G,"Pending",'Recommendations'!E:E,"Must")</f>
        <v>0</v>
      </c>
      <c r="L125" s="45">
        <f>COUNTIFS('Recommendations'!G:G,"Pending",'Recommendations'!E:E,"Should")</f>
        <v>0</v>
      </c>
      <c r="M125" s="45">
        <f>COUNTIFS('Recommendations'!G:G,"Pending",'Recommendations'!E:E,"Could")</f>
        <v>0</v>
      </c>
      <c r="N125" s="45">
        <f>COUNTIFS('Recommendations'!G:G,"Pending",'Recommendations'!E:E,"Won't")</f>
        <v>0</v>
      </c>
      <c r="O125" s="45">
        <f>COUNTIFS('Recommendations'!G:G,"Pending",'Recommendations'!E:E,"Unassigned")</f>
        <v>25</v>
      </c>
    </row>
    <row r="132" spans="2:24" ht="21" x14ac:dyDescent="0.5">
      <c r="B132" s="40" t="s">
        <v>244</v>
      </c>
      <c r="P132" s="57" t="s">
        <v>245</v>
      </c>
    </row>
    <row r="134" spans="2:24" ht="60" customHeight="1" x14ac:dyDescent="0.35">
      <c r="B134" s="90" t="s">
        <v>246</v>
      </c>
      <c r="C134" s="83"/>
      <c r="D134" s="83"/>
      <c r="E134" s="83"/>
      <c r="F134" s="83"/>
      <c r="P134" s="90" t="s">
        <v>247</v>
      </c>
      <c r="Q134" s="83"/>
      <c r="R134" s="83"/>
      <c r="S134" s="83"/>
      <c r="T134" s="83"/>
      <c r="U134" s="83"/>
      <c r="V134" s="83"/>
      <c r="W134" s="83"/>
    </row>
    <row r="136" spans="2:24" ht="30" customHeight="1" x14ac:dyDescent="0.35">
      <c r="P136" s="58" t="s">
        <v>248</v>
      </c>
      <c r="Q136" s="59">
        <f>C16</f>
        <v>0</v>
      </c>
      <c r="R136" s="60"/>
      <c r="S136" s="59">
        <f>C82</f>
        <v>0</v>
      </c>
      <c r="T136" s="60"/>
      <c r="U136" s="59">
        <f>C83</f>
        <v>0</v>
      </c>
      <c r="V136" s="60"/>
      <c r="W136" s="59">
        <f>C84</f>
        <v>0</v>
      </c>
      <c r="X136" s="60"/>
    </row>
    <row r="137" spans="2:24" ht="35" customHeight="1" x14ac:dyDescent="0.35">
      <c r="P137" s="61" t="s">
        <v>249</v>
      </c>
      <c r="Q137" s="61" t="s">
        <v>250</v>
      </c>
      <c r="R137" s="61" t="s">
        <v>251</v>
      </c>
      <c r="S137" s="61" t="s">
        <v>252</v>
      </c>
      <c r="T137" s="61" t="s">
        <v>253</v>
      </c>
      <c r="U137" s="61" t="s">
        <v>254</v>
      </c>
      <c r="V137" s="61" t="s">
        <v>255</v>
      </c>
      <c r="W137" s="61" t="s">
        <v>256</v>
      </c>
      <c r="X137" s="61" t="s">
        <v>257</v>
      </c>
    </row>
    <row r="138" spans="2:24" x14ac:dyDescent="0.35">
      <c r="O138" s="62" t="s">
        <v>258</v>
      </c>
      <c r="P138" s="63" t="s">
        <v>259</v>
      </c>
      <c r="Q138" s="64">
        <v>0</v>
      </c>
      <c r="R138" s="65">
        <f>IF(Dashboard!F16&gt;0, Q138/Dashboard!F16, "")</f>
        <v>0</v>
      </c>
      <c r="S138" s="64">
        <v>0</v>
      </c>
      <c r="T138" s="65" t="str">
        <f>IF(AND(NOT(ISBLANK(S138)),Dashboard!F82&gt;0), S138/Dashboard!F82, "")</f>
        <v/>
      </c>
      <c r="U138" s="64">
        <v>0</v>
      </c>
      <c r="V138" s="65" t="str">
        <f>IF(AND(NOT(ISBLANK(U138)),Dashboard!F83&gt;0), U138/Dashboard!F83, "")</f>
        <v/>
      </c>
      <c r="W138" s="64">
        <v>0</v>
      </c>
      <c r="X138" s="65" t="str">
        <f>IF(AND(NOT(ISBLANK(W138)),Dashboard!F84&gt;0), W138/Dashboard!F84, "")</f>
        <v/>
      </c>
    </row>
    <row r="139" spans="2:24" x14ac:dyDescent="0.35">
      <c r="P139" s="56"/>
      <c r="Q139" s="43"/>
      <c r="R139" s="46" t="str">
        <f>IF(AND(NOT(ISBLANK(Q139)),Dashboard!F16&gt;0), Q139/Dashboard!F16, "")</f>
        <v/>
      </c>
      <c r="S139" s="43"/>
      <c r="T139" s="46" t="str">
        <f>IF(AND(NOT(ISBLANK(S139)),Dashboard!F82&gt;0), S139/Dashboard!F82, "")</f>
        <v/>
      </c>
      <c r="U139" s="43"/>
      <c r="V139" s="46" t="str">
        <f>IF(AND(NOT(ISBLANK(U139)),Dashboard!F83&gt;0), U139/Dashboard!F83, "")</f>
        <v/>
      </c>
      <c r="W139" s="43"/>
      <c r="X139" s="46" t="str">
        <f>IF(AND(NOT(ISBLANK(W139)),Dashboard!F84&gt;0), W139/Dashboard!F84, "")</f>
        <v/>
      </c>
    </row>
    <row r="140" spans="2:24" x14ac:dyDescent="0.35">
      <c r="P140" s="56"/>
      <c r="Q140" s="43"/>
      <c r="R140" s="46" t="str">
        <f>IF(AND(NOT(ISBLANK(Q140)),Dashboard!F16&gt;0), Q140/Dashboard!F16, "")</f>
        <v/>
      </c>
      <c r="S140" s="43"/>
      <c r="T140" s="46" t="str">
        <f>IF(AND(NOT(ISBLANK(S140)),Dashboard!F82&gt;0), S140/Dashboard!F82, "")</f>
        <v/>
      </c>
      <c r="U140" s="43"/>
      <c r="V140" s="46" t="str">
        <f>IF(AND(NOT(ISBLANK(U140)),Dashboard!F83&gt;0), U140/Dashboard!F83, "")</f>
        <v/>
      </c>
      <c r="W140" s="43"/>
      <c r="X140" s="46" t="str">
        <f>IF(AND(NOT(ISBLANK(W140)),Dashboard!F84&gt;0), W140/Dashboard!F84, "")</f>
        <v/>
      </c>
    </row>
    <row r="141" spans="2:24" x14ac:dyDescent="0.35">
      <c r="P141" s="56"/>
      <c r="Q141" s="43"/>
      <c r="R141" s="46" t="str">
        <f>IF(AND(NOT(ISBLANK(Q141)),Dashboard!F16&gt;0), Q141/Dashboard!F16, "")</f>
        <v/>
      </c>
      <c r="S141" s="43"/>
      <c r="T141" s="46" t="str">
        <f>IF(AND(NOT(ISBLANK(S141)),Dashboard!F82&gt;0), S141/Dashboard!F82, "")</f>
        <v/>
      </c>
      <c r="U141" s="43"/>
      <c r="V141" s="46" t="str">
        <f>IF(AND(NOT(ISBLANK(U141)),Dashboard!F83&gt;0), U141/Dashboard!F83, "")</f>
        <v/>
      </c>
      <c r="W141" s="43"/>
      <c r="X141" s="46" t="str">
        <f>IF(AND(NOT(ISBLANK(W141)),Dashboard!F84&gt;0), W141/Dashboard!F84, "")</f>
        <v/>
      </c>
    </row>
    <row r="142" spans="2:24" x14ac:dyDescent="0.35">
      <c r="P142" s="56"/>
      <c r="Q142" s="43"/>
      <c r="R142" s="46" t="str">
        <f>IF(AND(NOT(ISBLANK(Q142)),Dashboard!F16&gt;0), Q142/Dashboard!F16, "")</f>
        <v/>
      </c>
      <c r="S142" s="43"/>
      <c r="T142" s="46" t="str">
        <f>IF(AND(NOT(ISBLANK(S142)),Dashboard!F82&gt;0), S142/Dashboard!F82, "")</f>
        <v/>
      </c>
      <c r="U142" s="43"/>
      <c r="V142" s="46" t="str">
        <f>IF(AND(NOT(ISBLANK(U142)),Dashboard!F83&gt;0), U142/Dashboard!F83, "")</f>
        <v/>
      </c>
      <c r="W142" s="43"/>
      <c r="X142" s="46" t="str">
        <f>IF(AND(NOT(ISBLANK(W142)),Dashboard!F84&gt;0), W142/Dashboard!F84, "")</f>
        <v/>
      </c>
    </row>
    <row r="143" spans="2:24" x14ac:dyDescent="0.35">
      <c r="P143" s="56"/>
      <c r="Q143" s="43"/>
      <c r="R143" s="46" t="str">
        <f>IF(AND(NOT(ISBLANK(Q143)),Dashboard!F16&gt;0), Q143/Dashboard!F16, "")</f>
        <v/>
      </c>
      <c r="S143" s="43"/>
      <c r="T143" s="46" t="str">
        <f>IF(AND(NOT(ISBLANK(S143)),Dashboard!F82&gt;0), S143/Dashboard!F82, "")</f>
        <v/>
      </c>
      <c r="U143" s="43"/>
      <c r="V143" s="46" t="str">
        <f>IF(AND(NOT(ISBLANK(U143)),Dashboard!F83&gt;0), U143/Dashboard!F83, "")</f>
        <v/>
      </c>
      <c r="W143" s="43"/>
      <c r="X143" s="46" t="str">
        <f>IF(AND(NOT(ISBLANK(W143)),Dashboard!F84&gt;0), W143/Dashboard!F84, "")</f>
        <v/>
      </c>
    </row>
    <row r="144" spans="2:24" x14ac:dyDescent="0.35">
      <c r="P144" s="56"/>
      <c r="Q144" s="43"/>
      <c r="R144" s="46" t="str">
        <f>IF(AND(NOT(ISBLANK(Q144)),Dashboard!F16&gt;0), Q144/Dashboard!F16, "")</f>
        <v/>
      </c>
      <c r="S144" s="43"/>
      <c r="T144" s="46" t="str">
        <f>IF(AND(NOT(ISBLANK(S144)),Dashboard!F82&gt;0), S144/Dashboard!F82, "")</f>
        <v/>
      </c>
      <c r="U144" s="43"/>
      <c r="V144" s="46" t="str">
        <f>IF(AND(NOT(ISBLANK(U144)),Dashboard!F83&gt;0), U144/Dashboard!F83, "")</f>
        <v/>
      </c>
      <c r="W144" s="43"/>
      <c r="X144" s="46" t="str">
        <f>IF(AND(NOT(ISBLANK(W144)),Dashboard!F84&gt;0), W144/Dashboard!F84, "")</f>
        <v/>
      </c>
    </row>
    <row r="145" spans="16:24" x14ac:dyDescent="0.35">
      <c r="P145" s="56"/>
      <c r="Q145" s="43"/>
      <c r="R145" s="46" t="str">
        <f>IF(AND(NOT(ISBLANK(Q145)),Dashboard!F16&gt;0), Q145/Dashboard!F16, "")</f>
        <v/>
      </c>
      <c r="S145" s="43"/>
      <c r="T145" s="46" t="str">
        <f>IF(AND(NOT(ISBLANK(S145)),Dashboard!F82&gt;0), S145/Dashboard!F82, "")</f>
        <v/>
      </c>
      <c r="U145" s="43"/>
      <c r="V145" s="46" t="str">
        <f>IF(AND(NOT(ISBLANK(U145)),Dashboard!F83&gt;0), U145/Dashboard!F83, "")</f>
        <v/>
      </c>
      <c r="W145" s="43"/>
      <c r="X145" s="46" t="str">
        <f>IF(AND(NOT(ISBLANK(W145)),Dashboard!F84&gt;0), W145/Dashboard!F84, "")</f>
        <v/>
      </c>
    </row>
    <row r="146" spans="16:24" x14ac:dyDescent="0.35">
      <c r="P146" s="56"/>
      <c r="Q146" s="43"/>
      <c r="R146" s="46" t="str">
        <f>IF(AND(NOT(ISBLANK(Q146)),Dashboard!F16&gt;0), Q146/Dashboard!F16, "")</f>
        <v/>
      </c>
      <c r="S146" s="43"/>
      <c r="T146" s="46" t="str">
        <f>IF(AND(NOT(ISBLANK(S146)),Dashboard!F82&gt;0), S146/Dashboard!F82, "")</f>
        <v/>
      </c>
      <c r="U146" s="43"/>
      <c r="V146" s="46" t="str">
        <f>IF(AND(NOT(ISBLANK(U146)),Dashboard!F83&gt;0), U146/Dashboard!F83, "")</f>
        <v/>
      </c>
      <c r="W146" s="43"/>
      <c r="X146" s="46" t="str">
        <f>IF(AND(NOT(ISBLANK(W146)),Dashboard!F84&gt;0), W146/Dashboard!F84, "")</f>
        <v/>
      </c>
    </row>
    <row r="147" spans="16:24" x14ac:dyDescent="0.35">
      <c r="P147" s="56"/>
      <c r="Q147" s="43"/>
      <c r="R147" s="46" t="str">
        <f>IF(AND(NOT(ISBLANK(Q147)),Dashboard!F16&gt;0), Q147/Dashboard!F16, "")</f>
        <v/>
      </c>
      <c r="S147" s="43"/>
      <c r="T147" s="46" t="str">
        <f>IF(AND(NOT(ISBLANK(S147)),Dashboard!F82&gt;0), S147/Dashboard!F82, "")</f>
        <v/>
      </c>
      <c r="U147" s="43"/>
      <c r="V147" s="46" t="str">
        <f>IF(AND(NOT(ISBLANK(U147)),Dashboard!F83&gt;0), U147/Dashboard!F83, "")</f>
        <v/>
      </c>
      <c r="W147" s="43"/>
      <c r="X147" s="46" t="str">
        <f>IF(AND(NOT(ISBLANK(W147)),Dashboard!F84&gt;0), W147/Dashboard!F84, "")</f>
        <v/>
      </c>
    </row>
    <row r="148" spans="16:24" x14ac:dyDescent="0.35">
      <c r="P148" s="56"/>
      <c r="Q148" s="43"/>
      <c r="R148" s="46" t="str">
        <f>IF(AND(NOT(ISBLANK(Q148)),Dashboard!F16&gt;0), Q148/Dashboard!F16, "")</f>
        <v/>
      </c>
      <c r="S148" s="43"/>
      <c r="T148" s="46" t="str">
        <f>IF(AND(NOT(ISBLANK(S148)),Dashboard!F82&gt;0), S148/Dashboard!F82, "")</f>
        <v/>
      </c>
      <c r="U148" s="43"/>
      <c r="V148" s="46" t="str">
        <f>IF(AND(NOT(ISBLANK(U148)),Dashboard!F83&gt;0), U148/Dashboard!F83, "")</f>
        <v/>
      </c>
      <c r="W148" s="43"/>
      <c r="X148" s="46" t="str">
        <f>IF(AND(NOT(ISBLANK(W148)),Dashboard!F84&gt;0), W148/Dashboard!F84, "")</f>
        <v/>
      </c>
    </row>
    <row r="149" spans="16:24" x14ac:dyDescent="0.35">
      <c r="P149" s="56"/>
      <c r="Q149" s="43"/>
      <c r="R149" s="46" t="str">
        <f>IF(AND(NOT(ISBLANK(Q149)),Dashboard!F16&gt;0), Q149/Dashboard!F16, "")</f>
        <v/>
      </c>
      <c r="S149" s="43"/>
      <c r="T149" s="46" t="str">
        <f>IF(AND(NOT(ISBLANK(S149)),Dashboard!F82&gt;0), S149/Dashboard!F82, "")</f>
        <v/>
      </c>
      <c r="U149" s="43"/>
      <c r="V149" s="46" t="str">
        <f>IF(AND(NOT(ISBLANK(U149)),Dashboard!F83&gt;0), U149/Dashboard!F83, "")</f>
        <v/>
      </c>
      <c r="W149" s="43"/>
      <c r="X149" s="46" t="str">
        <f>IF(AND(NOT(ISBLANK(W149)),Dashboard!F84&gt;0), W149/Dashboard!F84, "")</f>
        <v/>
      </c>
    </row>
    <row r="150" spans="16:24" x14ac:dyDescent="0.35">
      <c r="P150" s="56"/>
      <c r="Q150" s="43"/>
      <c r="R150" s="46" t="str">
        <f>IF(AND(NOT(ISBLANK(Q150)),Dashboard!F16&gt;0), Q150/Dashboard!F16, "")</f>
        <v/>
      </c>
      <c r="S150" s="43"/>
      <c r="T150" s="46" t="str">
        <f>IF(AND(NOT(ISBLANK(S150)),Dashboard!F82&gt;0), S150/Dashboard!F82, "")</f>
        <v/>
      </c>
      <c r="U150" s="43"/>
      <c r="V150" s="46" t="str">
        <f>IF(AND(NOT(ISBLANK(U150)),Dashboard!F83&gt;0), U150/Dashboard!F83, "")</f>
        <v/>
      </c>
      <c r="W150" s="43"/>
      <c r="X150" s="46" t="str">
        <f>IF(AND(NOT(ISBLANK(W150)),Dashboard!F84&gt;0), W150/Dashboard!F84, "")</f>
        <v/>
      </c>
    </row>
    <row r="151" spans="16:24" x14ac:dyDescent="0.35">
      <c r="P151" s="56"/>
      <c r="Q151" s="43"/>
      <c r="R151" s="46" t="str">
        <f>IF(AND(NOT(ISBLANK(Q151)),Dashboard!F16&gt;0), Q151/Dashboard!F16, "")</f>
        <v/>
      </c>
      <c r="S151" s="43"/>
      <c r="T151" s="46" t="str">
        <f>IF(AND(NOT(ISBLANK(S151)),Dashboard!F82&gt;0), S151/Dashboard!F82, "")</f>
        <v/>
      </c>
      <c r="U151" s="43"/>
      <c r="V151" s="46" t="str">
        <f>IF(AND(NOT(ISBLANK(U151)),Dashboard!F83&gt;0), U151/Dashboard!F83, "")</f>
        <v/>
      </c>
      <c r="W151" s="43"/>
      <c r="X151" s="46" t="str">
        <f>IF(AND(NOT(ISBLANK(W151)),Dashboard!F84&gt;0), W151/Dashboard!F84, "")</f>
        <v/>
      </c>
    </row>
    <row r="152" spans="16:24" x14ac:dyDescent="0.35">
      <c r="P152" s="56"/>
      <c r="Q152" s="43"/>
      <c r="R152" s="46" t="str">
        <f>IF(AND(NOT(ISBLANK(Q152)),Dashboard!F16&gt;0), Q152/Dashboard!F16, "")</f>
        <v/>
      </c>
      <c r="S152" s="43"/>
      <c r="T152" s="46" t="str">
        <f>IF(AND(NOT(ISBLANK(S152)),Dashboard!F82&gt;0), S152/Dashboard!F82, "")</f>
        <v/>
      </c>
      <c r="U152" s="43"/>
      <c r="V152" s="46" t="str">
        <f>IF(AND(NOT(ISBLANK(U152)),Dashboard!F83&gt;0), U152/Dashboard!F83, "")</f>
        <v/>
      </c>
      <c r="W152" s="43"/>
      <c r="X152" s="46" t="str">
        <f>IF(AND(NOT(ISBLANK(W152)),Dashboard!F84&gt;0), W152/Dashboard!F84, "")</f>
        <v/>
      </c>
    </row>
    <row r="153" spans="16:24" x14ac:dyDescent="0.35">
      <c r="P153" s="56"/>
      <c r="Q153" s="43"/>
      <c r="R153" s="46" t="str">
        <f>IF(AND(NOT(ISBLANK(Q153)),Dashboard!F16&gt;0), Q153/Dashboard!F16, "")</f>
        <v/>
      </c>
      <c r="S153" s="43"/>
      <c r="T153" s="46" t="str">
        <f>IF(AND(NOT(ISBLANK(S153)),Dashboard!F82&gt;0), S153/Dashboard!F82, "")</f>
        <v/>
      </c>
      <c r="U153" s="43"/>
      <c r="V153" s="46" t="str">
        <f>IF(AND(NOT(ISBLANK(U153)),Dashboard!F83&gt;0), U153/Dashboard!F83, "")</f>
        <v/>
      </c>
      <c r="W153" s="43"/>
      <c r="X153" s="46" t="str">
        <f>IF(AND(NOT(ISBLANK(W153)),Dashboard!F84&gt;0), W153/Dashboard!F84, "")</f>
        <v/>
      </c>
    </row>
    <row r="154" spans="16:24" x14ac:dyDescent="0.35">
      <c r="P154" s="56"/>
      <c r="Q154" s="43"/>
      <c r="R154" s="46" t="str">
        <f>IF(AND(NOT(ISBLANK(Q154)),Dashboard!F16&gt;0), Q154/Dashboard!F16, "")</f>
        <v/>
      </c>
      <c r="S154" s="43"/>
      <c r="T154" s="46" t="str">
        <f>IF(AND(NOT(ISBLANK(S154)),Dashboard!F82&gt;0), S154/Dashboard!F82, "")</f>
        <v/>
      </c>
      <c r="U154" s="43"/>
      <c r="V154" s="46" t="str">
        <f>IF(AND(NOT(ISBLANK(U154)),Dashboard!F83&gt;0), U154/Dashboard!F83, "")</f>
        <v/>
      </c>
      <c r="W154" s="43"/>
      <c r="X154" s="46" t="str">
        <f>IF(AND(NOT(ISBLANK(W154)),Dashboard!F84&gt;0), W154/Dashboard!F84, "")</f>
        <v/>
      </c>
    </row>
    <row r="155" spans="16:24" x14ac:dyDescent="0.35">
      <c r="P155" s="56"/>
      <c r="Q155" s="43"/>
      <c r="R155" s="46" t="str">
        <f>IF(AND(NOT(ISBLANK(Q155)),Dashboard!F16&gt;0), Q155/Dashboard!F16, "")</f>
        <v/>
      </c>
      <c r="S155" s="43"/>
      <c r="T155" s="46" t="str">
        <f>IF(AND(NOT(ISBLANK(S155)),Dashboard!F82&gt;0), S155/Dashboard!F82, "")</f>
        <v/>
      </c>
      <c r="U155" s="43"/>
      <c r="V155" s="46" t="str">
        <f>IF(AND(NOT(ISBLANK(U155)),Dashboard!F83&gt;0), U155/Dashboard!F83, "")</f>
        <v/>
      </c>
      <c r="W155" s="43"/>
      <c r="X155" s="46" t="str">
        <f>IF(AND(NOT(ISBLANK(W155)),Dashboard!F84&gt;0), W155/Dashboard!F84, "")</f>
        <v/>
      </c>
    </row>
    <row r="156" spans="16:24" x14ac:dyDescent="0.35">
      <c r="P156" s="56"/>
      <c r="Q156" s="43"/>
      <c r="R156" s="46" t="str">
        <f>IF(AND(NOT(ISBLANK(Q156)),Dashboard!F16&gt;0), Q156/Dashboard!F16, "")</f>
        <v/>
      </c>
      <c r="S156" s="43"/>
      <c r="T156" s="46" t="str">
        <f>IF(AND(NOT(ISBLANK(S156)),Dashboard!F82&gt;0), S156/Dashboard!F82, "")</f>
        <v/>
      </c>
      <c r="U156" s="43"/>
      <c r="V156" s="46" t="str">
        <f>IF(AND(NOT(ISBLANK(U156)),Dashboard!F83&gt;0), U156/Dashboard!F83, "")</f>
        <v/>
      </c>
      <c r="W156" s="43"/>
      <c r="X156" s="46" t="str">
        <f>IF(AND(NOT(ISBLANK(W156)),Dashboard!F84&gt;0), W156/Dashboard!F84, "")</f>
        <v/>
      </c>
    </row>
    <row r="157" spans="16:24" x14ac:dyDescent="0.35">
      <c r="P157" s="56"/>
      <c r="Q157" s="43"/>
      <c r="R157" s="46" t="str">
        <f>IF(AND(NOT(ISBLANK(Q157)),Dashboard!F16&gt;0), Q157/Dashboard!F16, "")</f>
        <v/>
      </c>
      <c r="S157" s="43"/>
      <c r="T157" s="46" t="str">
        <f>IF(AND(NOT(ISBLANK(S157)),Dashboard!F82&gt;0), S157/Dashboard!F82, "")</f>
        <v/>
      </c>
      <c r="U157" s="43"/>
      <c r="V157" s="46" t="str">
        <f>IF(AND(NOT(ISBLANK(U157)),Dashboard!F83&gt;0), U157/Dashboard!F83, "")</f>
        <v/>
      </c>
      <c r="W157" s="43"/>
      <c r="X157" s="46" t="str">
        <f>IF(AND(NOT(ISBLANK(W157)),Dashboard!F84&gt;0), W157/Dashboard!F84, "")</f>
        <v/>
      </c>
    </row>
    <row r="158" spans="16:24" x14ac:dyDescent="0.35">
      <c r="P158" s="56"/>
      <c r="Q158" s="43"/>
      <c r="R158" s="46" t="str">
        <f>IF(AND(NOT(ISBLANK(Q158)),Dashboard!F16&gt;0), Q158/Dashboard!F16, "")</f>
        <v/>
      </c>
      <c r="S158" s="43"/>
      <c r="T158" s="46" t="str">
        <f>IF(AND(NOT(ISBLANK(S158)),Dashboard!F82&gt;0), S158/Dashboard!F82, "")</f>
        <v/>
      </c>
      <c r="U158" s="43"/>
      <c r="V158" s="46" t="str">
        <f>IF(AND(NOT(ISBLANK(U158)),Dashboard!F83&gt;0), U158/Dashboard!F83, "")</f>
        <v/>
      </c>
      <c r="W158" s="43"/>
      <c r="X158" s="46" t="str">
        <f>IF(AND(NOT(ISBLANK(W158)),Dashboard!F84&gt;0), W158/Dashboard!F84, "")</f>
        <v/>
      </c>
    </row>
    <row r="159" spans="16:24" x14ac:dyDescent="0.35">
      <c r="P159" s="56"/>
      <c r="Q159" s="43"/>
      <c r="R159" s="46" t="str">
        <f>IF(AND(NOT(ISBLANK(Q159)),Dashboard!F16&gt;0), Q159/Dashboard!F16, "")</f>
        <v/>
      </c>
      <c r="S159" s="43"/>
      <c r="T159" s="46" t="str">
        <f>IF(AND(NOT(ISBLANK(S159)),Dashboard!F82&gt;0), S159/Dashboard!F82, "")</f>
        <v/>
      </c>
      <c r="U159" s="43"/>
      <c r="V159" s="46" t="str">
        <f>IF(AND(NOT(ISBLANK(U159)),Dashboard!F83&gt;0), U159/Dashboard!F83, "")</f>
        <v/>
      </c>
      <c r="W159" s="43"/>
      <c r="X159" s="46" t="str">
        <f>IF(AND(NOT(ISBLANK(W159)),Dashboard!F84&gt;0), W159/Dashboard!F84, "")</f>
        <v/>
      </c>
    </row>
    <row r="160" spans="16:24" x14ac:dyDescent="0.35">
      <c r="P160" s="56"/>
      <c r="Q160" s="43"/>
      <c r="R160" s="46" t="str">
        <f>IF(AND(NOT(ISBLANK(Q160)),Dashboard!F16&gt;0), Q160/Dashboard!F16, "")</f>
        <v/>
      </c>
      <c r="S160" s="43"/>
      <c r="T160" s="46" t="str">
        <f>IF(AND(NOT(ISBLANK(S160)),Dashboard!F82&gt;0), S160/Dashboard!F82, "")</f>
        <v/>
      </c>
      <c r="U160" s="43"/>
      <c r="V160" s="46" t="str">
        <f>IF(AND(NOT(ISBLANK(U160)),Dashboard!F83&gt;0), U160/Dashboard!F83, "")</f>
        <v/>
      </c>
      <c r="W160" s="43"/>
      <c r="X160" s="46" t="str">
        <f>IF(AND(NOT(ISBLANK(W160)),Dashboard!F84&gt;0), W160/Dashboard!F84, "")</f>
        <v/>
      </c>
    </row>
    <row r="161" spans="2:24" x14ac:dyDescent="0.35">
      <c r="P161" s="56"/>
      <c r="Q161" s="43"/>
      <c r="R161" s="46" t="str">
        <f>IF(AND(NOT(ISBLANK(Q161)),Dashboard!F16&gt;0), Q161/Dashboard!F16, "")</f>
        <v/>
      </c>
      <c r="S161" s="43"/>
      <c r="T161" s="46" t="str">
        <f>IF(AND(NOT(ISBLANK(S161)),Dashboard!F82&gt;0), S161/Dashboard!F82, "")</f>
        <v/>
      </c>
      <c r="U161" s="43"/>
      <c r="V161" s="46" t="str">
        <f>IF(AND(NOT(ISBLANK(U161)),Dashboard!F83&gt;0), U161/Dashboard!F83, "")</f>
        <v/>
      </c>
      <c r="W161" s="43"/>
      <c r="X161" s="46" t="str">
        <f>IF(AND(NOT(ISBLANK(W161)),Dashboard!F84&gt;0), W161/Dashboard!F84, "")</f>
        <v/>
      </c>
    </row>
    <row r="162" spans="2:24" x14ac:dyDescent="0.35">
      <c r="P162" s="56"/>
      <c r="Q162" s="43"/>
      <c r="R162" s="46" t="str">
        <f>IF(AND(NOT(ISBLANK(Q162)),Dashboard!F16&gt;0), Q162/Dashboard!F16, "")</f>
        <v/>
      </c>
      <c r="S162" s="43"/>
      <c r="T162" s="46" t="str">
        <f>IF(AND(NOT(ISBLANK(S162)),Dashboard!F82&gt;0), S162/Dashboard!F82, "")</f>
        <v/>
      </c>
      <c r="U162" s="43"/>
      <c r="V162" s="46" t="str">
        <f>IF(AND(NOT(ISBLANK(U162)),Dashboard!F83&gt;0), U162/Dashboard!F83, "")</f>
        <v/>
      </c>
      <c r="W162" s="43"/>
      <c r="X162" s="46" t="str">
        <f>IF(AND(NOT(ISBLANK(W162)),Dashboard!F84&gt;0), W162/Dashboard!F84, "")</f>
        <v/>
      </c>
    </row>
    <row r="163" spans="2:24" x14ac:dyDescent="0.35">
      <c r="P163" s="56"/>
      <c r="Q163" s="43"/>
      <c r="R163" s="46" t="str">
        <f>IF(AND(NOT(ISBLANK(Q163)),Dashboard!F16&gt;0), Q163/Dashboard!F16, "")</f>
        <v/>
      </c>
      <c r="S163" s="43"/>
      <c r="T163" s="46" t="str">
        <f>IF(AND(NOT(ISBLANK(S163)),Dashboard!F82&gt;0), S163/Dashboard!F82, "")</f>
        <v/>
      </c>
      <c r="U163" s="43"/>
      <c r="V163" s="46" t="str">
        <f>IF(AND(NOT(ISBLANK(U163)),Dashboard!F83&gt;0), U163/Dashboard!F83, "")</f>
        <v/>
      </c>
      <c r="W163" s="43"/>
      <c r="X163" s="46" t="str">
        <f>IF(AND(NOT(ISBLANK(W163)),Dashboard!F84&gt;0), W163/Dashboard!F84, "")</f>
        <v/>
      </c>
    </row>
    <row r="164" spans="2:24" x14ac:dyDescent="0.35">
      <c r="P164" s="56"/>
      <c r="Q164" s="43"/>
      <c r="R164" s="46" t="str">
        <f>IF(AND(NOT(ISBLANK(Q164)),Dashboard!F16&gt;0), Q164/Dashboard!F16, "")</f>
        <v/>
      </c>
      <c r="S164" s="43"/>
      <c r="T164" s="46" t="str">
        <f>IF(AND(NOT(ISBLANK(S164)),Dashboard!F82&gt;0), S164/Dashboard!F82, "")</f>
        <v/>
      </c>
      <c r="U164" s="43"/>
      <c r="V164" s="46" t="str">
        <f>IF(AND(NOT(ISBLANK(U164)),Dashboard!F83&gt;0), U164/Dashboard!F83, "")</f>
        <v/>
      </c>
      <c r="W164" s="43"/>
      <c r="X164" s="46" t="str">
        <f>IF(AND(NOT(ISBLANK(W164)),Dashboard!F84&gt;0), W164/Dashboard!F84, "")</f>
        <v/>
      </c>
    </row>
    <row r="165" spans="2:24" x14ac:dyDescent="0.35">
      <c r="P165" s="56"/>
      <c r="Q165" s="43"/>
      <c r="R165" s="46" t="str">
        <f>IF(AND(NOT(ISBLANK(Q165)),Dashboard!F16&gt;0), Q165/Dashboard!F16, "")</f>
        <v/>
      </c>
      <c r="S165" s="43"/>
      <c r="T165" s="46" t="str">
        <f>IF(AND(NOT(ISBLANK(S165)),Dashboard!F82&gt;0), S165/Dashboard!F82, "")</f>
        <v/>
      </c>
      <c r="U165" s="43"/>
      <c r="V165" s="46" t="str">
        <f>IF(AND(NOT(ISBLANK(U165)),Dashboard!F83&gt;0), U165/Dashboard!F83, "")</f>
        <v/>
      </c>
      <c r="W165" s="43"/>
      <c r="X165" s="46" t="str">
        <f>IF(AND(NOT(ISBLANK(W165)),Dashboard!F84&gt;0), W165/Dashboard!F84, "")</f>
        <v/>
      </c>
    </row>
    <row r="166" spans="2:24" x14ac:dyDescent="0.35">
      <c r="P166" s="56"/>
      <c r="Q166" s="43"/>
      <c r="R166" s="46" t="str">
        <f>IF(AND(NOT(ISBLANK(Q166)),Dashboard!F16&gt;0), Q166/Dashboard!F16, "")</f>
        <v/>
      </c>
      <c r="S166" s="43"/>
      <c r="T166" s="46" t="str">
        <f>IF(AND(NOT(ISBLANK(S166)),Dashboard!F82&gt;0), S166/Dashboard!F82, "")</f>
        <v/>
      </c>
      <c r="U166" s="43"/>
      <c r="V166" s="46" t="str">
        <f>IF(AND(NOT(ISBLANK(U166)),Dashboard!F83&gt;0), U166/Dashboard!F83, "")</f>
        <v/>
      </c>
      <c r="W166" s="43"/>
      <c r="X166" s="46" t="str">
        <f>IF(AND(NOT(ISBLANK(W166)),Dashboard!F84&gt;0), W166/Dashboard!F84, "")</f>
        <v/>
      </c>
    </row>
    <row r="167" spans="2:24" x14ac:dyDescent="0.35">
      <c r="P167" s="56"/>
      <c r="Q167" s="43"/>
      <c r="R167" s="46" t="str">
        <f>IF(AND(NOT(ISBLANK(Q167)),Dashboard!F16&gt;0), Q167/Dashboard!F16, "")</f>
        <v/>
      </c>
      <c r="S167" s="43"/>
      <c r="T167" s="46" t="str">
        <f>IF(AND(NOT(ISBLANK(S167)),Dashboard!F82&gt;0), S167/Dashboard!F82, "")</f>
        <v/>
      </c>
      <c r="U167" s="43"/>
      <c r="V167" s="46" t="str">
        <f>IF(AND(NOT(ISBLANK(U167)),Dashboard!F83&gt;0), U167/Dashboard!F83, "")</f>
        <v/>
      </c>
      <c r="W167" s="43"/>
      <c r="X167" s="46" t="str">
        <f>IF(AND(NOT(ISBLANK(W167)),Dashboard!F84&gt;0), W167/Dashboard!F84, "")</f>
        <v/>
      </c>
    </row>
    <row r="168" spans="2:24" x14ac:dyDescent="0.35">
      <c r="P168" s="56"/>
      <c r="Q168" s="43"/>
      <c r="R168" s="46" t="str">
        <f>IF(AND(NOT(ISBLANK(Q168)),Dashboard!F16&gt;0), Q168/Dashboard!F16, "")</f>
        <v/>
      </c>
      <c r="S168" s="43"/>
      <c r="T168" s="46" t="str">
        <f>IF(AND(NOT(ISBLANK(S168)),Dashboard!F82&gt;0), S168/Dashboard!F82, "")</f>
        <v/>
      </c>
      <c r="U168" s="43"/>
      <c r="V168" s="46" t="str">
        <f>IF(AND(NOT(ISBLANK(U168)),Dashboard!F83&gt;0), U168/Dashboard!F83, "")</f>
        <v/>
      </c>
      <c r="W168" s="43"/>
      <c r="X168" s="46" t="str">
        <f>IF(AND(NOT(ISBLANK(W168)),Dashboard!F84&gt;0), W168/Dashboard!F84, "")</f>
        <v/>
      </c>
    </row>
    <row r="173" spans="2:24" ht="21" x14ac:dyDescent="0.5">
      <c r="B173" s="40" t="s">
        <v>260</v>
      </c>
      <c r="P173" s="57" t="s">
        <v>261</v>
      </c>
    </row>
    <row r="175" spans="2:24" ht="45" customHeight="1" x14ac:dyDescent="0.35">
      <c r="B175" s="90" t="s">
        <v>262</v>
      </c>
      <c r="C175" s="83"/>
      <c r="D175" s="83"/>
      <c r="E175" s="83"/>
      <c r="F175" s="83"/>
      <c r="P175" s="90" t="s">
        <v>263</v>
      </c>
      <c r="Q175" s="83"/>
      <c r="R175" s="83"/>
      <c r="S175" s="83"/>
      <c r="T175" s="83"/>
      <c r="U175" s="83"/>
    </row>
    <row r="176" spans="2:24" ht="35" customHeight="1" x14ac:dyDescent="0.35">
      <c r="P176" s="87" t="s">
        <v>264</v>
      </c>
      <c r="Q176" s="87"/>
      <c r="R176" s="87" t="s">
        <v>265</v>
      </c>
      <c r="S176" s="87"/>
      <c r="T176" s="87"/>
    </row>
    <row r="177" spans="16:22" ht="30" customHeight="1" x14ac:dyDescent="0.35">
      <c r="P177" s="91">
        <v>0</v>
      </c>
      <c r="Q177" s="92"/>
      <c r="R177" s="93" t="s">
        <v>266</v>
      </c>
      <c r="S177" s="94"/>
      <c r="T177" s="94"/>
    </row>
    <row r="180" spans="16:22" ht="25" customHeight="1" x14ac:dyDescent="0.35">
      <c r="P180" s="66" t="s">
        <v>249</v>
      </c>
      <c r="Q180" s="66" t="s">
        <v>267</v>
      </c>
      <c r="R180" s="66" t="s">
        <v>268</v>
      </c>
      <c r="S180" s="95" t="s">
        <v>8</v>
      </c>
      <c r="T180" s="95"/>
      <c r="U180" s="95"/>
      <c r="V180" s="83"/>
    </row>
    <row r="181" spans="16:22" ht="20" customHeight="1" x14ac:dyDescent="0.35">
      <c r="P181" s="68"/>
      <c r="Q181" s="69"/>
      <c r="R181" s="70" t="str">
        <f>IF(AND(NOT(ISBLANK(Q181)), Dashboard!$P177&gt;0), Q181/Dashboard!$P177, "")</f>
        <v/>
      </c>
      <c r="S181" s="96"/>
      <c r="T181" s="97"/>
      <c r="U181" s="97"/>
      <c r="V181" s="97"/>
    </row>
    <row r="182" spans="16:22" ht="20" customHeight="1" x14ac:dyDescent="0.35">
      <c r="P182" s="68"/>
      <c r="Q182" s="69"/>
      <c r="R182" s="70" t="str">
        <f>IF(AND(NOT(ISBLANK(Q182)), Dashboard!$P177&gt;0), Q182/Dashboard!$P177, "")</f>
        <v/>
      </c>
      <c r="S182" s="96"/>
      <c r="T182" s="97"/>
      <c r="U182" s="97"/>
      <c r="V182" s="97"/>
    </row>
    <row r="183" spans="16:22" ht="20" customHeight="1" x14ac:dyDescent="0.35">
      <c r="P183" s="68"/>
      <c r="Q183" s="69"/>
      <c r="R183" s="70" t="str">
        <f>IF(AND(NOT(ISBLANK(Q183)), Dashboard!$P177&gt;0), Q183/Dashboard!$P177, "")</f>
        <v/>
      </c>
      <c r="S183" s="96"/>
      <c r="T183" s="97"/>
      <c r="U183" s="97"/>
      <c r="V183" s="97"/>
    </row>
    <row r="184" spans="16:22" ht="20" customHeight="1" x14ac:dyDescent="0.35">
      <c r="P184" s="68"/>
      <c r="Q184" s="69"/>
      <c r="R184" s="70" t="str">
        <f>IF(AND(NOT(ISBLANK(Q184)), Dashboard!$P177&gt;0), Q184/Dashboard!$P177, "")</f>
        <v/>
      </c>
      <c r="S184" s="96"/>
      <c r="T184" s="97"/>
      <c r="U184" s="97"/>
      <c r="V184" s="97"/>
    </row>
    <row r="185" spans="16:22" ht="20" customHeight="1" x14ac:dyDescent="0.35">
      <c r="P185" s="68"/>
      <c r="Q185" s="69"/>
      <c r="R185" s="70" t="str">
        <f>IF(AND(NOT(ISBLANK(Q185)), Dashboard!$P177&gt;0), Q185/Dashboard!$P177, "")</f>
        <v/>
      </c>
      <c r="S185" s="96"/>
      <c r="T185" s="97"/>
      <c r="U185" s="97"/>
      <c r="V185" s="97"/>
    </row>
    <row r="186" spans="16:22" ht="20" customHeight="1" x14ac:dyDescent="0.35">
      <c r="P186" s="68"/>
      <c r="Q186" s="69"/>
      <c r="R186" s="70" t="str">
        <f>IF(AND(NOT(ISBLANK(Q186)), Dashboard!$P177&gt;0), Q186/Dashboard!$P177, "")</f>
        <v/>
      </c>
      <c r="S186" s="96"/>
      <c r="T186" s="97"/>
      <c r="U186" s="97"/>
      <c r="V186" s="97"/>
    </row>
    <row r="187" spans="16:22" ht="20" customHeight="1" x14ac:dyDescent="0.35">
      <c r="P187" s="68"/>
      <c r="Q187" s="69"/>
      <c r="R187" s="70" t="str">
        <f>IF(AND(NOT(ISBLANK(Q187)), Dashboard!$P177&gt;0), Q187/Dashboard!$P177, "")</f>
        <v/>
      </c>
      <c r="S187" s="96"/>
      <c r="T187" s="97"/>
      <c r="U187" s="97"/>
      <c r="V187" s="97"/>
    </row>
    <row r="188" spans="16:22" ht="20" customHeight="1" x14ac:dyDescent="0.35">
      <c r="P188" s="68"/>
      <c r="Q188" s="69"/>
      <c r="R188" s="70" t="str">
        <f>IF(AND(NOT(ISBLANK(Q188)), Dashboard!$P177&gt;0), Q188/Dashboard!$P177, "")</f>
        <v/>
      </c>
      <c r="S188" s="96"/>
      <c r="T188" s="97"/>
      <c r="U188" s="97"/>
      <c r="V188" s="97"/>
    </row>
    <row r="189" spans="16:22" ht="20" customHeight="1" x14ac:dyDescent="0.35">
      <c r="P189" s="68"/>
      <c r="Q189" s="69"/>
      <c r="R189" s="70" t="str">
        <f>IF(AND(NOT(ISBLANK(Q189)), Dashboard!$P177&gt;0), Q189/Dashboard!$P177, "")</f>
        <v/>
      </c>
      <c r="S189" s="96"/>
      <c r="T189" s="97"/>
      <c r="U189" s="97"/>
      <c r="V189" s="97"/>
    </row>
    <row r="190" spans="16:22" ht="20" customHeight="1" x14ac:dyDescent="0.35">
      <c r="P190" s="68"/>
      <c r="Q190" s="69"/>
      <c r="R190" s="70" t="str">
        <f>IF(AND(NOT(ISBLANK(Q190)), Dashboard!$P177&gt;0), Q190/Dashboard!$P177, "")</f>
        <v/>
      </c>
      <c r="S190" s="96"/>
      <c r="T190" s="97"/>
      <c r="U190" s="97"/>
      <c r="V190" s="97"/>
    </row>
    <row r="191" spans="16:22" ht="20" customHeight="1" x14ac:dyDescent="0.35">
      <c r="P191" s="68"/>
      <c r="Q191" s="69"/>
      <c r="R191" s="70" t="str">
        <f>IF(AND(NOT(ISBLANK(Q191)), Dashboard!$P177&gt;0), Q191/Dashboard!$P177, "")</f>
        <v/>
      </c>
      <c r="S191" s="96"/>
      <c r="T191" s="97"/>
      <c r="U191" s="97"/>
      <c r="V191" s="97"/>
    </row>
    <row r="192" spans="16:22" ht="20" customHeight="1" x14ac:dyDescent="0.35">
      <c r="P192" s="68"/>
      <c r="Q192" s="69"/>
      <c r="R192" s="70" t="str">
        <f>IF(AND(NOT(ISBLANK(Q192)), Dashboard!$P177&gt;0), Q192/Dashboard!$P177, "")</f>
        <v/>
      </c>
      <c r="S192" s="96"/>
      <c r="T192" s="97"/>
      <c r="U192" s="97"/>
      <c r="V192" s="97"/>
    </row>
    <row r="193" spans="2:22" ht="20" customHeight="1" x14ac:dyDescent="0.35">
      <c r="P193" s="68"/>
      <c r="Q193" s="69"/>
      <c r="R193" s="70" t="str">
        <f>IF(AND(NOT(ISBLANK(Q193)), Dashboard!$P177&gt;0), Q193/Dashboard!$P177, "")</f>
        <v/>
      </c>
      <c r="S193" s="96"/>
      <c r="T193" s="97"/>
      <c r="U193" s="97"/>
      <c r="V193" s="97"/>
    </row>
    <row r="194" spans="2:22" ht="20" customHeight="1" x14ac:dyDescent="0.35">
      <c r="P194" s="68"/>
      <c r="Q194" s="69"/>
      <c r="R194" s="70" t="str">
        <f>IF(AND(NOT(ISBLANK(Q194)), Dashboard!$P177&gt;0), Q194/Dashboard!$P177, "")</f>
        <v/>
      </c>
      <c r="S194" s="96"/>
      <c r="T194" s="97"/>
      <c r="U194" s="97"/>
      <c r="V194" s="97"/>
    </row>
    <row r="195" spans="2:22" ht="20" customHeight="1" x14ac:dyDescent="0.35">
      <c r="P195" s="68"/>
      <c r="Q195" s="69"/>
      <c r="R195" s="70" t="str">
        <f>IF(AND(NOT(ISBLANK(Q195)), Dashboard!$P177&gt;0), Q195/Dashboard!$P177, "")</f>
        <v/>
      </c>
      <c r="S195" s="96"/>
      <c r="T195" s="97"/>
      <c r="U195" s="97"/>
      <c r="V195" s="97"/>
    </row>
    <row r="196" spans="2:22" ht="20" customHeight="1" x14ac:dyDescent="0.35">
      <c r="P196" s="68"/>
      <c r="Q196" s="69"/>
      <c r="R196" s="70" t="str">
        <f>IF(AND(NOT(ISBLANK(Q196)), Dashboard!$P177&gt;0), Q196/Dashboard!$P177, "")</f>
        <v/>
      </c>
      <c r="S196" s="96"/>
      <c r="T196" s="97"/>
      <c r="U196" s="97"/>
      <c r="V196" s="97"/>
    </row>
    <row r="197" spans="2:22" ht="20" customHeight="1" x14ac:dyDescent="0.35">
      <c r="P197" s="68"/>
      <c r="Q197" s="69"/>
      <c r="R197" s="70" t="str">
        <f>IF(AND(NOT(ISBLANK(Q197)), Dashboard!$P177&gt;0), Q197/Dashboard!$P177, "")</f>
        <v/>
      </c>
      <c r="S197" s="96"/>
      <c r="T197" s="97"/>
      <c r="U197" s="97"/>
      <c r="V197" s="97"/>
    </row>
    <row r="198" spans="2:22" ht="20" customHeight="1" x14ac:dyDescent="0.35">
      <c r="P198" s="68"/>
      <c r="Q198" s="69"/>
      <c r="R198" s="70" t="str">
        <f>IF(AND(NOT(ISBLANK(Q198)), Dashboard!$P177&gt;0), Q198/Dashboard!$P177, "")</f>
        <v/>
      </c>
      <c r="S198" s="96"/>
      <c r="T198" s="97"/>
      <c r="U198" s="97"/>
      <c r="V198" s="97"/>
    </row>
    <row r="199" spans="2:22" ht="20" customHeight="1" x14ac:dyDescent="0.35">
      <c r="P199" s="68"/>
      <c r="Q199" s="69"/>
      <c r="R199" s="70" t="str">
        <f>IF(AND(NOT(ISBLANK(Q199)), Dashboard!$P177&gt;0), Q199/Dashboard!$P177, "")</f>
        <v/>
      </c>
      <c r="S199" s="96"/>
      <c r="T199" s="97"/>
      <c r="U199" s="97"/>
      <c r="V199" s="97"/>
    </row>
    <row r="200" spans="2:22" ht="20" customHeight="1" x14ac:dyDescent="0.35">
      <c r="P200" s="68"/>
      <c r="Q200" s="69"/>
      <c r="R200" s="70" t="str">
        <f>IF(AND(NOT(ISBLANK(Q200)), Dashboard!$P177&gt;0), Q200/Dashboard!$P177, "")</f>
        <v/>
      </c>
      <c r="S200" s="96"/>
      <c r="T200" s="97"/>
      <c r="U200" s="97"/>
      <c r="V200" s="97"/>
    </row>
    <row r="204" spans="2:22" ht="32" customHeight="1" x14ac:dyDescent="0.35">
      <c r="B204" s="81" t="s">
        <v>140</v>
      </c>
      <c r="C204" s="81"/>
      <c r="D204" s="81"/>
      <c r="E204" s="81"/>
      <c r="F204" s="81"/>
      <c r="G204" s="81"/>
      <c r="H204" s="81"/>
      <c r="I204" s="8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0:H125">
    <cfRule type="expression" dxfId="32" priority="4">
      <formula>$G120&gt;=0.8</formula>
    </cfRule>
    <cfRule type="expression" dxfId="31" priority="5">
      <formula>AND($G120&gt;=0.5,$G120&lt;0.8)</formula>
    </cfRule>
    <cfRule type="expression" dxfId="30" priority="6">
      <formula>$G120&lt;0.5</formula>
    </cfRule>
  </conditionalFormatting>
  <conditionalFormatting sqref="K120:K125">
    <cfRule type="cellIs" dxfId="29" priority="7" operator="greaterThan">
      <formula>0</formula>
    </cfRule>
  </conditionalFormatting>
  <conditionalFormatting sqref="L120:L125">
    <cfRule type="cellIs" dxfId="28" priority="8" operator="greaterThan">
      <formula>0</formula>
    </cfRule>
  </conditionalFormatting>
  <conditionalFormatting sqref="M120:M125">
    <cfRule type="cellIs" dxfId="27" priority="9" operator="greaterThan">
      <formula>0</formula>
    </cfRule>
  </conditionalFormatting>
  <conditionalFormatting sqref="N120:N125">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6"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38</v>
      </c>
      <c r="L6" s="1" t="s">
        <v>43</v>
      </c>
      <c r="M6" s="4" t="str">
        <f t="shared" si="0"/>
        <v>Outstanding</v>
      </c>
      <c r="N6" s="13" t="s">
        <v>21</v>
      </c>
    </row>
    <row r="7" spans="1:14" ht="60" customHeight="1" x14ac:dyDescent="0.35">
      <c r="A7" s="11" t="s">
        <v>44</v>
      </c>
      <c r="B7" s="1" t="s">
        <v>45</v>
      </c>
      <c r="C7" s="2" t="s">
        <v>16</v>
      </c>
      <c r="D7" s="3" t="s">
        <v>17</v>
      </c>
      <c r="E7" s="4" t="s">
        <v>18</v>
      </c>
      <c r="F7" s="4" t="s">
        <v>19</v>
      </c>
      <c r="G7" s="4" t="s">
        <v>20</v>
      </c>
      <c r="H7" s="4" t="s">
        <v>21</v>
      </c>
      <c r="I7" s="5" t="s">
        <v>21</v>
      </c>
      <c r="J7" s="1" t="s">
        <v>46</v>
      </c>
      <c r="K7" s="1" t="s">
        <v>47</v>
      </c>
      <c r="L7" s="1" t="s">
        <v>48</v>
      </c>
      <c r="M7" s="4" t="str">
        <f t="shared" si="0"/>
        <v>Outstanding</v>
      </c>
      <c r="N7" s="13" t="s">
        <v>21</v>
      </c>
    </row>
    <row r="8" spans="1:14" ht="60" customHeight="1" x14ac:dyDescent="0.35">
      <c r="A8" s="11" t="s">
        <v>49</v>
      </c>
      <c r="B8" s="1" t="s">
        <v>50</v>
      </c>
      <c r="C8" s="2" t="s">
        <v>16</v>
      </c>
      <c r="D8" s="3" t="s">
        <v>51</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57</v>
      </c>
      <c r="D9" s="3" t="s">
        <v>51</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51</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51</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51</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57</v>
      </c>
      <c r="D13" s="3" t="s">
        <v>51</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57</v>
      </c>
      <c r="D14" s="3" t="s">
        <v>51</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51</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51</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36</v>
      </c>
      <c r="C17" s="2" t="s">
        <v>16</v>
      </c>
      <c r="D17" s="3" t="s">
        <v>51</v>
      </c>
      <c r="E17" s="4" t="s">
        <v>18</v>
      </c>
      <c r="F17" s="4" t="s">
        <v>19</v>
      </c>
      <c r="G17" s="4" t="s">
        <v>20</v>
      </c>
      <c r="H17" s="4" t="s">
        <v>21</v>
      </c>
      <c r="I17" s="5" t="s">
        <v>21</v>
      </c>
      <c r="J17" s="1" t="s">
        <v>37</v>
      </c>
      <c r="K17" s="1" t="s">
        <v>97</v>
      </c>
      <c r="L17" s="1" t="s">
        <v>98</v>
      </c>
      <c r="M17" s="4" t="str">
        <f t="shared" si="0"/>
        <v>Outstanding</v>
      </c>
      <c r="N17" s="13" t="s">
        <v>21</v>
      </c>
    </row>
    <row r="18" spans="1:14" ht="60" customHeight="1" x14ac:dyDescent="0.35">
      <c r="A18" s="11" t="s">
        <v>99</v>
      </c>
      <c r="B18" s="1" t="s">
        <v>41</v>
      </c>
      <c r="C18" s="2" t="s">
        <v>16</v>
      </c>
      <c r="D18" s="3" t="s">
        <v>51</v>
      </c>
      <c r="E18" s="4" t="s">
        <v>18</v>
      </c>
      <c r="F18" s="4" t="s">
        <v>19</v>
      </c>
      <c r="G18" s="4" t="s">
        <v>20</v>
      </c>
      <c r="H18" s="4" t="s">
        <v>21</v>
      </c>
      <c r="I18" s="5" t="s">
        <v>21</v>
      </c>
      <c r="J18" s="1" t="s">
        <v>100</v>
      </c>
      <c r="K18" s="1" t="s">
        <v>97</v>
      </c>
      <c r="L18" s="1" t="s">
        <v>101</v>
      </c>
      <c r="M18" s="4" t="str">
        <f t="shared" si="0"/>
        <v>Outstanding</v>
      </c>
      <c r="N18" s="13" t="s">
        <v>21</v>
      </c>
    </row>
    <row r="19" spans="1:14" ht="60" customHeight="1" x14ac:dyDescent="0.35">
      <c r="A19" s="11" t="s">
        <v>102</v>
      </c>
      <c r="B19" s="1" t="s">
        <v>103</v>
      </c>
      <c r="C19" s="2" t="s">
        <v>16</v>
      </c>
      <c r="D19" s="3" t="s">
        <v>51</v>
      </c>
      <c r="E19" s="4" t="s">
        <v>18</v>
      </c>
      <c r="F19" s="4" t="s">
        <v>19</v>
      </c>
      <c r="G19" s="4" t="s">
        <v>20</v>
      </c>
      <c r="H19" s="4" t="s">
        <v>21</v>
      </c>
      <c r="I19" s="5" t="s">
        <v>21</v>
      </c>
      <c r="J19" s="1" t="s">
        <v>104</v>
      </c>
      <c r="K19" s="1" t="s">
        <v>105</v>
      </c>
      <c r="L19" s="1" t="s">
        <v>106</v>
      </c>
      <c r="M19" s="4" t="str">
        <f t="shared" si="0"/>
        <v>Outstanding</v>
      </c>
      <c r="N19" s="13" t="s">
        <v>21</v>
      </c>
    </row>
    <row r="20" spans="1:14" ht="60" customHeight="1" x14ac:dyDescent="0.35">
      <c r="A20" s="11" t="s">
        <v>107</v>
      </c>
      <c r="B20" s="1" t="s">
        <v>108</v>
      </c>
      <c r="C20" s="2" t="s">
        <v>16</v>
      </c>
      <c r="D20" s="3" t="s">
        <v>51</v>
      </c>
      <c r="E20" s="4" t="s">
        <v>18</v>
      </c>
      <c r="F20" s="4" t="s">
        <v>19</v>
      </c>
      <c r="G20" s="4" t="s">
        <v>20</v>
      </c>
      <c r="H20" s="4" t="s">
        <v>21</v>
      </c>
      <c r="I20" s="5" t="s">
        <v>21</v>
      </c>
      <c r="J20" s="1" t="s">
        <v>109</v>
      </c>
      <c r="K20" s="1" t="s">
        <v>97</v>
      </c>
      <c r="L20" s="1" t="s">
        <v>110</v>
      </c>
      <c r="M20" s="4" t="str">
        <f t="shared" si="0"/>
        <v>Outstanding</v>
      </c>
      <c r="N20" s="13" t="s">
        <v>21</v>
      </c>
    </row>
    <row r="21" spans="1:14" ht="60" customHeight="1" x14ac:dyDescent="0.35">
      <c r="A21" s="11" t="s">
        <v>111</v>
      </c>
      <c r="B21" s="1" t="s">
        <v>112</v>
      </c>
      <c r="C21" s="2" t="s">
        <v>16</v>
      </c>
      <c r="D21" s="3" t="s">
        <v>51</v>
      </c>
      <c r="E21" s="4" t="s">
        <v>18</v>
      </c>
      <c r="F21" s="4" t="s">
        <v>19</v>
      </c>
      <c r="G21" s="4" t="s">
        <v>20</v>
      </c>
      <c r="H21" s="4" t="s">
        <v>21</v>
      </c>
      <c r="I21" s="5" t="s">
        <v>21</v>
      </c>
      <c r="J21" s="1" t="s">
        <v>113</v>
      </c>
      <c r="K21" s="1" t="s">
        <v>114</v>
      </c>
      <c r="L21" s="1" t="s">
        <v>115</v>
      </c>
      <c r="M21" s="4" t="str">
        <f t="shared" si="0"/>
        <v>Outstanding</v>
      </c>
      <c r="N21" s="13" t="s">
        <v>21</v>
      </c>
    </row>
    <row r="22" spans="1:14" ht="60" customHeight="1" x14ac:dyDescent="0.35">
      <c r="A22" s="11" t="s">
        <v>116</v>
      </c>
      <c r="B22" s="1" t="s">
        <v>117</v>
      </c>
      <c r="C22" s="2" t="s">
        <v>16</v>
      </c>
      <c r="D22" s="3" t="s">
        <v>51</v>
      </c>
      <c r="E22" s="4" t="s">
        <v>18</v>
      </c>
      <c r="F22" s="4" t="s">
        <v>19</v>
      </c>
      <c r="G22" s="4" t="s">
        <v>20</v>
      </c>
      <c r="H22" s="4" t="s">
        <v>21</v>
      </c>
      <c r="I22" s="5" t="s">
        <v>21</v>
      </c>
      <c r="J22" s="1" t="s">
        <v>118</v>
      </c>
      <c r="K22" s="1" t="s">
        <v>119</v>
      </c>
      <c r="L22" s="1" t="s">
        <v>120</v>
      </c>
      <c r="M22" s="4" t="str">
        <f t="shared" si="0"/>
        <v>Outstanding</v>
      </c>
      <c r="N22" s="13" t="s">
        <v>21</v>
      </c>
    </row>
    <row r="23" spans="1:14" ht="60" customHeight="1" x14ac:dyDescent="0.35">
      <c r="A23" s="11" t="s">
        <v>121</v>
      </c>
      <c r="B23" s="1" t="s">
        <v>122</v>
      </c>
      <c r="C23" s="2" t="s">
        <v>57</v>
      </c>
      <c r="D23" s="3" t="s">
        <v>51</v>
      </c>
      <c r="E23" s="4" t="s">
        <v>18</v>
      </c>
      <c r="F23" s="4" t="s">
        <v>19</v>
      </c>
      <c r="G23" s="4" t="s">
        <v>20</v>
      </c>
      <c r="H23" s="4" t="s">
        <v>21</v>
      </c>
      <c r="I23" s="5" t="s">
        <v>21</v>
      </c>
      <c r="J23" s="1" t="s">
        <v>123</v>
      </c>
      <c r="K23" s="1" t="s">
        <v>124</v>
      </c>
      <c r="L23" s="1" t="s">
        <v>125</v>
      </c>
      <c r="M23" s="4" t="str">
        <f t="shared" si="0"/>
        <v>Outstanding</v>
      </c>
      <c r="N23" s="13" t="s">
        <v>21</v>
      </c>
    </row>
    <row r="24" spans="1:14" ht="60" customHeight="1" x14ac:dyDescent="0.35">
      <c r="A24" s="11" t="s">
        <v>126</v>
      </c>
      <c r="B24" s="1" t="s">
        <v>127</v>
      </c>
      <c r="C24" s="2" t="s">
        <v>57</v>
      </c>
      <c r="D24" s="3" t="s">
        <v>51</v>
      </c>
      <c r="E24" s="4" t="s">
        <v>18</v>
      </c>
      <c r="F24" s="4" t="s">
        <v>19</v>
      </c>
      <c r="G24" s="4" t="s">
        <v>20</v>
      </c>
      <c r="H24" s="4" t="s">
        <v>21</v>
      </c>
      <c r="I24" s="5" t="s">
        <v>21</v>
      </c>
      <c r="J24" s="1" t="s">
        <v>128</v>
      </c>
      <c r="K24" s="1" t="s">
        <v>129</v>
      </c>
      <c r="L24" s="1" t="s">
        <v>130</v>
      </c>
      <c r="M24" s="4" t="str">
        <f t="shared" si="0"/>
        <v>Outstanding</v>
      </c>
      <c r="N24" s="13" t="s">
        <v>21</v>
      </c>
    </row>
    <row r="25" spans="1:14" ht="60" customHeight="1" x14ac:dyDescent="0.35">
      <c r="A25" s="11" t="s">
        <v>131</v>
      </c>
      <c r="B25" s="1" t="s">
        <v>132</v>
      </c>
      <c r="C25" s="2" t="s">
        <v>57</v>
      </c>
      <c r="D25" s="3" t="s">
        <v>51</v>
      </c>
      <c r="E25" s="4" t="s">
        <v>18</v>
      </c>
      <c r="F25" s="4" t="s">
        <v>19</v>
      </c>
      <c r="G25" s="4" t="s">
        <v>20</v>
      </c>
      <c r="H25" s="4" t="s">
        <v>21</v>
      </c>
      <c r="I25" s="5" t="s">
        <v>21</v>
      </c>
      <c r="J25" s="1" t="s">
        <v>133</v>
      </c>
      <c r="K25" s="1" t="s">
        <v>134</v>
      </c>
      <c r="L25" s="1" t="s">
        <v>135</v>
      </c>
      <c r="M25" s="4" t="str">
        <f t="shared" si="0"/>
        <v>Outstanding</v>
      </c>
      <c r="N25" s="13" t="s">
        <v>21</v>
      </c>
    </row>
    <row r="26" spans="1:14" ht="60" customHeight="1" x14ac:dyDescent="0.35">
      <c r="A26" s="12" t="s">
        <v>136</v>
      </c>
      <c r="B26" s="6" t="s">
        <v>137</v>
      </c>
      <c r="C26" s="7" t="s">
        <v>16</v>
      </c>
      <c r="D26" s="8" t="s">
        <v>51</v>
      </c>
      <c r="E26" s="9" t="s">
        <v>18</v>
      </c>
      <c r="F26" s="9" t="s">
        <v>19</v>
      </c>
      <c r="G26" s="9" t="s">
        <v>20</v>
      </c>
      <c r="H26" s="9" t="s">
        <v>21</v>
      </c>
      <c r="I26" s="10" t="s">
        <v>21</v>
      </c>
      <c r="J26" s="6" t="s">
        <v>138</v>
      </c>
      <c r="K26" s="6" t="s">
        <v>59</v>
      </c>
      <c r="L26" s="6" t="s">
        <v>139</v>
      </c>
      <c r="M26" s="9" t="str">
        <f t="shared" si="0"/>
        <v>Outstanding</v>
      </c>
      <c r="N26" s="14" t="s">
        <v>21</v>
      </c>
    </row>
    <row r="30" spans="1:14" ht="32" customHeight="1" x14ac:dyDescent="0.35">
      <c r="A30" s="81" t="s">
        <v>140</v>
      </c>
      <c r="B30" s="81"/>
      <c r="C30" s="81"/>
      <c r="D30" s="81"/>
    </row>
  </sheetData>
  <mergeCells count="1">
    <mergeCell ref="A30:D30"/>
  </mergeCells>
  <conditionalFormatting sqref="C2:C26">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2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2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2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26" xr:uid="{00000000-0002-0000-0200-000000000000}">
      <formula1>"Must,Should,Could,Won't,Unassigned"</formula1>
    </dataValidation>
    <dataValidation type="list" showErrorMessage="1" errorTitle="Invalid Value" error="Please select a value from the list: Low, Medium, High, Unassessed." sqref="F2:F26" xr:uid="{00000000-0002-0000-0200-000001000000}">
      <formula1>"Low,Medium,High,Unassessed"</formula1>
    </dataValidation>
    <dataValidation type="list" showErrorMessage="1" errorTitle="Invalid Value" error="Please select a value from the list: Phase1, Phase2, Phase3, Phase4, Phase5, Pending." sqref="G2:G2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26" xr:uid="{00000000-0002-0000-0200-000003000000}">
      <formula1>"Implemented,Testing,Failed,Compensated,Risk Accepted,N/A"</formula1>
    </dataValidation>
  </dataValidations>
  <hyperlinks>
    <hyperlink ref="A3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269</v>
      </c>
      <c r="C2" s="98" t="s">
        <v>269</v>
      </c>
      <c r="D2" s="98" t="s">
        <v>269</v>
      </c>
      <c r="E2" s="98" t="s">
        <v>269</v>
      </c>
      <c r="F2" s="98" t="s">
        <v>269</v>
      </c>
      <c r="G2" s="98" t="s">
        <v>269</v>
      </c>
      <c r="H2" s="102" t="s">
        <v>270</v>
      </c>
      <c r="I2" s="102" t="s">
        <v>270</v>
      </c>
      <c r="J2" s="102" t="s">
        <v>270</v>
      </c>
      <c r="K2" s="102" t="s">
        <v>270</v>
      </c>
      <c r="L2" s="102" t="s">
        <v>270</v>
      </c>
      <c r="M2" s="101" t="s">
        <v>271</v>
      </c>
      <c r="N2" s="101" t="s">
        <v>271</v>
      </c>
      <c r="O2" s="103" t="s">
        <v>272</v>
      </c>
      <c r="P2" s="103" t="s">
        <v>272</v>
      </c>
      <c r="Q2" s="99" t="s">
        <v>12</v>
      </c>
      <c r="R2" s="99" t="s">
        <v>12</v>
      </c>
      <c r="S2" s="99" t="s">
        <v>12</v>
      </c>
      <c r="T2" s="100" t="s">
        <v>273</v>
      </c>
    </row>
    <row r="3" spans="2:20" ht="35" customHeight="1" x14ac:dyDescent="0.35">
      <c r="B3" s="71" t="s">
        <v>274</v>
      </c>
      <c r="C3" s="71" t="s">
        <v>275</v>
      </c>
      <c r="D3" s="71" t="s">
        <v>276</v>
      </c>
      <c r="E3" s="71" t="s">
        <v>277</v>
      </c>
      <c r="F3" s="71" t="s">
        <v>278</v>
      </c>
      <c r="G3" s="71" t="s">
        <v>10</v>
      </c>
      <c r="H3" s="72" t="s">
        <v>279</v>
      </c>
      <c r="I3" s="72" t="s">
        <v>280</v>
      </c>
      <c r="J3" s="72" t="s">
        <v>281</v>
      </c>
      <c r="K3" s="72" t="s">
        <v>282</v>
      </c>
      <c r="L3" s="72" t="s">
        <v>213</v>
      </c>
      <c r="M3" s="73" t="s">
        <v>283</v>
      </c>
      <c r="N3" s="73" t="s">
        <v>284</v>
      </c>
      <c r="O3" s="74" t="s">
        <v>285</v>
      </c>
      <c r="P3" s="74" t="s">
        <v>286</v>
      </c>
      <c r="Q3" s="75" t="s">
        <v>12</v>
      </c>
      <c r="R3" s="75" t="s">
        <v>287</v>
      </c>
      <c r="S3" s="75" t="s">
        <v>288</v>
      </c>
      <c r="T3" s="76" t="s">
        <v>289</v>
      </c>
    </row>
    <row r="4" spans="2:20" ht="60" customHeight="1" x14ac:dyDescent="0.35">
      <c r="B4" s="77" t="s">
        <v>290</v>
      </c>
      <c r="C4" s="77" t="s">
        <v>291</v>
      </c>
      <c r="D4" s="77" t="s">
        <v>292</v>
      </c>
      <c r="E4" s="77" t="s">
        <v>293</v>
      </c>
      <c r="F4" s="77" t="s">
        <v>294</v>
      </c>
      <c r="G4" s="77" t="s">
        <v>295</v>
      </c>
      <c r="H4" s="77" t="s">
        <v>296</v>
      </c>
      <c r="I4" s="77" t="s">
        <v>297</v>
      </c>
      <c r="J4" s="77" t="s">
        <v>298</v>
      </c>
      <c r="K4" s="77" t="s">
        <v>299</v>
      </c>
      <c r="L4" s="77" t="s">
        <v>300</v>
      </c>
      <c r="M4" s="77" t="s">
        <v>301</v>
      </c>
      <c r="N4" s="77" t="s">
        <v>302</v>
      </c>
      <c r="O4" s="77" t="s">
        <v>303</v>
      </c>
      <c r="P4" s="77" t="s">
        <v>304</v>
      </c>
      <c r="Q4" s="77" t="s">
        <v>305</v>
      </c>
      <c r="R4" s="77" t="s">
        <v>306</v>
      </c>
      <c r="S4" s="77" t="s">
        <v>307</v>
      </c>
      <c r="T4" s="77" t="s">
        <v>308</v>
      </c>
    </row>
    <row r="5" spans="2:20" ht="60" customHeight="1" x14ac:dyDescent="0.35">
      <c r="B5" s="39" t="s">
        <v>309</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310</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311</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312</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313</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314</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315</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316</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317</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318</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319</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320</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321</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322</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323</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324</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325</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326</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327</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328</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329</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330</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331</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332</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333</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334</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335</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336</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337</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338</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339</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340</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341</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342</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343</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344</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345</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346</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347</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348</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349</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350</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351</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352</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353</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354</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355</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356</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357</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358</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140</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HPE Alletra Storage ArcusOS Security Technical Implementation Guide - SHGIR</dc:title>
  <dc:subject>Generated on: 2026-06-08 14:12:09</dc:subject>
  <dc:creator>Anicet Fopa Tchoffo</dc:creator>
  <cp:keywords>Baseline;Hardening;DISA;STIG</cp:keywords>
  <dc:description>Baseline Developed By: HPE and Defense Information Systems Agency (DISA) for the US DoD</dc:description>
  <cp:lastModifiedBy>Anicet Fopa Tchoffo</cp:lastModifiedBy>
  <dcterms:modified xsi:type="dcterms:W3CDTF">2026-06-08T13:12:15Z</dcterms:modified>
  <cp:category>DISA-STIG</cp:category>
  <cp:contentStatus>Draft</cp:contentStatus>
</cp:coreProperties>
</file>