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4A924583ACF1160352F413A2C991A1E2AFBE211C" xr6:coauthVersionLast="47" xr6:coauthVersionMax="47" xr10:uidLastSave="{B9DA62FA-E4E4-4118-A536-F321BAE8581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F123" i="3" s="1"/>
  <c r="M3" i="1"/>
  <c r="M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F84" i="3"/>
  <c r="E92" i="3" s="1"/>
  <c r="E84" i="3"/>
  <c r="D84" i="3"/>
  <c r="C84" i="3"/>
  <c r="F83" i="3"/>
  <c r="E91" i="3" s="1"/>
  <c r="E83" i="3"/>
  <c r="D83" i="3"/>
  <c r="C83" i="3"/>
  <c r="E82" i="3"/>
  <c r="D82" i="3"/>
  <c r="C82" i="3"/>
  <c r="W134" i="3" s="1"/>
  <c r="F81" i="3"/>
  <c r="V165" i="3" s="1"/>
  <c r="E81" i="3"/>
  <c r="D81" i="3"/>
  <c r="C81" i="3"/>
  <c r="U134" i="3" s="1"/>
  <c r="E80" i="3"/>
  <c r="D80" i="3"/>
  <c r="C80" i="3"/>
  <c r="S134" i="3" s="1"/>
  <c r="E67" i="3"/>
  <c r="D67" i="3"/>
  <c r="F67" i="3" s="1"/>
  <c r="C67" i="3"/>
  <c r="E49" i="3"/>
  <c r="F49" i="3" s="1"/>
  <c r="D49" i="3"/>
  <c r="C49" i="3"/>
  <c r="E48" i="3"/>
  <c r="D48" i="3"/>
  <c r="C48" i="3"/>
  <c r="F48" i="3" s="1"/>
  <c r="E47" i="3"/>
  <c r="D47" i="3"/>
  <c r="C47" i="3"/>
  <c r="F47" i="3" s="1"/>
  <c r="E46" i="3"/>
  <c r="D46" i="3"/>
  <c r="C46" i="3"/>
  <c r="F46" i="3" s="1"/>
  <c r="E45" i="3"/>
  <c r="D45" i="3"/>
  <c r="C45" i="3"/>
  <c r="F45" i="3" s="1"/>
  <c r="E44" i="3"/>
  <c r="D44" i="3"/>
  <c r="C44" i="3"/>
  <c r="F44" i="3" s="1"/>
  <c r="E30" i="3"/>
  <c r="D30" i="3"/>
  <c r="C30" i="3"/>
  <c r="F30" i="3" s="1"/>
  <c r="E29" i="3"/>
  <c r="F29" i="3" s="1"/>
  <c r="D29" i="3"/>
  <c r="C29" i="3"/>
  <c r="E16" i="3"/>
  <c r="F16" i="3" s="1"/>
  <c r="D16" i="3"/>
  <c r="C16" i="3"/>
  <c r="Q134" i="3" s="1"/>
  <c r="C9" i="3"/>
  <c r="D9" i="3" s="1"/>
  <c r="D8" i="3"/>
  <c r="C8" i="3"/>
  <c r="E20" i="3" l="1"/>
  <c r="R166" i="3"/>
  <c r="R161" i="3"/>
  <c r="R156" i="3"/>
  <c r="R151" i="3"/>
  <c r="R146" i="3"/>
  <c r="R141" i="3"/>
  <c r="R136" i="3"/>
  <c r="C20" i="3"/>
  <c r="R165" i="3"/>
  <c r="R160" i="3"/>
  <c r="R155" i="3"/>
  <c r="R150" i="3"/>
  <c r="R145" i="3"/>
  <c r="R140" i="3"/>
  <c r="R164" i="3"/>
  <c r="R159" i="3"/>
  <c r="R154" i="3"/>
  <c r="R149" i="3"/>
  <c r="R144" i="3"/>
  <c r="R139" i="3"/>
  <c r="R163" i="3"/>
  <c r="R158" i="3"/>
  <c r="R153" i="3"/>
  <c r="R148" i="3"/>
  <c r="R143" i="3"/>
  <c r="R138" i="3"/>
  <c r="R162" i="3"/>
  <c r="R157" i="3"/>
  <c r="R152" i="3"/>
  <c r="R147" i="3"/>
  <c r="R142" i="3"/>
  <c r="R137" i="3"/>
  <c r="D20" i="3"/>
  <c r="E58" i="3"/>
  <c r="D58" i="3"/>
  <c r="C58" i="3"/>
  <c r="E57" i="3"/>
  <c r="C57" i="3"/>
  <c r="D57" i="3"/>
  <c r="E108" i="3"/>
  <c r="D108" i="3"/>
  <c r="C108" i="3"/>
  <c r="E35" i="3"/>
  <c r="C35" i="3"/>
  <c r="D35" i="3"/>
  <c r="E34" i="3"/>
  <c r="D34" i="3"/>
  <c r="C34" i="3"/>
  <c r="E109" i="3"/>
  <c r="D109" i="3"/>
  <c r="C109" i="3"/>
  <c r="E55" i="3"/>
  <c r="D55" i="3"/>
  <c r="C55" i="3"/>
  <c r="E110" i="3"/>
  <c r="D110" i="3"/>
  <c r="C110" i="3"/>
  <c r="G123" i="3"/>
  <c r="E111" i="3"/>
  <c r="D111" i="3"/>
  <c r="C111" i="3"/>
  <c r="E71" i="3"/>
  <c r="D71" i="3"/>
  <c r="C71" i="3"/>
  <c r="E53" i="3"/>
  <c r="D53" i="3"/>
  <c r="C53" i="3"/>
  <c r="E54" i="3"/>
  <c r="D54" i="3"/>
  <c r="C54" i="3"/>
  <c r="E56" i="3"/>
  <c r="D56" i="3"/>
  <c r="C56" i="3"/>
  <c r="V136" i="3"/>
  <c r="V141" i="3"/>
  <c r="V146" i="3"/>
  <c r="V151" i="3"/>
  <c r="V156" i="3"/>
  <c r="V161" i="3"/>
  <c r="V166" i="3"/>
  <c r="V137" i="3"/>
  <c r="V142" i="3"/>
  <c r="V147" i="3"/>
  <c r="V152" i="3"/>
  <c r="V157" i="3"/>
  <c r="V162" i="3"/>
  <c r="F80" i="3"/>
  <c r="C89" i="3"/>
  <c r="D89" i="3"/>
  <c r="E89" i="3"/>
  <c r="V138" i="3"/>
  <c r="V143" i="3"/>
  <c r="V148" i="3"/>
  <c r="V153" i="3"/>
  <c r="V158" i="3"/>
  <c r="V163" i="3"/>
  <c r="C7" i="3"/>
  <c r="D7" i="3" s="1"/>
  <c r="C91" i="3"/>
  <c r="V139" i="3"/>
  <c r="V144" i="3"/>
  <c r="V149" i="3"/>
  <c r="V154" i="3"/>
  <c r="V159" i="3"/>
  <c r="V164" i="3"/>
  <c r="D91" i="3"/>
  <c r="F82" i="3"/>
  <c r="C92" i="3"/>
  <c r="D92" i="3"/>
  <c r="V140" i="3"/>
  <c r="V145" i="3"/>
  <c r="V150" i="3"/>
  <c r="V155" i="3"/>
  <c r="V160" i="3"/>
  <c r="X165" i="3" l="1"/>
  <c r="X160" i="3"/>
  <c r="X155" i="3"/>
  <c r="X150" i="3"/>
  <c r="X145" i="3"/>
  <c r="X140" i="3"/>
  <c r="X164" i="3"/>
  <c r="X159" i="3"/>
  <c r="X154" i="3"/>
  <c r="X149" i="3"/>
  <c r="X144" i="3"/>
  <c r="X139" i="3"/>
  <c r="D90" i="3"/>
  <c r="E90" i="3"/>
  <c r="X163" i="3"/>
  <c r="X158" i="3"/>
  <c r="X153" i="3"/>
  <c r="X148" i="3"/>
  <c r="X143" i="3"/>
  <c r="X138" i="3"/>
  <c r="C90" i="3"/>
  <c r="X162" i="3"/>
  <c r="X157" i="3"/>
  <c r="X152" i="3"/>
  <c r="X147" i="3"/>
  <c r="X142" i="3"/>
  <c r="X137" i="3"/>
  <c r="X166" i="3"/>
  <c r="X161" i="3"/>
  <c r="X156" i="3"/>
  <c r="X151" i="3"/>
  <c r="X146" i="3"/>
  <c r="X141" i="3"/>
  <c r="X136" i="3"/>
  <c r="T166" i="3"/>
  <c r="T161" i="3"/>
  <c r="T156" i="3"/>
  <c r="T151" i="3"/>
  <c r="T146" i="3"/>
  <c r="T141" i="3"/>
  <c r="T136" i="3"/>
  <c r="T165" i="3"/>
  <c r="T160" i="3"/>
  <c r="T155" i="3"/>
  <c r="T150" i="3"/>
  <c r="T145" i="3"/>
  <c r="T140" i="3"/>
  <c r="T164" i="3"/>
  <c r="T159" i="3"/>
  <c r="T154" i="3"/>
  <c r="T149" i="3"/>
  <c r="T144" i="3"/>
  <c r="T139" i="3"/>
  <c r="T163" i="3"/>
  <c r="T158" i="3"/>
  <c r="T153" i="3"/>
  <c r="T148" i="3"/>
  <c r="T143" i="3"/>
  <c r="T138" i="3"/>
  <c r="E88" i="3"/>
  <c r="D88" i="3"/>
  <c r="T162" i="3"/>
  <c r="T157" i="3"/>
  <c r="T152" i="3"/>
  <c r="T147" i="3"/>
  <c r="T142" i="3"/>
  <c r="T137" i="3"/>
  <c r="C8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Google Android 14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K9" authorId="0" shapeId="0" xr:uid="{00000000-0006-0000-0400-000004000000}">
      <text>
        <r>
          <rPr>
            <sz val="11"/>
            <rFont val="Calibri"/>
          </rPr>
          <t>The Google Android 14 work profile must be configured to enforce the system application disable list (work profile only).</t>
        </r>
      </text>
    </comment>
    <comment ref="L9" authorId="0" shapeId="0" xr:uid="{00000000-0006-0000-0400-000002000000}">
      <text>
        <r>
          <rPr>
            <sz val="11"/>
            <rFont val="Calibri"/>
          </rPr>
          <t>Google Android 14 must be provisioned as a BYOAD device (Android work profile for employee-owned devices [BYOD]).</t>
        </r>
      </text>
    </comment>
    <comment ref="M9" authorId="0" shapeId="0" xr:uid="{00000000-0006-0000-0400-000003000000}">
      <text>
        <r>
          <rPr>
            <sz val="11"/>
            <rFont val="Calibri"/>
          </rPr>
          <t>Android 14 devices must be configured to disable the use of third-party keyboards (work profile only).</t>
        </r>
      </text>
    </comment>
    <comment ref="J11" authorId="0" shapeId="0" xr:uid="{00000000-0006-0000-0400-000005000000}">
      <text>
        <r>
          <rPr>
            <sz val="11"/>
            <rFont val="Calibri"/>
          </rPr>
          <t>Google Android 14 must be configured to disable exceptions to the access control policy that prevent [selection: application processes, groups of application processes] from accessing [selection: all, private] data stored by other [selection: application processes, groups of application processes].</t>
        </r>
      </text>
    </comment>
    <comment ref="J13" authorId="0" shapeId="0" xr:uid="{00000000-0006-0000-0400-000006000000}">
      <text>
        <r>
          <rPr>
            <sz val="11"/>
            <rFont val="Calibri"/>
          </rPr>
          <t>Google Android 14 must be configured to enforce an application installation policy by specifying one or more authorized application repositories.</t>
        </r>
      </text>
    </comment>
    <comment ref="K13" authorId="0" shapeId="0" xr:uid="{00000000-0006-0000-0400-000008000000}">
      <text>
        <r>
          <rPr>
            <sz val="11"/>
            <rFont val="Calibri"/>
          </rPr>
          <t>Google Android 14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L13" authorId="0" shapeId="0" xr:uid="{00000000-0006-0000-0400-000009000000}">
      <text>
        <r>
          <rPr>
            <sz val="11"/>
            <rFont val="Calibri"/>
          </rPr>
          <t>The Google Android 14 work profile must be configured to prevent users from adding personal email accounts to the work email app.</t>
        </r>
      </text>
    </comment>
    <comment ref="M13" authorId="0" shapeId="0" xr:uid="{00000000-0006-0000-0400-00000A000000}">
      <text>
        <r>
          <rPr>
            <sz val="11"/>
            <rFont val="Calibri"/>
          </rPr>
          <t>The Google Android 14 work profile must be configured to disable automatic completion of workspace internet browser text input.</t>
        </r>
      </text>
    </comment>
    <comment ref="N13" authorId="0" shapeId="0" xr:uid="{00000000-0006-0000-0400-000007000000}">
      <text>
        <r>
          <rPr>
            <sz val="11"/>
            <rFont val="Calibri"/>
          </rPr>
          <t>The Google Android 14 work profile must be configured to disable the autofill services.</t>
        </r>
      </text>
    </comment>
    <comment ref="J14" authorId="0" shapeId="0" xr:uid="{00000000-0006-0000-0400-00000B000000}">
      <text>
        <r>
          <rPr>
            <sz val="11"/>
            <rFont val="Calibri"/>
          </rPr>
          <t>Google Android 14 must be configured to enforce an application installation policy by specifying one or more authorized application repositories.</t>
        </r>
      </text>
    </comment>
    <comment ref="K14" authorId="0" shapeId="0" xr:uid="{00000000-0006-0000-0400-00000C000000}">
      <text>
        <r>
          <rPr>
            <sz val="11"/>
            <rFont val="Calibri"/>
          </rPr>
          <t>Google Android 14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L14" authorId="0" shapeId="0" xr:uid="{00000000-0006-0000-0400-00000D000000}">
      <text>
        <r>
          <rPr>
            <sz val="11"/>
            <rFont val="Calibri"/>
          </rPr>
          <t>The Google Android 14 work profile must be configured to prevent users from adding personal email accounts to the work email app.</t>
        </r>
      </text>
    </comment>
    <comment ref="J22" authorId="0" shapeId="0" xr:uid="{00000000-0006-0000-0400-00000E000000}">
      <text>
        <r>
          <rPr>
            <sz val="11"/>
            <rFont val="Calibri"/>
          </rPr>
          <t>Google Android 14 allowlist must be configured to not include applications with the following characteristics (work profile only):
1. Back up mobile device (MD) data to non-DOD cloud servers (including user and application access to cloud backup services);
2. Transmit MD diagnostic data to non-DOD servers;
3. Voice assistant application if available when MD is locked;
4. Voice dialing application if available when MD is locked;
5. Allows synchronization of data or applications between devices associated with user; and
6. Allows unencrypted (or encrypted but not FIPS 140-3 validated) data sharing with other MDs or printers.
7. Apps which backup their own data to a remote system.</t>
        </r>
      </text>
    </comment>
    <comment ref="J26" authorId="0" shapeId="0" xr:uid="{00000000-0006-0000-0400-00000F000000}">
      <text>
        <r>
          <rPr>
            <sz val="11"/>
            <rFont val="Calibri"/>
          </rPr>
          <t>Google Android 14 must have the DOD root and intermediate PKI certificates installed (work profile only).</t>
        </r>
      </text>
    </comment>
    <comment ref="K26" authorId="0" shapeId="0" xr:uid="{00000000-0006-0000-0400-000010000000}">
      <text>
        <r>
          <rPr>
            <sz val="11"/>
            <rFont val="Calibri"/>
          </rPr>
          <t>The Google Android 14 must allow only the administrator (EMM) to install/remove DOD root and intermediate PKI certificates (work profile).</t>
        </r>
      </text>
    </comment>
    <comment ref="J27" authorId="0" shapeId="0" xr:uid="{00000000-0006-0000-0400-000011000000}">
      <text>
        <r>
          <rPr>
            <sz val="11"/>
            <rFont val="Calibri"/>
          </rPr>
          <t>Google Android 14 allowlist must be configured to not include applications with the following characteristics (work profile only):
1. Back up mobile device (MD) data to non-DOD cloud servers (including user and application access to cloud backup services);
2. Transmit MD diagnostic data to non-DOD servers;
3. Voice assistant application if available when MD is locked;
4. Voice dialing application if available when MD is locked;
5. Allows synchronization of data or applications between devices associated with user; and
6. Allows unencrypted (or encrypted but not FIPS 140-3 validated) data sharing with other MDs or printers.
7. Apps which backup their own data to a remote system.</t>
        </r>
      </text>
    </comment>
    <comment ref="J32" authorId="0" shapeId="0" xr:uid="{00000000-0006-0000-0400-000012000000}">
      <text>
        <r>
          <rPr>
            <sz val="11"/>
            <rFont val="Calibri"/>
          </rPr>
          <t>The EMM system supporting the Google Android 14 BYOAD must be configured for autonomous monitoring, compliance, and validation to ensure security/configuration settings of mobile devices do not deviate from the approved configuration baseline.</t>
        </r>
      </text>
    </comment>
    <comment ref="K32" authorId="0" shapeId="0" xr:uid="{00000000-0006-0000-0400-000013000000}">
      <text>
        <r>
          <rPr>
            <sz val="11"/>
            <rFont val="Calibri"/>
          </rPr>
          <t>The EMM system supporting the Google Android 14 BYOAD must be configured to initiate autonomous monitoring, compliance, and validation prior to granting the Google Android 14 BYOAD access to DOD information and IT resources.</t>
        </r>
      </text>
    </comment>
    <comment ref="L32" authorId="0" shapeId="0" xr:uid="{00000000-0006-0000-0400-000014000000}">
      <text>
        <r>
          <rPr>
            <sz val="11"/>
            <rFont val="Calibri"/>
          </rPr>
          <t>The EMM detection/monitoring system must use continuous monitoring of enrolled Google Android 14 BYOAD.</t>
        </r>
      </text>
    </comment>
    <comment ref="M32" authorId="0" shapeId="0" xr:uid="{00000000-0006-0000-0400-000015000000}">
      <text>
        <r>
          <rPr>
            <sz val="11"/>
            <rFont val="Calibri"/>
          </rPr>
          <t>The EMM system supporting the Google Android 14 BYOAD must be NIAP validated (included on the NIAP list of compliant products or products in evaluation) unless the DOD CIO has granted an Approved Exception to Policy (E2P).</t>
        </r>
      </text>
    </comment>
    <comment ref="N32" authorId="0" shapeId="0" xr:uid="{00000000-0006-0000-0400-000016000000}">
      <text>
        <r>
          <rPr>
            <sz val="11"/>
            <rFont val="Calibri"/>
          </rPr>
          <t>The DOD Mobile Service Provider must not allow Google Android 14 BYOADs in facilities where personally owned mobile devices are prohibited.</t>
        </r>
      </text>
    </comment>
    <comment ref="J33" authorId="0" shapeId="0" xr:uid="{00000000-0006-0000-0400-000017000000}">
      <text>
        <r>
          <rPr>
            <sz val="11"/>
            <rFont val="Calibri"/>
          </rPr>
          <t>The EMM system supporting the Google Android 14 BYOAD must be configured for autonomous monitoring, compliance, and validation to ensure security/configuration settings of mobile devices do not deviate from the approved configuration baseline.</t>
        </r>
      </text>
    </comment>
    <comment ref="K33" authorId="0" shapeId="0" xr:uid="{00000000-0006-0000-0400-000018000000}">
      <text>
        <r>
          <rPr>
            <sz val="11"/>
            <rFont val="Calibri"/>
          </rPr>
          <t>The EMM system supporting the Google Android 14 BYOAD must be configured to initiate autonomous monitoring, compliance, and validation prior to granting the Google Android 14 BYOAD access to DOD information and IT resources.</t>
        </r>
      </text>
    </comment>
    <comment ref="L33" authorId="0" shapeId="0" xr:uid="{00000000-0006-0000-0400-000019000000}">
      <text>
        <r>
          <rPr>
            <sz val="11"/>
            <rFont val="Calibri"/>
          </rPr>
          <t>The EMM detection/monitoring system must use continuous monitoring of enrolled Google Android 14 BYOAD.</t>
        </r>
      </text>
    </comment>
    <comment ref="M33" authorId="0" shapeId="0" xr:uid="{00000000-0006-0000-0400-00001A000000}">
      <text>
        <r>
          <rPr>
            <sz val="11"/>
            <rFont val="Calibri"/>
          </rPr>
          <t>The EMM system supporting the Google Android 14 BYOAD must be NIAP validated (included on the NIAP list of compliant products or products in evaluation) unless the DOD CIO has granted an Approved Exception to Policy (E2P).</t>
        </r>
      </text>
    </comment>
    <comment ref="N33" authorId="0" shapeId="0" xr:uid="{00000000-0006-0000-0400-00001B000000}">
      <text>
        <r>
          <rPr>
            <sz val="11"/>
            <rFont val="Calibri"/>
          </rPr>
          <t>The DOD Mobile Service Provider must not allow Google Android 14 BYOADs in facilities where personally owned mobile devices are prohibited.</t>
        </r>
      </text>
    </comment>
    <comment ref="J34" authorId="0" shapeId="0" xr:uid="{00000000-0006-0000-0400-00001C000000}">
      <text>
        <r>
          <rPr>
            <sz val="11"/>
            <rFont val="Calibri"/>
          </rPr>
          <t>Google Android 14 must be configured to lock the display after 15 minutes (or less) of inactivity.</t>
        </r>
      </text>
    </comment>
    <comment ref="J37" authorId="0" shapeId="0" xr:uid="{00000000-0006-0000-0400-00001D000000}">
      <text>
        <r>
          <rPr>
            <sz val="11"/>
            <rFont val="Calibri"/>
          </rPr>
          <t>Google Android 14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K37" authorId="0" shapeId="0" xr:uid="{00000000-0006-0000-0400-00001E000000}">
      <text>
        <r>
          <rPr>
            <sz val="11"/>
            <rFont val="Calibri"/>
          </rPr>
          <t>The Google Android 14 work profile must be configured to enforce the system application disable list (work profile only).</t>
        </r>
      </text>
    </comment>
    <comment ref="L37" authorId="0" shapeId="0" xr:uid="{00000000-0006-0000-0400-00001F000000}">
      <text>
        <r>
          <rPr>
            <sz val="11"/>
            <rFont val="Calibri"/>
          </rPr>
          <t>Google Android 14 must be provisioned as a BYOAD device (Android work profile for employee-owned devices [BYOD]).</t>
        </r>
      </text>
    </comment>
    <comment ref="M37" authorId="0" shapeId="0" xr:uid="{00000000-0006-0000-0400-000020000000}">
      <text>
        <r>
          <rPr>
            <sz val="11"/>
            <rFont val="Calibri"/>
          </rPr>
          <t>Android 14 devices must be configured to disable the use of third-party keyboards (work profile only).</t>
        </r>
      </text>
    </comment>
    <comment ref="J38" authorId="0" shapeId="0" xr:uid="{00000000-0006-0000-0400-000021000000}">
      <text>
        <r>
          <rPr>
            <sz val="11"/>
            <rFont val="Calibri"/>
          </rPr>
          <t>Google Android 14 must be configured to enforce a minimum password length of six characters and not allow passwords that include more than four repeating or sequential characters.</t>
        </r>
      </text>
    </comment>
    <comment ref="K38" authorId="0" shapeId="0" xr:uid="{00000000-0006-0000-0400-000022000000}">
      <text>
        <r>
          <rPr>
            <sz val="11"/>
            <rFont val="Calibri"/>
          </rPr>
          <t>Google Android 14 must be configured to display the DOD advisory warning message at startup or each time the user unlocks the Work Profile.</t>
        </r>
      </text>
    </comment>
    <comment ref="J39" authorId="0" shapeId="0" xr:uid="{00000000-0006-0000-0400-000023000000}">
      <text>
        <r>
          <rPr>
            <sz val="11"/>
            <rFont val="Calibri"/>
          </rPr>
          <t>The Google Android 14 BYOAD must be configured to disable device cameras and/or microphones when brought into DOD facilities where mobile phone cameras and/or microphones are prohibited.</t>
        </r>
      </text>
    </comment>
    <comment ref="K39" authorId="0" shapeId="0" xr:uid="{00000000-0006-0000-0400-000024000000}">
      <text>
        <r>
          <rPr>
            <sz val="11"/>
            <rFont val="Calibri"/>
          </rPr>
          <t>Google Android 14 must be configured to disable trust agents.</t>
        </r>
      </text>
    </comment>
    <comment ref="L39" authorId="0" shapeId="0" xr:uid="{00000000-0006-0000-0400-000025000000}">
      <text>
        <r>
          <rPr>
            <sz val="11"/>
            <rFont val="Calibri"/>
          </rPr>
          <t>Google Android 14 must be configured to disable exceptions to the access control policy that prevent [selection: application processes, groups of application processes] from accessing [selection: all, private] data stored by other [selection: application processes, groups of application processes].</t>
        </r>
      </text>
    </comment>
    <comment ref="J41" authorId="0" shapeId="0" xr:uid="{00000000-0006-0000-0400-000026000000}">
      <text>
        <r>
          <rPr>
            <sz val="11"/>
            <rFont val="Calibri"/>
          </rPr>
          <t>The Google Android 14 BYOAD must be configured to either disable access to DOD data and IT systems and user accounts or wipe the work profile if the EMM system detects that native security controls are disabled.</t>
        </r>
      </text>
    </comment>
    <comment ref="K41" authorId="0" shapeId="0" xr:uid="{00000000-0006-0000-0400-000027000000}">
      <text>
        <r>
          <rPr>
            <sz val="11"/>
            <rFont val="Calibri"/>
          </rPr>
          <t>The Google Android 14 BYOAD must be configured to either disable access to DOD data and IT systems and user accounts or wipe the work profile if the EMM system detects the Google Android 14 BYOAD device has known malicious, blocked, or prohibited applications, or configured to access nonapproved third-party applications stores in the work profile.</t>
        </r>
      </text>
    </comment>
    <comment ref="L41" authorId="0" shapeId="0" xr:uid="{00000000-0006-0000-0400-000028000000}">
      <text>
        <r>
          <rPr>
            <sz val="11"/>
            <rFont val="Calibri"/>
          </rPr>
          <t>Google Android 14 must be configured to lock the display after 15 minutes (or less) of inactivity.</t>
        </r>
      </text>
    </comment>
    <comment ref="M41" authorId="0" shapeId="0" xr:uid="{00000000-0006-0000-0400-000029000000}">
      <text>
        <r>
          <rPr>
            <sz val="11"/>
            <rFont val="Calibri"/>
          </rPr>
          <t>Google Android 14 must be configured to not allow more than 10 consecutive failed authentication attempts.</t>
        </r>
      </text>
    </comment>
    <comment ref="J46" authorId="0" shapeId="0" xr:uid="{00000000-0006-0000-0400-00002A000000}">
      <text>
        <r>
          <rPr>
            <sz val="11"/>
            <rFont val="Calibri"/>
          </rPr>
          <t>The Google Android 14 BYOAD must be configured to either disable access to DOD data and IT systems and user accounts or wipe the work profile if the EMM system detects that native security controls are disabled.</t>
        </r>
      </text>
    </comment>
    <comment ref="K46" authorId="0" shapeId="0" xr:uid="{00000000-0006-0000-0400-00002B000000}">
      <text>
        <r>
          <rPr>
            <sz val="11"/>
            <rFont val="Calibri"/>
          </rPr>
          <t>The Google Android 14 BYOAD must be configured to either disable access to DOD data and IT systems and user accounts or wipe the work profile if the EMM system detects the Google Android 14 BYOAD device has known malicious, blocked, or prohibited applications, or configured to access nonapproved third-party applications stores in the work profile.</t>
        </r>
      </text>
    </comment>
    <comment ref="L46" authorId="0" shapeId="0" xr:uid="{00000000-0006-0000-0400-00002C000000}">
      <text>
        <r>
          <rPr>
            <sz val="11"/>
            <rFont val="Calibri"/>
          </rPr>
          <t>Google Android 14 must be configured to enforce a minimum password length of six characters and not allow passwords that include more than four repeating or sequential characters.</t>
        </r>
      </text>
    </comment>
    <comment ref="M46" authorId="0" shapeId="0" xr:uid="{00000000-0006-0000-0400-00002D000000}">
      <text>
        <r>
          <rPr>
            <sz val="11"/>
            <rFont val="Calibri"/>
          </rPr>
          <t>Google Android 14 must be configured to not allow more than 10 consecutive failed authentication attempts.</t>
        </r>
      </text>
    </comment>
    <comment ref="N46" authorId="0" shapeId="0" xr:uid="{00000000-0006-0000-0400-00002E000000}">
      <text>
        <r>
          <rPr>
            <sz val="11"/>
            <rFont val="Calibri"/>
          </rPr>
          <t>Google Android 14 must be configured to display the DOD advisory warning message at startup or each time the user unlocks the Work Profile.</t>
        </r>
      </text>
    </comment>
    <comment ref="J63" authorId="0" shapeId="0" xr:uid="{00000000-0006-0000-0400-00002F000000}">
      <text>
        <r>
          <rPr>
            <sz val="11"/>
            <rFont val="Calibri"/>
          </rPr>
          <t>The Google Android 14 BYOAD must be configured so that the work profile is removed if the device is no longer receiving security or software updates.</t>
        </r>
      </text>
    </comment>
    <comment ref="J64" authorId="0" shapeId="0" xr:uid="{00000000-0006-0000-0400-000030000000}">
      <text>
        <r>
          <rPr>
            <sz val="11"/>
            <rFont val="Calibri"/>
          </rPr>
          <t>The Google Android 14 BYOAD must be configured so that the work profile is removed if the device is no longer receiving security or software updates.</t>
        </r>
      </text>
    </comment>
    <comment ref="J70" authorId="0" shapeId="0" xr:uid="{00000000-0006-0000-0400-000031000000}">
      <text>
        <r>
          <rPr>
            <sz val="11"/>
            <rFont val="Calibri"/>
          </rPr>
          <t>The EMM system supporting the Google Android 14 BYOAD must be configured to detect if the Google Android 14 BYOAD native security controls are disabled.</t>
        </r>
      </text>
    </comment>
    <comment ref="K70" authorId="0" shapeId="0" xr:uid="{00000000-0006-0000-0400-000032000000}">
      <text>
        <r>
          <rPr>
            <sz val="11"/>
            <rFont val="Calibri"/>
          </rPr>
          <t>The EMM system supporting the Google Android 14 BYOAD must be configured to detect if known malicious applications, blocked, or prohibited applications are installed on the Google Android 14 BYOAD (DOD-managed segment only).</t>
        </r>
      </text>
    </comment>
    <comment ref="J73" authorId="0" shapeId="0" xr:uid="{00000000-0006-0000-0400-000033000000}">
      <text>
        <r>
          <rPr>
            <sz val="11"/>
            <rFont val="Calibri"/>
          </rPr>
          <t>The EMM system supporting the Google Android 14 BYOAD must be configured to detect if the Google Android 14 BYOAD native security controls are disabled.</t>
        </r>
      </text>
    </comment>
    <comment ref="K73" authorId="0" shapeId="0" xr:uid="{00000000-0006-0000-0400-000034000000}">
      <text>
        <r>
          <rPr>
            <sz val="11"/>
            <rFont val="Calibri"/>
          </rPr>
          <t>The EMM system supporting the Google Android 14 BYOAD must be configured to detect if known malicious applications, blocked, or prohibited applications are installed on the Google Android 14 BYOAD (DOD-managed segment only).</t>
        </r>
      </text>
    </comment>
    <comment ref="J83" authorId="0" shapeId="0" xr:uid="{00000000-0006-0000-0400-000035000000}">
      <text>
        <r>
          <rPr>
            <sz val="11"/>
            <rFont val="Calibri"/>
          </rPr>
          <t>The Google Android 14 work profile must be configured to disable automatic completion of workspace internet browser text input.</t>
        </r>
      </text>
    </comment>
    <comment ref="K83" authorId="0" shapeId="0" xr:uid="{00000000-0006-0000-0400-000036000000}">
      <text>
        <r>
          <rPr>
            <sz val="11"/>
            <rFont val="Calibri"/>
          </rPr>
          <t>The Google Android 14 work profile must be configured to disable the autofill services.</t>
        </r>
      </text>
    </comment>
    <comment ref="J84" authorId="0" shapeId="0" xr:uid="{00000000-0006-0000-0400-000037000000}">
      <text>
        <r>
          <rPr>
            <sz val="11"/>
            <rFont val="Calibri"/>
          </rPr>
          <t>The Google Android 14 work profile must be configured to disable automatic completion of workspace internet browser text input.</t>
        </r>
      </text>
    </comment>
    <comment ref="K84" authorId="0" shapeId="0" xr:uid="{00000000-0006-0000-0400-000038000000}">
      <text>
        <r>
          <rPr>
            <sz val="11"/>
            <rFont val="Calibri"/>
          </rPr>
          <t>The Google Android 14 work profile must be configured to disable the autofill services.</t>
        </r>
      </text>
    </comment>
    <comment ref="J98" authorId="0" shapeId="0" xr:uid="{00000000-0006-0000-0400-000039000000}">
      <text>
        <r>
          <rPr>
            <sz val="11"/>
            <rFont val="Calibri"/>
          </rPr>
          <t>Google Android 14 must be configured to not allow backup of all work profile applications to remote systems.</t>
        </r>
      </text>
    </comment>
    <comment ref="J99" authorId="0" shapeId="0" xr:uid="{00000000-0006-0000-0400-00003A000000}">
      <text>
        <r>
          <rPr>
            <sz val="11"/>
            <rFont val="Calibri"/>
          </rPr>
          <t>Google Android 14 must be configured to not allow backup of all work profile applications to remote systems.</t>
        </r>
      </text>
    </comment>
    <comment ref="J109" authorId="0" shapeId="0" xr:uid="{00000000-0006-0000-0400-00003B000000}">
      <text>
        <r>
          <rPr>
            <sz val="11"/>
            <rFont val="Calibri"/>
          </rPr>
          <t>Google Android 14 must prohibit DOD VPN profiles in the Personal Profile.</t>
        </r>
      </text>
    </comment>
    <comment ref="J110" authorId="0" shapeId="0" xr:uid="{00000000-0006-0000-0400-00003C000000}">
      <text>
        <r>
          <rPr>
            <sz val="11"/>
            <rFont val="Calibri"/>
          </rPr>
          <t>Google Android 14 must prohibit DOD VPN profiles in the Personal Profile.</t>
        </r>
      </text>
    </comment>
    <comment ref="K110" authorId="0" shapeId="0" xr:uid="{00000000-0006-0000-0400-00003D000000}">
      <text>
        <r>
          <rPr>
            <sz val="11"/>
            <rFont val="Calibri"/>
          </rPr>
          <t>Google Android 14 must be configured to disable trust agents.</t>
        </r>
      </text>
    </comment>
    <comment ref="J117" authorId="0" shapeId="0" xr:uid="{00000000-0006-0000-0400-00003E000000}">
      <text>
        <r>
          <rPr>
            <sz val="11"/>
            <rFont val="Calibri"/>
          </rPr>
          <t>Google Android 14 must have the DOD root and intermediate PKI certificates installed (work profile only).</t>
        </r>
      </text>
    </comment>
    <comment ref="K117" authorId="0" shapeId="0" xr:uid="{00000000-0006-0000-0400-00003F000000}">
      <text>
        <r>
          <rPr>
            <sz val="11"/>
            <rFont val="Calibri"/>
          </rPr>
          <t>The Google Android 14 must allow only the administrator (EMM) to install/remove DOD root and intermediate PKI certificates (work profile).</t>
        </r>
      </text>
    </comment>
  </commentList>
</comments>
</file>

<file path=xl/sharedStrings.xml><?xml version="1.0" encoding="utf-8"?>
<sst xmlns="http://schemas.openxmlformats.org/spreadsheetml/2006/main" count="2291" uniqueCount="1137">
  <si>
    <t>Id</t>
  </si>
  <si>
    <t>Title</t>
  </si>
  <si>
    <t>Severity</t>
  </si>
  <si>
    <t>Component</t>
  </si>
  <si>
    <t>MoSCoW</t>
  </si>
  <si>
    <t>OpsImpact</t>
  </si>
  <si>
    <t>Phase</t>
  </si>
  <si>
    <t>ImplStatus</t>
  </si>
  <si>
    <t>Notes</t>
  </si>
  <si>
    <t>Remediation</t>
  </si>
  <si>
    <t>Description</t>
  </si>
  <si>
    <t>Audit</t>
  </si>
  <si>
    <t>Status</t>
  </si>
  <si>
    <t>LogID</t>
  </si>
  <si>
    <t>V-260061</t>
  </si>
  <si>
    <r>
      <rPr>
        <sz val="11"/>
        <rFont val="Calibri"/>
      </rPr>
      <t>The EMM system supporting the Google Android 14 BYOAD must be configured for autonomous monitoring, compliance, and validation to ensure security/configuration settings of mobile devices do not deviate from the approved configuration baseline.</t>
    </r>
  </si>
  <si>
    <t>CAT II (Medium)</t>
  </si>
  <si>
    <t>Component-1</t>
  </si>
  <si>
    <t>Unassigned</t>
  </si>
  <si>
    <t>Unassessed</t>
  </si>
  <si>
    <t>Pending</t>
  </si>
  <si>
    <t/>
  </si>
  <si>
    <r>
      <rPr>
        <sz val="11"/>
        <color rgb="FF000000"/>
        <rFont val="Calibri"/>
      </rPr>
      <t>Configure the EMM system supporting the Google Android 14 BYOAD to conduct autonomous monitoring, compliance, and validation to ensure security/configuration settings of mobile devices do not deviate from the approved configuration baseline. The exact procedure will depend on the EMM system used at the site.</t>
    </r>
  </si>
  <si>
    <r>
      <rPr>
        <sz val="11"/>
        <color rgb="FF000000"/>
        <rFont val="Calibri"/>
      </rPr>
      <t>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t>
    </r>
    <r>
      <rPr>
        <sz val="11"/>
        <color rgb="FF000000"/>
        <rFont val="Calibri"/>
      </rPr>
      <t xml:space="preserve">
</t>
    </r>
    <r>
      <rPr>
        <sz val="11"/>
        <color rgb="FF000000"/>
        <rFont val="Calibri"/>
      </rPr>
      <t>Examples of possible EMM security controls are as follows:</t>
    </r>
    <r>
      <rPr>
        <sz val="11"/>
        <color rgb="FF000000"/>
        <rFont val="Calibri"/>
      </rPr>
      <t xml:space="preserve">
</t>
    </r>
    <r>
      <rPr>
        <sz val="11"/>
        <color rgb="FF000000"/>
        <rFont val="Calibri"/>
      </rPr>
      <t>1. Device access restrictions: Restrict or isolate access based on the devices access type (i.e., from the internet), authentication type (e.g., password), credential strength, etc.</t>
    </r>
    <r>
      <rPr>
        <sz val="11"/>
        <color rgb="FF000000"/>
        <rFont val="Calibri"/>
      </rPr>
      <t xml:space="preserve">
</t>
    </r>
    <r>
      <rPr>
        <sz val="11"/>
        <color rgb="FF000000"/>
        <rFont val="Calibri"/>
      </rPr>
      <t>2. User and device activity monitoring: Configured to detect anomalous activity, malicious activity, and unauthorized attempts to access DOD information.</t>
    </r>
    <r>
      <rPr>
        <sz val="11"/>
        <color rgb="FF000000"/>
        <rFont val="Calibri"/>
      </rPr>
      <t xml:space="preserve">
</t>
    </r>
    <r>
      <rPr>
        <sz val="11"/>
        <color rgb="FF000000"/>
        <rFont val="Calibri"/>
      </rPr>
      <t>3. Device health tracking: Monitor device attestation, health, and agents reporting compromised applications, connections, intrusions, and/or signatures.</t>
    </r>
    <r>
      <rPr>
        <sz val="11"/>
        <color rgb="FF000000"/>
        <rFont val="Calibri"/>
      </rPr>
      <t xml:space="preserve">
</t>
    </r>
    <r>
      <rPr>
        <sz val="11"/>
        <color rgb="FF000000"/>
        <rFont val="Calibri"/>
      </rPr>
      <t>Reference: DOD policy "Use of Non-Government Mobile Devices" (3.a.(3)ii, 3.b.(2)ii.1 &amp; 2).</t>
    </r>
    <r>
      <rPr>
        <sz val="11"/>
        <color rgb="FF000000"/>
        <rFont val="Calibri"/>
      </rPr>
      <t xml:space="preserve">
</t>
    </r>
    <r>
      <rPr>
        <sz val="11"/>
        <color rgb="FF000000"/>
        <rFont val="Calibri"/>
      </rPr>
      <t>SFR ID: FMT_SMF_EXT.1.1 #47</t>
    </r>
  </si>
  <si>
    <r>
      <rPr>
        <sz val="11"/>
        <color rgb="FF000000"/>
        <rFont val="Calibri"/>
      </rPr>
      <t>Verify the EMM system supporting the Google Android 14 BYOAD has been configured to conduct autonomous monitoring, compliance, and validation to ensure security/configuration settings of mobile devices do not deviate from the approved configuration baseline. The exact procedure will depend on the EMM system used at the site.</t>
    </r>
    <r>
      <rPr>
        <sz val="11"/>
        <color rgb="FF000000"/>
        <rFont val="Calibri"/>
      </rPr>
      <t xml:space="preserve">
</t>
    </r>
    <r>
      <rPr>
        <sz val="11"/>
        <color rgb="FF000000"/>
        <rFont val="Calibri"/>
      </rPr>
      <t>If the EMM system supporting the Google Android 14 BYOAD has not been configured to conduct autonomous monitoring, compliance, and validation to ensure security/configuration settings of mobile devices, this is a finding.</t>
    </r>
  </si>
  <si>
    <t>V-260062</t>
  </si>
  <si>
    <r>
      <rPr>
        <sz val="11"/>
        <rFont val="Calibri"/>
      </rPr>
      <t>The EMM system supporting the Google Android 14 BYOAD must be configured to initiate autonomous monitoring, compliance, and validation prior to granting the Google Android 14 BYOAD access to DOD information and IT resources.</t>
    </r>
  </si>
  <si>
    <r>
      <rPr>
        <sz val="11"/>
        <color rgb="FF000000"/>
        <rFont val="Calibri"/>
      </rPr>
      <t>Configure the EMM system supporting the Google Android 14 BYOAD to initiate autonomous monitoring, compliance, and validation prior to granting the BYOAD access to DOD information and IT resources. The exact procedure will depend on the EMM system used at the site.</t>
    </r>
  </si>
  <si>
    <r>
      <rPr>
        <sz val="11"/>
        <color rgb="FF000000"/>
        <rFont val="Calibri"/>
      </rPr>
      <t>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</si>
  <si>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the EMM system supporting the Google Android 14 BYOAD has been configured to initiate autonomous monitoring, compliance, and validation prior to granting the BYOAD access to DOD information and IT resources. The exact procedure will depend on the EMM system used at the site.</t>
    </r>
    <r>
      <rPr>
        <sz val="11"/>
        <color rgb="FF000000"/>
        <rFont val="Calibri"/>
      </rPr>
      <t xml:space="preserve">
</t>
    </r>
    <r>
      <rPr>
        <sz val="11"/>
        <color rgb="FF000000"/>
        <rFont val="Calibri"/>
      </rPr>
      <t>If the EMM system supporting the Google Android 14 BYOAD has not been configured to initiate autonomous monitoring, compliance, and validation prior to granting the BYOAD access to DOD information and IT resources, this is a finding.</t>
    </r>
  </si>
  <si>
    <t>V-260063</t>
  </si>
  <si>
    <r>
      <rPr>
        <sz val="11"/>
        <rFont val="Calibri"/>
      </rPr>
      <t>The EMM system supporting the Google Android 14 BYOAD must be configured to detect if the Google Android 14 BYOAD native security controls are disabled.</t>
    </r>
  </si>
  <si>
    <r>
      <rPr>
        <sz val="11"/>
        <color rgb="FF000000"/>
        <rFont val="Calibri"/>
      </rPr>
      <t>Configure the EMM system supporting the Google Android 14 BYOAD to detect if the BYOAD native security controls are disabled. The exact procedure will depend on the EMM system used at the site.</t>
    </r>
  </si>
  <si>
    <r>
      <rPr>
        <sz val="11"/>
        <color rgb="FF000000"/>
        <rFont val="Calibri"/>
      </rPr>
      <t>Examples of indicators that the native device native security controls have been disabled include jailbroken or rooted devices.</t>
    </r>
    <r>
      <rPr>
        <sz val="11"/>
        <color rgb="FF000000"/>
        <rFont val="Calibri"/>
      </rPr>
      <t xml:space="preserve">
</t>
    </r>
    <r>
      <rPr>
        <sz val="11"/>
        <color rgb="FF000000"/>
        <rFont val="Calibri"/>
      </rPr>
      <t>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 Detection via collecting and analysis of BYOAD generated logs for noncompliance indicators is acceptable.</t>
    </r>
    <r>
      <rPr>
        <sz val="11"/>
        <color rgb="FF000000"/>
        <rFont val="Calibri"/>
      </rPr>
      <t xml:space="preserve">
</t>
    </r>
    <r>
      <rPr>
        <sz val="11"/>
        <color rgb="FF000000"/>
        <rFont val="Calibri"/>
      </rPr>
      <t>This detection capability must be implemented prior to BYOAD access to DOD information and IT resources and continuously monitored on the DOD-managed segment of the BYOAD enrolled in the program. If non-DOD information (i.e., personal user data, device information) outside the DOD-managed segment of the BYOAD is required to be accessed, collected, monitored, tracked (i.e., location), or maintained, the circumstances under which this may be done must be outlined in the user agreement.</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</si>
  <si>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the EMM system supporting the Google Android 14 BYOAD has been configured to detect if the BYOAD native security controls are disabled. The exact procedure will depend on the EMM system used at the site.</t>
    </r>
    <r>
      <rPr>
        <sz val="11"/>
        <color rgb="FF000000"/>
        <rFont val="Calibri"/>
      </rPr>
      <t xml:space="preserve">
</t>
    </r>
    <r>
      <rPr>
        <sz val="11"/>
        <color rgb="FF000000"/>
        <rFont val="Calibri"/>
      </rPr>
      <t>If the EMM system supporting the Google Android 14 BYOAD is not configured to detect if the BYOAD native security controls are disabled, this is a finding.</t>
    </r>
  </si>
  <si>
    <t>V-260064</t>
  </si>
  <si>
    <r>
      <rPr>
        <sz val="11"/>
        <rFont val="Calibri"/>
      </rPr>
      <t>The EMM system supporting the Google Android 14 BYOAD must be configured to detect if known malicious applications, blocked, or prohibited applications are installed on the Google Android 14 BYOAD (DOD-managed segment only).</t>
    </r>
  </si>
  <si>
    <r>
      <rPr>
        <sz val="11"/>
        <color rgb="FF000000"/>
        <rFont val="Calibri"/>
      </rPr>
      <t>Implement an app vetting process before work profile apps are placed in the MDM app repository.</t>
    </r>
  </si>
  <si>
    <r>
      <rPr>
        <sz val="11"/>
        <color rgb="FF000000"/>
        <rFont val="Calibri"/>
      </rPr>
      <t>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 Detection via collecting and analysis of BYOAD generated logs for noncompliance indicators is acceptable.</t>
    </r>
    <r>
      <rPr>
        <sz val="11"/>
        <color rgb="FF000000"/>
        <rFont val="Calibri"/>
      </rPr>
      <t xml:space="preserve">
</t>
    </r>
    <r>
      <rPr>
        <sz val="11"/>
        <color rgb="FF000000"/>
        <rFont val="Calibri"/>
      </rPr>
      <t>This detection capability must be implemented prior to AMD (Approved Mobile Device, called BYOAD device in the STIG) enrollment, AMD access to DOD information and IT resources, and continuously monitored on the DOD-managed segment of the AMD enrolled in the program. If non-DOD information (i.e., personal user data, device information) outside the DOD-managed segment of the AMD is required to be accessed, collected, monitored, tracked (i.e., location), or maintained, the circumstances under which this may be done must be outlined in the user agreement.</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</si>
  <si>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an app vetting process is being used to vet apps before work profile apps are placed in the MDM app repository.</t>
    </r>
    <r>
      <rPr>
        <sz val="11"/>
        <color rgb="FF000000"/>
        <rFont val="Calibri"/>
      </rPr>
      <t xml:space="preserve">
</t>
    </r>
    <r>
      <rPr>
        <sz val="11"/>
        <color rgb="FF000000"/>
        <rFont val="Calibri"/>
      </rPr>
      <t>If an app vetting process is not being used to vet apps before work profile apps are placed in the MDM app repository, this is a finding.</t>
    </r>
  </si>
  <si>
    <t>V-260065</t>
  </si>
  <si>
    <r>
      <rPr>
        <sz val="11"/>
        <rFont val="Calibri"/>
      </rPr>
      <t>The EMM detection/monitoring system must use continuous monitoring of enrolled Google Android 14 BYOAD.</t>
    </r>
  </si>
  <si>
    <r>
      <rPr>
        <sz val="11"/>
        <color rgb="FF000000"/>
        <rFont val="Calibri"/>
      </rPr>
      <t>Configure the EMM detection/monitoring system to use continuous monitoring of enrolled Google Android 14 BYOAD. The exact procedure will depend on the EMM system used at the site.</t>
    </r>
  </si>
  <si>
    <r>
      <rPr>
        <sz val="11"/>
        <color rgb="FF000000"/>
        <rFont val="Calibri"/>
      </rPr>
      <t>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 Continuous monitoring must be used to ensure all noncompliance events will be seen by the detection system.</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</si>
  <si>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the EMM detection/monitoring system is configured to use continuous monitoring of enrolled Google Android 14 BYOAD. The exact procedure will depend on the EMM system used at the site.</t>
    </r>
    <r>
      <rPr>
        <sz val="11"/>
        <color rgb="FF000000"/>
        <rFont val="Calibri"/>
      </rPr>
      <t xml:space="preserve">
</t>
    </r>
    <r>
      <rPr>
        <sz val="11"/>
        <color rgb="FF000000"/>
        <rFont val="Calibri"/>
      </rPr>
      <t>If the EMM detection/monitoring system is not configured to use continuous monitoring of enrolled Google Android 14 BYOAD, this is a finding.</t>
    </r>
  </si>
  <si>
    <t>V-260066</t>
  </si>
  <si>
    <r>
      <rPr>
        <sz val="11"/>
        <rFont val="Calibri"/>
      </rPr>
      <t>The Google Android 14 BYOAD must be configured to either disable access to DOD data and IT systems and user accounts or wipe the work profile if the EMM system detects that native security controls are disabled.</t>
    </r>
  </si>
  <si>
    <r>
      <rPr>
        <sz val="11"/>
        <color rgb="FF000000"/>
        <rFont val="Calibri"/>
      </rPr>
      <t>Configure the EMM to either disable access to DOD data and IT systems and user accounts on the Google Android 14 BYOAD or wipe the work profile if it has been detected that native BYOAD security controls are disabled (e.g., jailbroken/rooted). The exact procedure will depend on the EMM system used at the site.</t>
    </r>
  </si>
  <si>
    <r>
      <rPr>
        <sz val="11"/>
        <color rgb="FF000000"/>
        <rFont val="Calibri"/>
      </rPr>
      <t>Examples of indicators that the native device security controls have been disabled include jailbroken or rooted devices.</t>
    </r>
    <r>
      <rPr>
        <sz val="11"/>
        <color rgb="FF000000"/>
        <rFont val="Calibri"/>
      </rPr>
      <t xml:space="preserve">
</t>
    </r>
    <r>
      <rPr>
        <sz val="11"/>
        <color rgb="FF000000"/>
        <rFont val="Calibri"/>
      </rPr>
      <t>When a BYOAD is out of compliance, DOD data and apps must be removed to protect against compromise of sensitive DOD information.</t>
    </r>
    <r>
      <rPr>
        <sz val="11"/>
        <color rgb="FF000000"/>
        <rFont val="Calibri"/>
      </rPr>
      <t xml:space="preserve">
</t>
    </r>
    <r>
      <rPr>
        <sz val="11"/>
        <color rgb="FF000000"/>
        <rFont val="Calibri"/>
      </rPr>
      <t>Note: The site should review DOD and local data retention policies before wiping the work profile of a BYOAD device.</t>
    </r>
    <r>
      <rPr>
        <sz val="11"/>
        <color rgb="FF000000"/>
        <rFont val="Calibri"/>
      </rPr>
      <t xml:space="preserve">
</t>
    </r>
    <r>
      <rPr>
        <sz val="11"/>
        <color rgb="FF000000"/>
        <rFont val="Calibri"/>
      </rPr>
      <t>Reference: DOD policy "Use of Non-Government Mobile Devices" (3.b.(4) 3.b.(5)i).</t>
    </r>
    <r>
      <rPr>
        <sz val="11"/>
        <color rgb="FF000000"/>
        <rFont val="Calibri"/>
      </rPr>
      <t xml:space="preserve">
</t>
    </r>
    <r>
      <rPr>
        <sz val="11"/>
        <color rgb="FF000000"/>
        <rFont val="Calibri"/>
      </rPr>
      <t>SFR ID: FMT_SMF_EXT.1.1 #47</t>
    </r>
  </si>
  <si>
    <r>
      <rPr>
        <sz val="11"/>
        <color rgb="FF000000"/>
        <rFont val="Calibri"/>
      </rPr>
      <t>Verify the EMM has been configured to either disable access to DOD data, IT systems, and user accounts on the Google Android 14 BYOAD or wipe the work profile if it has been detected that native BYOAD security controls are disabled (e.g., jailbroken/rooted). The exact procedure will depend on the EMM system used at the site.</t>
    </r>
    <r>
      <rPr>
        <sz val="11"/>
        <color rgb="FF000000"/>
        <rFont val="Calibri"/>
      </rPr>
      <t xml:space="preserve">
</t>
    </r>
    <r>
      <rPr>
        <sz val="11"/>
        <color rgb="FF000000"/>
        <rFont val="Calibri"/>
      </rPr>
      <t>If the EMM has not been configured to either disable access to DOD data, IT systems, and user accounts on the Google Android 14 BYOAD or wipe the work profile if it has been detected that native BYOAD security controls are disabled, this is a finding.</t>
    </r>
  </si>
  <si>
    <t>V-260067</t>
  </si>
  <si>
    <r>
      <rPr>
        <sz val="11"/>
        <rFont val="Calibri"/>
      </rPr>
      <t>The Google Android 14 BYOAD must be configured to either disable access to DOD data and IT systems and user accounts or wipe the work profile if the EMM system detects the Google Android 14 BYOAD device has known malicious, blocked, or prohibited applications, or configured to access nonapproved third-party applications stores in the work profile.</t>
    </r>
  </si>
  <si>
    <r>
      <rPr>
        <sz val="11"/>
        <color rgb="FF000000"/>
        <rFont val="Calibri"/>
      </rPr>
      <t>Configure the EMM system to either disable access to DOD data and IT systems and user accounts or wipe the work profile if it has detected the Google Android 14 BYOAD device has known malicious, blocked, or prohibited managed applications, or configured to access nonapproved third-party applications stores for managed apps. The exact procedure will depend on the EMM system used at the site.</t>
    </r>
  </si>
  <si>
    <r>
      <rPr>
        <sz val="11"/>
        <color rgb="FF000000"/>
        <rFont val="Calibri"/>
      </rPr>
      <t>When a BYOAD is out of compliance, DOD data and apps must be removed to protect against compromise of sensitive DOD information.</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</si>
  <si>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the EMM system has been configured to either disable access to DOD data and IT systems and user accounts or wipe the work profile if it has detected the Google Android 14 BYOAD device has known malicious, blocked, or prohibited managed applications, or configured to access nonapproved third-party applications stores for managed apps. The exact procedure will depend on the EMM system used at the site.</t>
    </r>
    <r>
      <rPr>
        <sz val="11"/>
        <color rgb="FF000000"/>
        <rFont val="Calibri"/>
      </rPr>
      <t xml:space="preserve">
</t>
    </r>
    <r>
      <rPr>
        <sz val="11"/>
        <color rgb="FF000000"/>
        <rFont val="Calibri"/>
      </rPr>
      <t>If the EMM system has not been configured to either disable access to DOD data and IT systems and user accounts or wipe the work profile if it has detected the Google Android 14 BYOAD device has known malicious, blocked, or prohibited managed applications, or configured to access nonapproved third-party applications stores for managed apps, this is a finding.</t>
    </r>
  </si>
  <si>
    <t>V-260068</t>
  </si>
  <si>
    <r>
      <rPr>
        <sz val="11"/>
        <rFont val="Calibri"/>
      </rPr>
      <t>The Google Android 14 BYOAD must be configured so that the work profile is removed if the device is no longer receiving security or software updates.</t>
    </r>
  </si>
  <si>
    <r>
      <rPr>
        <sz val="11"/>
        <color rgb="FF000000"/>
        <rFont val="Calibri"/>
      </rPr>
      <t>Configure the EMM system so the work profile is removed if the Google Android 14 BYOAD is no longer receiving security or software updates. The exact procedure will depend on the EMM system used at the site.</t>
    </r>
  </si>
  <si>
    <r>
      <rPr>
        <sz val="11"/>
        <color rgb="FF000000"/>
        <rFont val="Calibri"/>
      </rPr>
      <t>When a BYOAD is out of compliance, DOD data and apps must be removed to protect against compromise of sensitive DOD information.</t>
    </r>
    <r>
      <rPr>
        <sz val="11"/>
        <color rgb="FF000000"/>
        <rFont val="Calibri"/>
      </rPr>
      <t xml:space="preserve">
</t>
    </r>
    <r>
      <rPr>
        <sz val="11"/>
        <color rgb="FF000000"/>
        <rFont val="Calibri"/>
      </rPr>
      <t>Reference: DOD policy "Use of Non-Government Mobile Devices" (3.b.(1)ii).</t>
    </r>
    <r>
      <rPr>
        <sz val="11"/>
        <color rgb="FF000000"/>
        <rFont val="Calibri"/>
      </rPr>
      <t xml:space="preserve">
</t>
    </r>
    <r>
      <rPr>
        <sz val="11"/>
        <color rgb="FF000000"/>
        <rFont val="Calibri"/>
      </rPr>
      <t>SFR ID: FMT_SMF_EXT.1.1 #47</t>
    </r>
  </si>
  <si>
    <r>
      <rPr>
        <sz val="11"/>
        <color rgb="FF000000"/>
        <rFont val="Calibri"/>
      </rPr>
      <t>Verify the EMM system is configured to wipe the work profile if the Google Android 14 BYOAD is no longer receiving security or software updates. The exact procedure will depend on the EMM system used at the site.</t>
    </r>
    <r>
      <rPr>
        <sz val="11"/>
        <color rgb="FF000000"/>
        <rFont val="Calibri"/>
      </rPr>
      <t xml:space="preserve">
</t>
    </r>
    <r>
      <rPr>
        <sz val="11"/>
        <color rgb="FF000000"/>
        <rFont val="Calibri"/>
      </rPr>
      <t>If the EMM system is not configured to wipe the work profile if the Google Android 14 BYOAD is no longer receiving security or software updates, this is a finding.</t>
    </r>
  </si>
  <si>
    <t>V-260069</t>
  </si>
  <si>
    <r>
      <rPr>
        <sz val="11"/>
        <rFont val="Calibri"/>
      </rPr>
      <t>The Google Android 14 BYOAD and DOD enterprise must be configured to limit access to only AO-approved, corporate-owned enterprise IT resources.</t>
    </r>
  </si>
  <si>
    <r>
      <rPr>
        <sz val="11"/>
        <color rgb="FF000000"/>
        <rFont val="Calibri"/>
      </rPr>
      <t>Configure the EEM system and DOD enterprise to limit the Google Android 14 BYOAD access to only AO-approved enterprise IT resources. The exact procedure will depend on the EMM system used and IT resources at the site.</t>
    </r>
  </si>
  <si>
    <r>
      <rPr>
        <sz val="11"/>
        <color rgb="FF000000"/>
        <rFont val="Calibri"/>
      </rPr>
      <t>Note: IT resources includes DOD networks and applications (for example, DOD email).</t>
    </r>
    <r>
      <rPr>
        <sz val="11"/>
        <color rgb="FF000000"/>
        <rFont val="Calibri"/>
      </rPr>
      <t xml:space="preserve">
</t>
    </r>
    <r>
      <rPr>
        <sz val="11"/>
        <color rgb="FF000000"/>
        <rFont val="Calibri"/>
      </rPr>
      <t>The System Administrator must have the capability to limit access of the BYOAD to DOD networks and DOD IT resources based on mission needs and risk. An adversary could exploit vulnerabilities created by the weaker configuration to compromise DOD sensitive information. The AO should document networks, IT resources, and enterprise applications that BYOAD can access.</t>
    </r>
    <r>
      <rPr>
        <sz val="11"/>
        <color rgb="FF000000"/>
        <rFont val="Calibri"/>
      </rPr>
      <t xml:space="preserve">
</t>
    </r>
    <r>
      <rPr>
        <sz val="11"/>
        <color rgb="FF000000"/>
        <rFont val="Calibri"/>
      </rPr>
      <t>Examples of EMM security controls are as follows:</t>
    </r>
    <r>
      <rPr>
        <sz val="11"/>
        <color rgb="FF000000"/>
        <rFont val="Calibri"/>
      </rPr>
      <t xml:space="preserve">
</t>
    </r>
    <r>
      <rPr>
        <sz val="11"/>
        <color rgb="FF000000"/>
        <rFont val="Calibri"/>
      </rPr>
      <t>1. Device access restrictions: Restrict or isolate access based on the devices access type (i .e., from the internet), authentication type (e.g., password), credential strength, etc.</t>
    </r>
    <r>
      <rPr>
        <sz val="11"/>
        <color rgb="FF000000"/>
        <rFont val="Calibri"/>
      </rPr>
      <t xml:space="preserve">
</t>
    </r>
    <r>
      <rPr>
        <sz val="11"/>
        <color rgb="FF000000"/>
        <rFont val="Calibri"/>
      </rPr>
      <t>2. User and device activity monitoring: Configured to detect anomalous activity, malicious activity, and unauthorized attempts to access DOD information.</t>
    </r>
    <r>
      <rPr>
        <sz val="11"/>
        <color rgb="FF000000"/>
        <rFont val="Calibri"/>
      </rPr>
      <t xml:space="preserve">
</t>
    </r>
    <r>
      <rPr>
        <sz val="11"/>
        <color rgb="FF000000"/>
        <rFont val="Calibri"/>
      </rPr>
      <t>3. Device health tracking: Monitor device attestation, health, and agents reporting compromised applications, connections, intrusions, and/or signatures.</t>
    </r>
    <r>
      <rPr>
        <sz val="11"/>
        <color rgb="FF000000"/>
        <rFont val="Calibri"/>
      </rPr>
      <t xml:space="preserve">
</t>
    </r>
    <r>
      <rPr>
        <sz val="11"/>
        <color rgb="FF000000"/>
        <rFont val="Calibri"/>
      </rPr>
      <t>Reference: DOD policy "Use of Non-Government Mobile Devices" (3.b.(2)ii).</t>
    </r>
    <r>
      <rPr>
        <sz val="11"/>
        <color rgb="FF000000"/>
        <rFont val="Calibri"/>
      </rPr>
      <t xml:space="preserve">
</t>
    </r>
    <r>
      <rPr>
        <sz val="11"/>
        <color rgb="FF000000"/>
        <rFont val="Calibri"/>
      </rPr>
      <t>SFR ID: FMT_SMF_EXT.1.1 #47</t>
    </r>
  </si>
  <si>
    <r>
      <rPr>
        <sz val="11"/>
        <color rgb="FF000000"/>
        <rFont val="Calibri"/>
      </rPr>
      <t>Verify the EMM system and DOD enterprise have been configured to limit the Google Android 14 BYOAD access to only AO-approved enterprise IT resources. The exact procedure will depend on the EMM system used and IT resources at the site.</t>
    </r>
    <r>
      <rPr>
        <sz val="11"/>
        <color rgb="FF000000"/>
        <rFont val="Calibri"/>
      </rPr>
      <t xml:space="preserve">
</t>
    </r>
    <r>
      <rPr>
        <sz val="11"/>
        <color rgb="FF000000"/>
        <rFont val="Calibri"/>
      </rPr>
      <t>If the EMM system and DOD enterprise have not been configured to limit Google Android 14 BYOAD access to only AO-approved enterprise IT resources, this is a finding.</t>
    </r>
  </si>
  <si>
    <t>V-260070</t>
  </si>
  <si>
    <r>
      <rPr>
        <sz val="11"/>
        <rFont val="Calibri"/>
      </rPr>
      <t>The EMM system supporting the Google Android 14 BYOAD must be NIAP validated (included on the NIAP list of compliant products or products in evaluation) unless the DOD CIO has granted an Approved Exception to Policy (E2P).</t>
    </r>
  </si>
  <si>
    <r>
      <rPr>
        <sz val="11"/>
        <color rgb="FF000000"/>
        <rFont val="Calibri"/>
      </rPr>
      <t>Only use an EMM system supporting the Google Android 14 BYOAD that is NIAP validated (included on the NIAP list of compliant products or products in evaluation), unless the DOD CIO has granted an Approved Exception to Policy (E2P).</t>
    </r>
    <r>
      <rPr>
        <sz val="11"/>
        <color rgb="FF000000"/>
        <rFont val="Calibri"/>
      </rPr>
      <t xml:space="preserve">
</t>
    </r>
    <r>
      <rPr>
        <sz val="11"/>
        <color rgb="FF000000"/>
        <rFont val="Calibri"/>
      </rPr>
      <t>Note: For a VMI solution, both the client and server components must be NIAP compliant.</t>
    </r>
  </si>
  <si>
    <r>
      <rPr>
        <sz val="11"/>
        <color rgb="FF000000"/>
        <rFont val="Calibri"/>
      </rPr>
      <t>Note: For a VMI solution, both the client and server must be NIAP compliant.</t>
    </r>
    <r>
      <rPr>
        <sz val="11"/>
        <color rgb="FF000000"/>
        <rFont val="Calibri"/>
      </rPr>
      <t xml:space="preserve">
</t>
    </r>
    <r>
      <rPr>
        <sz val="11"/>
        <color rgb="FF000000"/>
        <rFont val="Calibri"/>
      </rPr>
      <t>Nonapproved EMM systems may not include sufficient controls to protect work data, applications, and networks from malware or adversary attack. EMM: mobile device management (MDM), mobile application management (MAM), mobile content management (MCM), or virtual mobile infrastructure (VMI).</t>
    </r>
    <r>
      <rPr>
        <sz val="11"/>
        <color rgb="FF000000"/>
        <rFont val="Calibri"/>
      </rPr>
      <t xml:space="preserve">
</t>
    </r>
    <r>
      <rPr>
        <sz val="11"/>
        <color rgb="FF000000"/>
        <rFont val="Calibri"/>
      </rPr>
      <t>Components must only approve devices listed on the NIAP compliant product list or products listed in evaluation at the following links:</t>
    </r>
    <r>
      <rPr>
        <sz val="11"/>
        <color rgb="FF000000"/>
        <rFont val="Calibri"/>
      </rPr>
      <t xml:space="preserve">
</t>
    </r>
    <r>
      <rPr>
        <sz val="11"/>
        <color rgb="FF000000"/>
        <rFont val="Calibri"/>
      </rPr>
      <t>- https://www.niap-ccevs.org/Product/</t>
    </r>
    <r>
      <rPr>
        <sz val="11"/>
        <color rgb="FF000000"/>
        <rFont val="Calibri"/>
      </rPr>
      <t xml:space="preserve">
</t>
    </r>
    <r>
      <rPr>
        <sz val="11"/>
        <color rgb="FF000000"/>
        <rFont val="Calibri"/>
      </rPr>
      <t>- https://www.niap-ccevs.org/Product/PINE.cfm</t>
    </r>
    <r>
      <rPr>
        <sz val="11"/>
        <color rgb="FF000000"/>
        <rFont val="Calibri"/>
      </rPr>
      <t xml:space="preserve">
</t>
    </r>
    <r>
      <rPr>
        <sz val="11"/>
        <color rgb="FF000000"/>
        <rFont val="Calibri"/>
      </rPr>
      <t>Reference: DOD policy "Use of Non-Government Mobile Devices" (3.a.(2)).</t>
    </r>
    <r>
      <rPr>
        <sz val="11"/>
        <color rgb="FF000000"/>
        <rFont val="Calibri"/>
      </rPr>
      <t xml:space="preserve">
</t>
    </r>
    <r>
      <rPr>
        <sz val="11"/>
        <color rgb="FF000000"/>
        <rFont val="Calibri"/>
      </rPr>
      <t>SFR ID: FMT_SMF_EXT.1.1 #47</t>
    </r>
  </si>
  <si>
    <r>
      <rPr>
        <sz val="11"/>
        <color rgb="FF000000"/>
        <rFont val="Calibri"/>
      </rPr>
      <t>Verify the EMM system supporting the Google Android 14 BYOAD is NIAP-validated (included on the NIAP list of compliant products or products in evaluation). If not, verify the DOD CIO has granted an Approved Exception to Policy (E2P).</t>
    </r>
    <r>
      <rPr>
        <sz val="11"/>
        <color rgb="FF000000"/>
        <rFont val="Calibri"/>
      </rPr>
      <t xml:space="preserve">
</t>
    </r>
    <r>
      <rPr>
        <sz val="11"/>
        <color rgb="FF000000"/>
        <rFont val="Calibri"/>
      </rPr>
      <t>Note: For a VMI solution, both the client and server components must be NIAP compliant.</t>
    </r>
    <r>
      <rPr>
        <sz val="11"/>
        <color rgb="FF000000"/>
        <rFont val="Calibri"/>
      </rPr>
      <t xml:space="preserve">
</t>
    </r>
    <r>
      <rPr>
        <sz val="11"/>
        <color rgb="FF000000"/>
        <rFont val="Calibri"/>
      </rPr>
      <t>If the EMM system supporting the Google Android 14 BYOAD is not NIAP-validated (included on the NIAP list of compliant products or products in evaluation) and the DOD CIO has not granted an Approved Exception to Policy (E2P), this is a finding.</t>
    </r>
  </si>
  <si>
    <t>V-260071</t>
  </si>
  <si>
    <r>
      <rPr>
        <sz val="11"/>
        <rFont val="Calibri"/>
      </rPr>
      <t>The User Agreement must include a description of what personal data and information is being monitored, collected, or managed by the EMM system or deployed agents or tools.</t>
    </r>
  </si>
  <si>
    <r>
      <rPr>
        <sz val="11"/>
        <color rgb="FF000000"/>
        <rFont val="Calibri"/>
      </rPr>
      <t>Include a description of what personal data and information is being monitored, collected, or managed by the EMM system or deployed agents or tools in the user agreement.</t>
    </r>
  </si>
  <si>
    <r>
      <rPr>
        <sz val="11"/>
        <color rgb="FF000000"/>
        <rFont val="Calibri"/>
      </rPr>
      <t>DOD policy states BYOAD owners must sign a user agreement and be made aware of what personal data and activities will be monitored by the Enterprise by including this information in the user agreement.</t>
    </r>
    <r>
      <rPr>
        <sz val="11"/>
        <color rgb="FF000000"/>
        <rFont val="Calibri"/>
      </rPr>
      <t xml:space="preserve">
</t>
    </r>
    <r>
      <rPr>
        <sz val="11"/>
        <color rgb="FF000000"/>
        <rFont val="Calibri"/>
      </rPr>
      <t>Reference: DOD policy "Use of Non-Government Mobile Devices" (3.a.(3)ii, and 3.c.(4)).</t>
    </r>
    <r>
      <rPr>
        <sz val="11"/>
        <color rgb="FF000000"/>
        <rFont val="Calibri"/>
      </rPr>
      <t xml:space="preserve">
</t>
    </r>
    <r>
      <rPr>
        <sz val="11"/>
        <color rgb="FF000000"/>
        <rFont val="Calibri"/>
      </rPr>
      <t>SFR ID: FMT_SMF_EXT.1.1 #47</t>
    </r>
  </si>
  <si>
    <r>
      <rPr>
        <sz val="11"/>
        <color rgb="FF000000"/>
        <rFont val="Calibri"/>
      </rPr>
      <t>Verify the user agreement includes a description of what personal data and information is being monitored, collected, or managed by the EMM system or deployed agents or tools.</t>
    </r>
    <r>
      <rPr>
        <sz val="11"/>
        <color rgb="FF000000"/>
        <rFont val="Calibri"/>
      </rPr>
      <t xml:space="preserve">
</t>
    </r>
    <r>
      <rPr>
        <sz val="11"/>
        <color rgb="FF000000"/>
        <rFont val="Calibri"/>
      </rPr>
      <t>If the user agreement does not include a description of what personal data and information is being monitored, collected, or managed by the EMM system or deployed agents or tools, this is a finding.</t>
    </r>
  </si>
  <si>
    <t>V-260072</t>
  </si>
  <si>
    <r>
      <rPr>
        <sz val="11"/>
        <rFont val="Calibri"/>
      </rPr>
      <t>The DOD Mobile Service Provider must not allow Google Android 14 BYOADs in facilities where personally owned mobile devices are prohibited.</t>
    </r>
  </si>
  <si>
    <r>
      <rPr>
        <sz val="11"/>
        <color rgb="FF000000"/>
        <rFont val="Calibri"/>
      </rPr>
      <t>Do not allow BYOADs in facilities where personally owned mobile devices are prohibited.</t>
    </r>
  </si>
  <si>
    <r>
      <rPr>
        <sz val="11"/>
        <color rgb="FF000000"/>
        <rFont val="Calibri"/>
      </rPr>
      <t>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t>
    </r>
    <r>
      <rPr>
        <sz val="11"/>
        <color rgb="FF000000"/>
        <rFont val="Calibri"/>
      </rPr>
      <t xml:space="preserve">
</t>
    </r>
    <r>
      <rPr>
        <sz val="11"/>
        <color rgb="FF000000"/>
        <rFont val="Calibri"/>
      </rPr>
      <t>Follow local physical security procedures regarding allowing or prohibiting personally owned mobile devices in a DOD facility. If BYOAD devices are brought into facilities where the AO has determined the risk of using personal devices is unacceptable, this could lead to the exposure of sensitive DOD data.</t>
    </r>
    <r>
      <rPr>
        <sz val="11"/>
        <color rgb="FF000000"/>
        <rFont val="Calibri"/>
      </rPr>
      <t xml:space="preserve">
</t>
    </r>
    <r>
      <rPr>
        <sz val="11"/>
        <color rgb="FF000000"/>
        <rFont val="Calibri"/>
      </rPr>
      <t>SFR ID: FMT_SMF_EXT.1.1 #47</t>
    </r>
  </si>
  <si>
    <r>
      <rPr>
        <sz val="11"/>
        <color rgb="FF000000"/>
        <rFont val="Calibri"/>
      </rPr>
      <t>Verify the DOD Mobile Service Provider or ISSO/ISSM do not allow BYOADs in facilities where personally owned mobile devices are prohibited.</t>
    </r>
    <r>
      <rPr>
        <sz val="11"/>
        <color rgb="FF000000"/>
        <rFont val="Calibri"/>
      </rPr>
      <t xml:space="preserve">
</t>
    </r>
    <r>
      <rPr>
        <sz val="11"/>
        <color rgb="FF000000"/>
        <rFont val="Calibri"/>
      </rPr>
      <t>If the DOD Mobile Service Provider or ISSO/ISSM allows BYOADs in facilities where personally owned mobile devices are prohibited, this is a finding.</t>
    </r>
  </si>
  <si>
    <t>V-260073</t>
  </si>
  <si>
    <r>
      <rPr>
        <sz val="11"/>
        <rFont val="Calibri"/>
      </rPr>
      <t>The Google Android 14 BYOAD must be configured to disable device cameras and/or microphones when brought into DOD facilities where mobile phone cameras and/or microphones are prohibited.</t>
    </r>
  </si>
  <si>
    <r>
      <rPr>
        <sz val="11"/>
        <color rgb="FF000000"/>
        <rFont val="Calibri"/>
      </rPr>
      <t>Do not allow Google Android 14 BYOADs in DOD facilities where mobile phone cameras and/or microphones are prohibited.</t>
    </r>
    <r>
      <rPr>
        <sz val="11"/>
        <color rgb="FF000000"/>
        <rFont val="Calibri"/>
      </rPr>
      <t xml:space="preserve">
</t>
    </r>
    <r>
      <rPr>
        <sz val="11"/>
        <color rgb="FF000000"/>
        <rFont val="Calibri"/>
      </rPr>
      <t>It is not possible for the MDM to disable camera and microphones on an Android device in BYOD mode.</t>
    </r>
  </si>
  <si>
    <r>
      <rPr>
        <sz val="11"/>
        <color rgb="FF000000"/>
        <rFont val="Calibri"/>
      </rPr>
      <t>In some DOD operational environments, the use of the mobile device camera or microphone could lead to a security incident or compromise of DOD information. The System Administrator must have the capability to disable the mobile device camera and/or microphone based on mission needs. Alternatively, mobile devices with cameras or microphones that cannot be disabled must be prohibited from the facility by the ISSO/ISSM.</t>
    </r>
    <r>
      <rPr>
        <sz val="11"/>
        <color rgb="FF000000"/>
        <rFont val="Calibri"/>
      </rPr>
      <t xml:space="preserve">
</t>
    </r>
    <r>
      <rPr>
        <sz val="11"/>
        <color rgb="FF000000"/>
        <rFont val="Calibri"/>
      </rPr>
      <t>If BYOAD devices are brought into facilities where the AO has determined the risk of using mobile device cameras or microphones is unacceptable, this could lead to the exposure of sensitive DOD data.</t>
    </r>
    <r>
      <rPr>
        <sz val="11"/>
        <color rgb="FF000000"/>
        <rFont val="Calibri"/>
      </rPr>
      <t xml:space="preserve">
</t>
    </r>
    <r>
      <rPr>
        <sz val="11"/>
        <color rgb="FF000000"/>
        <rFont val="Calibri"/>
      </rPr>
      <t>SFR ID: FMT_SMF_EXT.1.1 #47</t>
    </r>
  </si>
  <si>
    <r>
      <rPr>
        <sz val="11"/>
        <color rgb="FF000000"/>
        <rFont val="Calibri"/>
      </rPr>
      <t>Verify Google Android 14 BYOADs are prohibited in DOD facilities that prohibit mobile devices with cameras and microphones. (It is not possible for the MDM to disable camera and microphones on an Android device in BYOD mode.)</t>
    </r>
    <r>
      <rPr>
        <sz val="11"/>
        <color rgb="FF000000"/>
        <rFont val="Calibri"/>
      </rPr>
      <t xml:space="preserve">
</t>
    </r>
    <r>
      <rPr>
        <sz val="11"/>
        <color rgb="FF000000"/>
        <rFont val="Calibri"/>
      </rPr>
      <t>If for DOD sites that prohibit mobile devices with cameras and microphones, Google Android 14 BYOADs have not been prohibited from the facility by the ISSO/ISSM, this is a finding.</t>
    </r>
  </si>
  <si>
    <t>V-260074</t>
  </si>
  <si>
    <r>
      <rPr>
        <sz val="11"/>
        <rFont val="Calibri"/>
      </rPr>
      <t>The mobile device used for BYOAD must be NIAP validated.</t>
    </r>
  </si>
  <si>
    <r>
      <rPr>
        <sz val="11"/>
        <color rgb="FF000000"/>
        <rFont val="Calibri"/>
      </rPr>
      <t>Use only mobile devices for BYOAD that are NIAP validated (included on the NIAP list of compliant products or products in evaluation).</t>
    </r>
  </si>
  <si>
    <r>
      <rPr>
        <sz val="11"/>
        <color rgb="FF000000"/>
        <rFont val="Calibri"/>
      </rPr>
      <t>Nonapproved mobile devices may not include sufficient controls to protect work data, applications, and networks from malware or adversary attack.</t>
    </r>
    <r>
      <rPr>
        <sz val="11"/>
        <color rgb="FF000000"/>
        <rFont val="Calibri"/>
      </rPr>
      <t xml:space="preserve">
</t>
    </r>
    <r>
      <rPr>
        <sz val="11"/>
        <color rgb="FF000000"/>
        <rFont val="Calibri"/>
      </rPr>
      <t>Components must only approve devices listed on the NIAP compliant product list or products listed in evaluation at the following links respectfully:</t>
    </r>
    <r>
      <rPr>
        <sz val="11"/>
        <color rgb="FF000000"/>
        <rFont val="Calibri"/>
      </rPr>
      <t xml:space="preserve">
</t>
    </r>
    <r>
      <rPr>
        <sz val="11"/>
        <color rgb="FF000000"/>
        <rFont val="Calibri"/>
      </rPr>
      <t>- https://www.niap-ccevs.org/Product/</t>
    </r>
    <r>
      <rPr>
        <sz val="11"/>
        <color rgb="FF000000"/>
        <rFont val="Calibri"/>
      </rPr>
      <t xml:space="preserve">
</t>
    </r>
    <r>
      <rPr>
        <sz val="11"/>
        <color rgb="FF000000"/>
        <rFont val="Calibri"/>
      </rPr>
      <t>- https://www.niap-ccevs.org/Product/PINE.cfm</t>
    </r>
    <r>
      <rPr>
        <sz val="11"/>
        <color rgb="FF000000"/>
        <rFont val="Calibri"/>
      </rPr>
      <t xml:space="preserve">
</t>
    </r>
    <r>
      <rPr>
        <sz val="11"/>
        <color rgb="FF000000"/>
        <rFont val="Calibri"/>
      </rPr>
      <t>Reference: DOD policy "Use of Non-Government Mobile Devices" (3.b.(1)i).</t>
    </r>
    <r>
      <rPr>
        <sz val="11"/>
        <color rgb="FF000000"/>
        <rFont val="Calibri"/>
      </rPr>
      <t xml:space="preserve">
</t>
    </r>
    <r>
      <rPr>
        <sz val="11"/>
        <color rgb="FF000000"/>
        <rFont val="Calibri"/>
      </rPr>
      <t>SFR ID: FMT_SMF_EXT.1.1 #47</t>
    </r>
  </si>
  <si>
    <r>
      <rPr>
        <sz val="11"/>
        <color rgb="FF000000"/>
        <rFont val="Calibri"/>
      </rPr>
      <t>Verify the mobile device used for BYOAD is NIAP validated (included on the NIAP list of compliant products or products in evaluation).</t>
    </r>
    <r>
      <rPr>
        <sz val="11"/>
        <color rgb="FF000000"/>
        <rFont val="Calibri"/>
      </rPr>
      <t xml:space="preserve">
</t>
    </r>
    <r>
      <rPr>
        <sz val="11"/>
        <color rgb="FF000000"/>
        <rFont val="Calibri"/>
      </rPr>
      <t>If the mobile device used for BYOAD is not NIAP validated (included on the NIAP list of compliant products or products in evaluation), this is a finding.</t>
    </r>
  </si>
  <si>
    <t>V-260082</t>
  </si>
  <si>
    <r>
      <rPr>
        <sz val="11"/>
        <rFont val="Calibri"/>
      </rPr>
      <t>Google Android 14 must prohibit DOD VPN profiles in the Personal Profile.</t>
    </r>
  </si>
  <si>
    <t>MDFPP 3.3</t>
  </si>
  <si>
    <r>
      <rPr>
        <sz val="11"/>
        <color rgb="FF000000"/>
        <rFont val="Calibri"/>
      </rPr>
      <t>Do not configure DOD VPN profiles in the Personal Profile. If there is a DOD VPN profile configured in the Personal Profile, remove it.</t>
    </r>
  </si>
  <si>
    <r>
      <rPr>
        <sz val="11"/>
        <color rgb="FF000000"/>
        <rFont val="Calibri"/>
      </rPr>
      <t>If DOD VPN profiles are configured in the Personal Profile DOD sensitive data world be at risk of compromise and the DOD network could be at risk of being attacked by malware installed on the device.</t>
    </r>
    <r>
      <rPr>
        <sz val="11"/>
        <color rgb="FF000000"/>
        <rFont val="Calibri"/>
      </rPr>
      <t xml:space="preserve">
</t>
    </r>
    <r>
      <rPr>
        <sz val="11"/>
        <color rgb="FF000000"/>
        <rFont val="Calibri"/>
      </rPr>
      <t>SFR ID: FMT_SMF_EXT.1.1 #3</t>
    </r>
  </si>
  <si>
    <r>
      <rPr>
        <sz val="11"/>
        <color rgb="FF000000"/>
        <rFont val="Calibri"/>
      </rPr>
      <t>Review the list of VPN profiles in the Personal Profile and determine if any VPN profiles are listed. If so, verify the VPN profiles are not configured with a DOD network VPN profile.</t>
    </r>
    <r>
      <rPr>
        <sz val="11"/>
        <color rgb="FF000000"/>
        <rFont val="Calibri"/>
      </rPr>
      <t xml:space="preserve">
</t>
    </r>
    <r>
      <rPr>
        <sz val="11"/>
        <color rgb="FF000000"/>
        <rFont val="Calibri"/>
      </rPr>
      <t>If any VPN profiles are installed in the Personal Profile and they have a DOD network VPN profile configured, this is a finding.</t>
    </r>
    <r>
      <rPr>
        <sz val="11"/>
        <color rgb="FF000000"/>
        <rFont val="Calibri"/>
      </rPr>
      <t xml:space="preserve">
</t>
    </r>
    <r>
      <rPr>
        <sz val="11"/>
        <color rgb="FF000000"/>
        <rFont val="Calibri"/>
      </rPr>
      <t>Note: This setting cannot be managed by the MDM administrator and is a User-Based Enforcement (UBE) requirement.</t>
    </r>
  </si>
  <si>
    <t>V-260126</t>
  </si>
  <si>
    <r>
      <rPr>
        <sz val="11"/>
        <rFont val="Calibri"/>
      </rPr>
      <t>Google Android 14 must be configured to enforce a minimum password length of six characters and not allow passwords that include more than four repeating or sequential characters.</t>
    </r>
  </si>
  <si>
    <r>
      <rPr>
        <sz val="11"/>
        <color rgb="FF000000"/>
        <rFont val="Calibri"/>
      </rPr>
      <t>Configure the Google Android 14 device to enforce high password quality for the device and standard DOD password complexity rules for the Work Profile (at least six-character length and prevent passwords from containing more than four repeating or sequential characters). In addition, enable OneLock so the user only must enter their device password to unlock the Work Profile. Note: enabling OneLock is optional and is a two-step process: configuration on the EMM and configuration by the user on the phone. If OneLock is not used, the user will always need to enter separate passwords to unlock the device and to unlock the Work Profile.</t>
    </r>
    <r>
      <rPr>
        <sz val="11"/>
        <color rgb="FF000000"/>
        <rFont val="Calibri"/>
      </rPr>
      <t xml:space="preserve">
</t>
    </r>
    <r>
      <rPr>
        <sz val="11"/>
        <color rgb="FF000000"/>
        <rFont val="Calibri"/>
      </rPr>
      <t>1. Set the password on the whole device:</t>
    </r>
    <r>
      <rPr>
        <sz val="11"/>
        <color rgb="FF000000"/>
        <rFont val="Calibri"/>
      </rPr>
      <t xml:space="preserve">
</t>
    </r>
    <r>
      <rPr>
        <sz val="11"/>
        <color rgb="FF000000"/>
        <rFont val="Calibri"/>
      </rPr>
      <t>Set device password complexity to "HIGH" (requires (at minimum) an eight numeric character password, or six alphabetic character password, or a six alphanumeric character password).</t>
    </r>
    <r>
      <rPr>
        <sz val="11"/>
        <color rgb="FF000000"/>
        <rFont val="Calibri"/>
      </rPr>
      <t xml:space="preserve">
</t>
    </r>
    <r>
      <rPr>
        <sz val="11"/>
        <color rgb="FF000000"/>
        <rFont val="Calibri"/>
      </rPr>
      <t>On the EMM console, do the following:</t>
    </r>
    <r>
      <rPr>
        <sz val="11"/>
        <color rgb="FF000000"/>
        <rFont val="Calibri"/>
      </rPr>
      <t xml:space="preserve">
</t>
    </r>
    <r>
      <rPr>
        <sz val="11"/>
        <color rgb="FF000000"/>
        <rFont val="Calibri"/>
      </rPr>
      <t>a. Open "Lock screen" settings.</t>
    </r>
    <r>
      <rPr>
        <sz val="11"/>
        <color rgb="FF000000"/>
        <rFont val="Calibri"/>
      </rPr>
      <t xml:space="preserve">
</t>
    </r>
    <r>
      <rPr>
        <sz val="11"/>
        <color rgb="FF000000"/>
        <rFont val="Calibri"/>
      </rPr>
      <t>b. Open "Set required password complexity on parent".</t>
    </r>
    <r>
      <rPr>
        <sz val="11"/>
        <color rgb="FF000000"/>
        <rFont val="Calibri"/>
      </rPr>
      <t xml:space="preserve">
</t>
    </r>
    <r>
      <rPr>
        <sz val="11"/>
        <color rgb="FF000000"/>
        <rFont val="Calibri"/>
      </rPr>
      <t>c. Select "High".</t>
    </r>
    <r>
      <rPr>
        <sz val="11"/>
        <color rgb="FF000000"/>
        <rFont val="Calibri"/>
      </rPr>
      <t xml:space="preserve">
</t>
    </r>
    <r>
      <rPr>
        <sz val="11"/>
        <color rgb="FF000000"/>
        <rFont val="Calibri"/>
      </rPr>
      <t>2. Set DOD password for the Work Profile.</t>
    </r>
    <r>
      <rPr>
        <sz val="11"/>
        <color rgb="FF000000"/>
        <rFont val="Calibri"/>
      </rPr>
      <t xml:space="preserve">
</t>
    </r>
    <r>
      <rPr>
        <sz val="11"/>
        <color rgb="FF000000"/>
        <rFont val="Calibri"/>
      </rPr>
      <t>On the EMM console, do the following:</t>
    </r>
    <r>
      <rPr>
        <sz val="11"/>
        <color rgb="FF000000"/>
        <rFont val="Calibri"/>
      </rPr>
      <t xml:space="preserve">
</t>
    </r>
    <r>
      <rPr>
        <sz val="11"/>
        <color rgb="FF000000"/>
        <rFont val="Calibri"/>
      </rPr>
      <t>a. Open "Lock screen" settings.</t>
    </r>
    <r>
      <rPr>
        <sz val="11"/>
        <color rgb="FF000000"/>
        <rFont val="Calibri"/>
      </rPr>
      <t xml:space="preserve">
</t>
    </r>
    <r>
      <rPr>
        <sz val="11"/>
        <color rgb="FF000000"/>
        <rFont val="Calibri"/>
      </rPr>
      <t>b. Open "Password constraints".</t>
    </r>
    <r>
      <rPr>
        <sz val="11"/>
        <color rgb="FF000000"/>
        <rFont val="Calibri"/>
      </rPr>
      <t xml:space="preserve">
</t>
    </r>
    <r>
      <rPr>
        <sz val="11"/>
        <color rgb="FF000000"/>
        <rFont val="Calibri"/>
      </rPr>
      <t>c. Open "Minimum password quality".</t>
    </r>
    <r>
      <rPr>
        <sz val="11"/>
        <color rgb="FF000000"/>
        <rFont val="Calibri"/>
      </rPr>
      <t xml:space="preserve">
</t>
    </r>
    <r>
      <rPr>
        <sz val="11"/>
        <color rgb="FF000000"/>
        <rFont val="Calibri"/>
      </rPr>
      <t>d. Choose Numeric Complex, Alphabetic, Alphanumeric, or Complex.</t>
    </r>
    <r>
      <rPr>
        <sz val="11"/>
        <color rgb="FF000000"/>
        <rFont val="Calibri"/>
      </rPr>
      <t xml:space="preserve">
</t>
    </r>
    <r>
      <rPr>
        <sz val="11"/>
        <color rgb="FF000000"/>
        <rFont val="Calibri"/>
      </rPr>
      <t>e. Open "Minimum password length".</t>
    </r>
    <r>
      <rPr>
        <sz val="11"/>
        <color rgb="FF000000"/>
        <rFont val="Calibri"/>
      </rPr>
      <t xml:space="preserve">
</t>
    </r>
    <r>
      <rPr>
        <sz val="11"/>
        <color rgb="FF000000"/>
        <rFont val="Calibri"/>
      </rPr>
      <t>f. Enter in the number of characters as "6".</t>
    </r>
    <r>
      <rPr>
        <sz val="11"/>
        <color rgb="FF000000"/>
        <rFont val="Calibri"/>
      </rPr>
      <t xml:space="preserve">
</t>
    </r>
    <r>
      <rPr>
        <sz val="11"/>
        <color rgb="FF000000"/>
        <rFont val="Calibri"/>
      </rPr>
      <t>3. Enable OneLock on the EMM.</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a. Disable the following Android API: "DISALLOW_UNIFIED_PASSWORD". The exact procedure will depend on the EMM product.</t>
    </r>
    <r>
      <rPr>
        <sz val="11"/>
        <color rgb="FF000000"/>
        <rFont val="Calibri"/>
      </rPr>
      <t xml:space="preserve">
</t>
    </r>
    <r>
      <rPr>
        <sz val="11"/>
        <color rgb="FF000000"/>
        <rFont val="Calibri"/>
      </rPr>
      <t>Note: this control may be called "Require separate challenge".</t>
    </r>
    <r>
      <rPr>
        <sz val="11"/>
        <color rgb="FF000000"/>
        <rFont val="Calibri"/>
      </rPr>
      <t xml:space="preserve">
</t>
    </r>
    <r>
      <rPr>
        <sz val="11"/>
        <color rgb="FF000000"/>
        <rFont val="Calibri"/>
      </rPr>
      <t>4. Train users to implement OneLock with the following User Based Enforcement (UBE): procedure:</t>
    </r>
    <r>
      <rPr>
        <sz val="11"/>
        <color rgb="FF000000"/>
        <rFont val="Calibri"/>
      </rPr>
      <t xml:space="preserve">
</t>
    </r>
    <r>
      <rPr>
        <sz val="11"/>
        <color rgb="FF000000"/>
        <rFont val="Calibri"/>
      </rPr>
      <t>a. Open Settings &gt;&gt; Security &amp; privacy &gt;&gt; More security settings.</t>
    </r>
    <r>
      <rPr>
        <sz val="11"/>
        <color rgb="FF000000"/>
        <rFont val="Calibri"/>
      </rPr>
      <t xml:space="preserve">
</t>
    </r>
    <r>
      <rPr>
        <sz val="11"/>
        <color rgb="FF000000"/>
        <rFont val="Calibri"/>
      </rPr>
      <t>b. Enable "Use one lock".</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</si>
  <si>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do each attempt, and the size of the password space. The longer the minimum length of the password is, the larger the password space. Having a too-short minimum password length significantly reduces password strength, increasing the chance of password compromise and resulting device and data compromise.</t>
    </r>
    <r>
      <rPr>
        <sz val="11"/>
        <color rgb="FF000000"/>
        <rFont val="Calibri"/>
      </rPr>
      <t xml:space="preserve">
</t>
    </r>
    <r>
      <rPr>
        <sz val="11"/>
        <color rgb="FF000000"/>
        <rFont val="Calibri"/>
      </rPr>
      <t>Satisfies: PP-MDF-333024,PP-MDF-333025</t>
    </r>
    <r>
      <rPr>
        <sz val="11"/>
        <color rgb="FF000000"/>
        <rFont val="Calibri"/>
      </rPr>
      <t xml:space="preserve">
</t>
    </r>
    <r>
      <rPr>
        <sz val="11"/>
        <color rgb="FF000000"/>
        <rFont val="Calibri"/>
      </rPr>
      <t>SFR ID: FMT_SMF_EXT.1.1 #1a</t>
    </r>
  </si>
  <si>
    <r>
      <rPr>
        <sz val="11"/>
        <color rgb="FF000000"/>
        <rFont val="Calibri"/>
      </rPr>
      <t>Review managed Google Android 14 device configuration settings to determine if the mobile device is enforcing a high password quality for the device and standard DOD password complexity rules for the Work Profile (at least six-character length and prevent passwords from containing more than four repeating or sequential characters).</t>
    </r>
    <r>
      <rPr>
        <sz val="11"/>
        <color rgb="FF000000"/>
        <rFont val="Calibri"/>
      </rPr>
      <t xml:space="preserve">
</t>
    </r>
    <r>
      <rPr>
        <sz val="11"/>
        <color rgb="FF000000"/>
        <rFont val="Calibri"/>
      </rPr>
      <t>1. Verify the device password configuration:</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a. Open "Lock screen" settings.</t>
    </r>
    <r>
      <rPr>
        <sz val="11"/>
        <color rgb="FF000000"/>
        <rFont val="Calibri"/>
      </rPr>
      <t xml:space="preserve">
</t>
    </r>
    <r>
      <rPr>
        <sz val="11"/>
        <color rgb="FF000000"/>
        <rFont val="Calibri"/>
      </rPr>
      <t>b. Open "Set required password complexity on parent".</t>
    </r>
    <r>
      <rPr>
        <sz val="11"/>
        <color rgb="FF000000"/>
        <rFont val="Calibri"/>
      </rPr>
      <t xml:space="preserve">
</t>
    </r>
    <r>
      <rPr>
        <sz val="11"/>
        <color rgb="FF000000"/>
        <rFont val="Calibri"/>
      </rPr>
      <t>c. Verify "High" is selected.</t>
    </r>
    <r>
      <rPr>
        <sz val="11"/>
        <color rgb="FF000000"/>
        <rFont val="Calibri"/>
      </rPr>
      <t xml:space="preserve">
</t>
    </r>
    <r>
      <rPr>
        <sz val="11"/>
        <color rgb="FF000000"/>
        <rFont val="Calibri"/>
      </rPr>
      <t>2. Verify the Work Profile password configuration:</t>
    </r>
    <r>
      <rPr>
        <sz val="11"/>
        <color rgb="FF000000"/>
        <rFont val="Calibri"/>
      </rPr>
      <t xml:space="preserve">
</t>
    </r>
    <r>
      <rPr>
        <sz val="11"/>
        <color rgb="FF000000"/>
        <rFont val="Calibri"/>
      </rPr>
      <t>On the EMM console (for the work profile):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Open "Minimum password quality".</t>
    </r>
    <r>
      <rPr>
        <sz val="11"/>
        <color rgb="FF000000"/>
        <rFont val="Calibri"/>
      </rPr>
      <t xml:space="preserve">
</t>
    </r>
    <r>
      <rPr>
        <sz val="11"/>
        <color rgb="FF000000"/>
        <rFont val="Calibri"/>
      </rPr>
      <t>4. Verify Numeric Complex, Alphabetic, Alphanumeric, or Complex is selected.</t>
    </r>
    <r>
      <rPr>
        <sz val="11"/>
        <color rgb="FF000000"/>
        <rFont val="Calibri"/>
      </rPr>
      <t xml:space="preserve">
</t>
    </r>
    <r>
      <rPr>
        <sz val="11"/>
        <color rgb="FF000000"/>
        <rFont val="Calibri"/>
      </rPr>
      <t>5. Open "Minimum password length".</t>
    </r>
    <r>
      <rPr>
        <sz val="11"/>
        <color rgb="FF000000"/>
        <rFont val="Calibri"/>
      </rPr>
      <t xml:space="preserve">
</t>
    </r>
    <r>
      <rPr>
        <sz val="11"/>
        <color rgb="FF000000"/>
        <rFont val="Calibri"/>
      </rPr>
      <t>6. Verify "6" is set for number of characters.</t>
    </r>
    <r>
      <rPr>
        <sz val="11"/>
        <color rgb="FF000000"/>
        <rFont val="Calibri"/>
      </rPr>
      <t xml:space="preserve">
</t>
    </r>
    <r>
      <rPr>
        <sz val="11"/>
        <color rgb="FF000000"/>
        <rFont val="Calibri"/>
      </rPr>
      <t>If the device password quality is not set to High, or the Work Profile password length is not set to six characters, or the password quality is not set as required, this is a finding.</t>
    </r>
    <r>
      <rPr>
        <sz val="11"/>
        <color rgb="FF000000"/>
        <rFont val="Calibri"/>
      </rPr>
      <t xml:space="preserve">
</t>
    </r>
    <r>
      <rPr>
        <sz val="11"/>
        <color rgb="FF000000"/>
        <rFont val="Calibri"/>
      </rPr>
      <t>Note: verifying the OneLock configuration is not required because the use of OneLock is optional.</t>
    </r>
  </si>
  <si>
    <t>V-260128</t>
  </si>
  <si>
    <r>
      <rPr>
        <sz val="11"/>
        <rFont val="Calibri"/>
      </rPr>
      <t>Google Android 14 must be configured to lock the display after 15 minutes (or less) of inactivity.</t>
    </r>
  </si>
  <si>
    <r>
      <rPr>
        <sz val="11"/>
        <color rgb="FF000000"/>
        <rFont val="Calibri"/>
      </rPr>
      <t>Configure the Google Android 14 device to enable a screen-lock policy of 15 minutes for the max period of inactivity.</t>
    </r>
    <r>
      <rPr>
        <sz val="11"/>
        <color rgb="FF000000"/>
        <rFont val="Calibri"/>
      </rPr>
      <t xml:space="preserve">
</t>
    </r>
    <r>
      <rPr>
        <sz val="11"/>
        <color rgb="FF000000"/>
        <rFont val="Calibri"/>
      </rPr>
      <t>Note: Google Android 14 does not support the 15 minute increment. The available allowable selection is 10 minutes, then increases to 30 minutes. Therefore, the control will be set to 10 minutes.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Set "Max time to screen lock" to "600".</t>
    </r>
    <r>
      <rPr>
        <sz val="11"/>
        <color rgb="FF000000"/>
        <rFont val="Calibri"/>
      </rPr>
      <t xml:space="preserve">
</t>
    </r>
    <r>
      <rPr>
        <sz val="11"/>
        <color rgb="FF000000"/>
        <rFont val="Calibri"/>
      </rPr>
      <t>Note: The units are in seconds.</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</si>
  <si>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FMT_SMF_EXT.1.1 #2b</t>
    </r>
  </si>
  <si>
    <r>
      <rPr>
        <sz val="11"/>
        <color rgb="FF000000"/>
        <rFont val="Calibri"/>
      </rPr>
      <t>Review managed Google Android device configuration settings to determine if the mobile device is enforcing a screen-lock policy that will lock the display after a period of 15 minutes or less of inactivity.</t>
    </r>
    <r>
      <rPr>
        <sz val="11"/>
        <color rgb="FF000000"/>
        <rFont val="Calibri"/>
      </rPr>
      <t xml:space="preserve">
</t>
    </r>
    <r>
      <rPr>
        <sz val="11"/>
        <color rgb="FF000000"/>
        <rFont val="Calibri"/>
      </rPr>
      <t>Note: Google Android 14 does not support the 15-minute increment. The available allowable selection is 10 minutes, then increases to 30 minutes. Therefore, the control should be set to 10 minutes.</t>
    </r>
    <r>
      <rPr>
        <sz val="11"/>
        <color rgb="FF000000"/>
        <rFont val="Calibri"/>
      </rPr>
      <t xml:space="preserve">
</t>
    </r>
    <r>
      <rPr>
        <sz val="11"/>
        <color rgb="FF000000"/>
        <rFont val="Calibri"/>
      </rPr>
      <t>This validation procedure is performed on both the EMM Administration Console and the Android 14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Verify that "Max time to screen lock" is set to "600".</t>
    </r>
    <r>
      <rPr>
        <sz val="11"/>
        <color rgb="FF000000"/>
        <rFont val="Calibri"/>
      </rPr>
      <t xml:space="preserve">
</t>
    </r>
    <r>
      <rPr>
        <sz val="11"/>
        <color rgb="FF000000"/>
        <rFont val="Calibri"/>
      </rPr>
      <t>Note: The units are in seconds.</t>
    </r>
    <r>
      <rPr>
        <sz val="11"/>
        <color rgb="FF000000"/>
        <rFont val="Calibri"/>
      </rPr>
      <t xml:space="preserve">
</t>
    </r>
    <r>
      <rPr>
        <sz val="11"/>
        <color rgb="FF000000"/>
        <rFont val="Calibri"/>
      </rPr>
      <t>On the managed Google Android 14 device:</t>
    </r>
    <r>
      <rPr>
        <sz val="11"/>
        <color rgb="FF000000"/>
        <rFont val="Calibri"/>
      </rPr>
      <t xml:space="preserve">
</t>
    </r>
    <r>
      <rPr>
        <sz val="11"/>
        <color rgb="FF000000"/>
        <rFont val="Calibri"/>
      </rPr>
      <t>1. Open Settings &gt;&gt; Display.</t>
    </r>
    <r>
      <rPr>
        <sz val="11"/>
        <color rgb="FF000000"/>
        <rFont val="Calibri"/>
      </rPr>
      <t xml:space="preserve">
</t>
    </r>
    <r>
      <rPr>
        <sz val="11"/>
        <color rgb="FF000000"/>
        <rFont val="Calibri"/>
      </rPr>
      <t>2. Tap "Screen timeout".</t>
    </r>
    <r>
      <rPr>
        <sz val="11"/>
        <color rgb="FF000000"/>
        <rFont val="Calibri"/>
      </rPr>
      <t xml:space="preserve">
</t>
    </r>
    <r>
      <rPr>
        <sz val="11"/>
        <color rgb="FF000000"/>
        <rFont val="Calibri"/>
      </rPr>
      <t>3. Ensure the Screen timeout value is set to "600" seconds or less.</t>
    </r>
    <r>
      <rPr>
        <sz val="11"/>
        <color rgb="FF000000"/>
        <rFont val="Calibri"/>
      </rPr>
      <t xml:space="preserve">
</t>
    </r>
    <r>
      <rPr>
        <sz val="11"/>
        <color rgb="FF000000"/>
        <rFont val="Calibri"/>
      </rPr>
      <t>If the EMM console device policy is not set to enable a screen-lock policy that will lock the display after a period of inactivity of 600 seconds or less, this is a finding.</t>
    </r>
  </si>
  <si>
    <t>V-260129</t>
  </si>
  <si>
    <r>
      <rPr>
        <sz val="11"/>
        <rFont val="Calibri"/>
      </rPr>
      <t>Google Android 14 must be configured to not allow more than 10 consecutive failed authentication attempts.</t>
    </r>
  </si>
  <si>
    <r>
      <rPr>
        <sz val="11"/>
        <color rgb="FF000000"/>
        <rFont val="Calibri"/>
      </rPr>
      <t>Configure the Google Android 14 device to allow only 10 or fewer consecutive failed authentication attempts.</t>
    </r>
    <r>
      <rPr>
        <sz val="11"/>
        <color rgb="FF000000"/>
        <rFont val="Calibri"/>
      </rPr>
      <t xml:space="preserve">
</t>
    </r>
    <r>
      <rPr>
        <sz val="11"/>
        <color rgb="FF000000"/>
        <rFont val="Calibri"/>
      </rPr>
      <t>Note: Work Profile will be wiped.</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Set "Max password failures for local wipe" to a number between 1 and 10.</t>
    </r>
  </si>
  <si>
    <r>
      <rPr>
        <sz val="11"/>
        <color rgb="FF000000"/>
        <rFont val="Calibri"/>
      </rPr>
      <t>The more attempts an adversary makes to guess a password, the more likely the adversary will enter the correct password and gain access to resources on the device. Setting a limit on the number of attempts mitigates this risk. Setting the limit at 10 or less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 ID: FMT_SMF_EXT.1.1 #2c, FIA_AFL_EXT.1.5</t>
    </r>
  </si>
  <si>
    <r>
      <rPr>
        <sz val="11"/>
        <color rgb="FF000000"/>
        <rFont val="Calibri"/>
      </rPr>
      <t>Review managed Google Android 14 device configuration settings to determine if the work profile has the maximum number of consecutive failed authentication attempts set at 10 or fewer.</t>
    </r>
    <r>
      <rPr>
        <sz val="11"/>
        <color rgb="FF000000"/>
        <rFont val="Calibri"/>
      </rPr>
      <t xml:space="preserve">
</t>
    </r>
    <r>
      <rPr>
        <sz val="11"/>
        <color rgb="FF000000"/>
        <rFont val="Calibri"/>
      </rPr>
      <t>This validation procedure is performed on both the EMM Administration Console and the managed Google Android 14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Verify that "Max password failures for local wipe" is set to a number between 1 and 10.</t>
    </r>
    <r>
      <rPr>
        <sz val="11"/>
        <color rgb="FF000000"/>
        <rFont val="Calibri"/>
      </rPr>
      <t xml:space="preserve">
</t>
    </r>
    <r>
      <rPr>
        <sz val="11"/>
        <color rgb="FF000000"/>
        <rFont val="Calibri"/>
      </rPr>
      <t>On the managed Google Android 14 device:</t>
    </r>
    <r>
      <rPr>
        <sz val="11"/>
        <color rgb="FF000000"/>
        <rFont val="Calibri"/>
      </rPr>
      <t xml:space="preserve">
</t>
    </r>
    <r>
      <rPr>
        <sz val="11"/>
        <color rgb="FF000000"/>
        <rFont val="Calibri"/>
      </rPr>
      <t>1. Lock the device screen.</t>
    </r>
    <r>
      <rPr>
        <sz val="11"/>
        <color rgb="FF000000"/>
        <rFont val="Calibri"/>
      </rPr>
      <t xml:space="preserve">
</t>
    </r>
    <r>
      <rPr>
        <sz val="11"/>
        <color rgb="FF000000"/>
        <rFont val="Calibri"/>
      </rPr>
      <t>2. Attempt to unlock the device and validate that the device autowipes the Work Profile after specified number of invalid entries. Note: Perform this verification only with a test phone set up with a production profile.</t>
    </r>
    <r>
      <rPr>
        <sz val="11"/>
        <color rgb="FF000000"/>
        <rFont val="Calibri"/>
      </rPr>
      <t xml:space="preserve">
</t>
    </r>
    <r>
      <rPr>
        <sz val="11"/>
        <color rgb="FF000000"/>
        <rFont val="Calibri"/>
      </rPr>
      <t>3. Attempt to unlock the Work Profile and validate that the device autowipes the Work Profile after specified number of invalid entries. Note: Perform this verification only with a test phone set up with a production profile.</t>
    </r>
    <r>
      <rPr>
        <sz val="11"/>
        <color rgb="FF000000"/>
        <rFont val="Calibri"/>
      </rPr>
      <t xml:space="preserve">
</t>
    </r>
    <r>
      <rPr>
        <sz val="11"/>
        <color rgb="FF000000"/>
        <rFont val="Calibri"/>
      </rPr>
      <t>If the EMM console device policy is not set to the maximum number of consecutive failed authentication attempts at 10 or fewer, or if on the managed Google Android 14 device the device policy is not set to the maximum number of consecutive failed authentication attempts at 10 or fewer, this is a finding.</t>
    </r>
  </si>
  <si>
    <t>V-260130</t>
  </si>
  <si>
    <r>
      <rPr>
        <sz val="11"/>
        <rFont val="Calibri"/>
      </rPr>
      <t>Google Android 14 must be configured to enforce an application installation policy by specifying one or more authorized application repositories.</t>
    </r>
  </si>
  <si>
    <r>
      <rPr>
        <sz val="11"/>
        <color rgb="FF000000"/>
        <rFont val="Calibri"/>
      </rPr>
      <t>Configure the Google Android 14 device to disable unauthorized application repositories.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install unknown sources" to "ON".</t>
    </r>
    <r>
      <rPr>
        <sz val="11"/>
        <color rgb="FF000000"/>
        <rFont val="Calibri"/>
      </rPr>
      <t xml:space="preserve">
</t>
    </r>
    <r>
      <rPr>
        <sz val="11"/>
        <color rgb="FF000000"/>
        <rFont val="Calibri"/>
      </rPr>
      <t>3. Toggle "Disallow installs from unknown sources globally" to "ON".</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</si>
  <si>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 ID: FMT_SMF_EXT.1.1 #8a</t>
    </r>
  </si>
  <si>
    <r>
      <rPr>
        <sz val="11"/>
        <color rgb="FF000000"/>
        <rFont val="Calibri"/>
      </rPr>
      <t>Review managed Google Android 14 device configuration settings to determine if the mobile device has only approved application repositories.</t>
    </r>
    <r>
      <rPr>
        <sz val="11"/>
        <color rgb="FF000000"/>
        <rFont val="Calibri"/>
      </rPr>
      <t xml:space="preserve">
</t>
    </r>
    <r>
      <rPr>
        <sz val="11"/>
        <color rgb="FF000000"/>
        <rFont val="Calibri"/>
      </rPr>
      <t>This validation procedure is performed on both the EMM Administration Console and the managed Google Android 14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install unknown sources" is toggled to "ON".</t>
    </r>
    <r>
      <rPr>
        <sz val="11"/>
        <color rgb="FF000000"/>
        <rFont val="Calibri"/>
      </rPr>
      <t xml:space="preserve">
</t>
    </r>
    <r>
      <rPr>
        <sz val="11"/>
        <color rgb="FF000000"/>
        <rFont val="Calibri"/>
      </rPr>
      <t>3. Verify that "Disallow installs from unknown sources globally" is toggled to "ON".</t>
    </r>
    <r>
      <rPr>
        <sz val="11"/>
        <color rgb="FF000000"/>
        <rFont val="Calibri"/>
      </rPr>
      <t xml:space="preserve">
</t>
    </r>
    <r>
      <rPr>
        <sz val="11"/>
        <color rgb="FF000000"/>
        <rFont val="Calibri"/>
      </rPr>
      <t>On the Google Android 14 device:</t>
    </r>
    <r>
      <rPr>
        <sz val="11"/>
        <color rgb="FF000000"/>
        <rFont val="Calibri"/>
      </rPr>
      <t xml:space="preserve">
</t>
    </r>
    <r>
      <rPr>
        <sz val="11"/>
        <color rgb="FF000000"/>
        <rFont val="Calibri"/>
      </rPr>
      <t>1. Open Settings &gt;&gt; Apps &gt;&gt; Special app access.</t>
    </r>
    <r>
      <rPr>
        <sz val="11"/>
        <color rgb="FF000000"/>
        <rFont val="Calibri"/>
      </rPr>
      <t xml:space="preserve">
</t>
    </r>
    <r>
      <rPr>
        <sz val="11"/>
        <color rgb="FF000000"/>
        <rFont val="Calibri"/>
      </rPr>
      <t>2. Open Install unknown apps.</t>
    </r>
    <r>
      <rPr>
        <sz val="11"/>
        <color rgb="FF000000"/>
        <rFont val="Calibri"/>
      </rPr>
      <t xml:space="preserve">
</t>
    </r>
    <r>
      <rPr>
        <sz val="11"/>
        <color rgb="FF000000"/>
        <rFont val="Calibri"/>
      </rPr>
      <t>3. Ensure the list of apps is blank or if an app is on the list, "Disabled" is listed under the app name.</t>
    </r>
    <r>
      <rPr>
        <sz val="11"/>
        <color rgb="FF000000"/>
        <rFont val="Calibri"/>
      </rPr>
      <t xml:space="preserve">
</t>
    </r>
    <r>
      <rPr>
        <sz val="11"/>
        <color rgb="FF000000"/>
        <rFont val="Calibri"/>
      </rPr>
      <t>If the EMM console device policy is not set to allow connections to only approved application repositories or on the managed Google Android 14 device, the device policy is not set to allow connections to only approved application repositories, this is a finding.</t>
    </r>
  </si>
  <si>
    <t>V-260131</t>
  </si>
  <si>
    <r>
      <rPr>
        <sz val="11"/>
        <rFont val="Calibri"/>
      </rPr>
      <t>Google Android 14 must be configured to enforce an application installation policy by specifying an application allowlist that restricts applications by the following characteristics: [selection: list of digital signatures, cryptographic hash values, names, application version].</t>
    </r>
  </si>
  <si>
    <r>
      <rPr>
        <sz val="11"/>
        <color rgb="FF000000"/>
        <rFont val="Calibri"/>
      </rPr>
      <t>Configure the Google Android 14 device to use an application allowlist.</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Select apps to be available (only approved apps).</t>
    </r>
    <r>
      <rPr>
        <sz val="11"/>
        <color rgb="FF000000"/>
        <rFont val="Calibri"/>
      </rPr>
      <t xml:space="preserve">
</t>
    </r>
    <r>
      <rPr>
        <sz val="11"/>
        <color rgb="FF000000"/>
        <rFont val="Calibri"/>
      </rPr>
      <t>3. Push updated policy to the device.</t>
    </r>
    <r>
      <rPr>
        <sz val="11"/>
        <color rgb="FF000000"/>
        <rFont val="Calibri"/>
      </rPr>
      <t xml:space="preserve">
</t>
    </r>
    <r>
      <rPr>
        <sz val="11"/>
        <color rgb="FF000000"/>
        <rFont val="Calibri"/>
      </rPr>
      <t>Note: Managed Google Play is an allowed App Store.</t>
    </r>
  </si>
  <si>
    <r>
      <rPr>
        <sz val="11"/>
        <color rgb="FF000000"/>
        <rFont val="Calibri"/>
      </rPr>
      <t>The application allowlist,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t>
    </r>
    <r>
      <rPr>
        <sz val="11"/>
        <color rgb="FF000000"/>
        <rFont val="Calibri"/>
      </rPr>
      <t xml:space="preserve">
</t>
    </r>
    <r>
      <rPr>
        <sz val="11"/>
        <color rgb="FF000000"/>
        <rFont val="Calibri"/>
      </rPr>
      <t>The application allowlist, in addition to controlling the installation of applications on the MD, must control user access/execution of all core applications (included in the OS by the OS vendor) and preinstalled applications (provided by the MD vendor and wireless carrier), or the MD must provide an alternate method of restricting user access/execution to core and preinstalled applications.</t>
    </r>
    <r>
      <rPr>
        <sz val="11"/>
        <color rgb="FF000000"/>
        <rFont val="Calibri"/>
      </rPr>
      <t xml:space="preserve">
</t>
    </r>
    <r>
      <rPr>
        <sz val="11"/>
        <color rgb="FF000000"/>
        <rFont val="Calibri"/>
      </rPr>
      <t>SFR ID: FMT_SMF_EXT.1.1 #8b</t>
    </r>
  </si>
  <si>
    <r>
      <rPr>
        <sz val="11"/>
        <color rgb="FF000000"/>
        <rFont val="Calibri"/>
      </rPr>
      <t>Review managed Google Android 14 device configuration settings to determine if the mobile device has an application allowlist configured. Verify all applications listed on the allowlist have been approved by the Approving Official (AO).</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Verify all selected apps are AO approved.</t>
    </r>
    <r>
      <rPr>
        <sz val="11"/>
        <color rgb="FF000000"/>
        <rFont val="Calibri"/>
      </rPr>
      <t xml:space="preserve">
</t>
    </r>
    <r>
      <rPr>
        <sz val="11"/>
        <color rgb="FF000000"/>
        <rFont val="Calibri"/>
      </rPr>
      <t>On the managed Google Android 14 device:</t>
    </r>
    <r>
      <rPr>
        <sz val="11"/>
        <color rgb="FF000000"/>
        <rFont val="Calibri"/>
      </rPr>
      <t xml:space="preserve">
</t>
    </r>
    <r>
      <rPr>
        <sz val="11"/>
        <color rgb="FF000000"/>
        <rFont val="Calibri"/>
      </rPr>
      <t>1. Open the managed Google Play Store.</t>
    </r>
    <r>
      <rPr>
        <sz val="11"/>
        <color rgb="FF000000"/>
        <rFont val="Calibri"/>
      </rPr>
      <t xml:space="preserve">
</t>
    </r>
    <r>
      <rPr>
        <sz val="11"/>
        <color rgb="FF000000"/>
        <rFont val="Calibri"/>
      </rPr>
      <t>2. Verify that only the approved apps are visible.</t>
    </r>
    <r>
      <rPr>
        <sz val="11"/>
        <color rgb="FF000000"/>
        <rFont val="Calibri"/>
      </rPr>
      <t xml:space="preserve">
</t>
    </r>
    <r>
      <rPr>
        <sz val="11"/>
        <color rgb="FF000000"/>
        <rFont val="Calibri"/>
      </rPr>
      <t>Note: Managed Google Play is an allowed App Store.</t>
    </r>
    <r>
      <rPr>
        <sz val="11"/>
        <color rgb="FF000000"/>
        <rFont val="Calibri"/>
      </rPr>
      <t xml:space="preserve">
</t>
    </r>
    <r>
      <rPr>
        <sz val="11"/>
        <color rgb="FF000000"/>
        <rFont val="Calibri"/>
      </rPr>
      <t>If the EMM console list of selected managed Google Play apps includes nonapproved apps, this is a finding.</t>
    </r>
    <r>
      <rPr>
        <sz val="11"/>
        <color rgb="FF000000"/>
        <rFont val="Calibri"/>
      </rPr>
      <t xml:space="preserve">
</t>
    </r>
    <r>
      <rPr>
        <sz val="11"/>
        <color rgb="FF000000"/>
        <rFont val="Calibri"/>
      </rPr>
      <t>Note: The application allowlist will only include approved core applications (included in the OS by the OS vendor) and pre-installed applications (provided by the MD vendor and wireless carrier), or the MD must provide an alternate method of restricting user access/execution to core and pre-installed applications. For Google Android, there are no pre-installed applications.</t>
    </r>
  </si>
  <si>
    <t>V-260132</t>
  </si>
  <si>
    <r>
      <rPr>
        <sz val="11"/>
        <rFont val="Calibri"/>
      </rPr>
      <t>Google Android 14 allowlist must be configured to not include applications with the following characteristics (work profile only): 1. Back up mobile device (MD) data to non-DOD cloud servers (including user and application access to cloud backup services); 2. Transmit MD diagnostic data to non-DOD servers; 3. Voice assistant application if available when MD is locked; 4. Voice dialing application if available when MD is locked; 5. Allows synchronization of data or applications between devices associated with user; and 6. Allows unencrypted (or encrypted but not FIPS 140-3 validated) data sharing with other MDs or printers. 7. Apps which backup their own data to a remote system.</t>
    </r>
  </si>
  <si>
    <r>
      <rPr>
        <sz val="11"/>
        <color rgb="FF000000"/>
        <rFont val="Calibri"/>
      </rPr>
      <t>Configure the Google Android 14 device application allowlist to exclude applications with the following characteristics:</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t>
    </r>
    <r>
      <rPr>
        <sz val="11"/>
        <color rgb="FF000000"/>
        <rFont val="Calibri"/>
      </rPr>
      <t xml:space="preserve">
</t>
    </r>
    <r>
      <rPr>
        <sz val="11"/>
        <color rgb="FF000000"/>
        <rFont val="Calibri"/>
      </rPr>
      <t>- Allows unencrypted (or encrypted but not FIPS 140-3 validated) data sharing with other MDs, display screens (screen mirroring), or printers; and</t>
    </r>
    <r>
      <rPr>
        <sz val="11"/>
        <color rgb="FF000000"/>
        <rFont val="Calibri"/>
      </rPr>
      <t xml:space="preserve">
</t>
    </r>
    <r>
      <rPr>
        <sz val="11"/>
        <color rgb="FF000000"/>
        <rFont val="Calibri"/>
      </rPr>
      <t>- Apps which backup their own data to a remote system.</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Before selecting an app, review the app details and privacy policy to ensure the app does not include prohibited characteristics.</t>
    </r>
  </si>
  <si>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allowlist,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 ID: FMT_SMF_EXT.1.1 #8b</t>
    </r>
  </si>
  <si>
    <r>
      <rPr>
        <sz val="11"/>
        <color rgb="FF000000"/>
        <rFont val="Calibri"/>
      </rPr>
      <t>Review managed Google Android 14 device configuration settings to determine if the mobile device has an application allowlist configured and that the application allowlist does not include applications with the following characteristics:</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xml:space="preserve">- Payment processing; </t>
    </r>
    <r>
      <rPr>
        <sz val="11"/>
        <color rgb="FF000000"/>
        <rFont val="Calibri"/>
      </rPr>
      <t xml:space="preserve">
</t>
    </r>
    <r>
      <rPr>
        <sz val="11"/>
        <color rgb="FF000000"/>
        <rFont val="Calibri"/>
      </rPr>
      <t>- Allows unencrypted (or encrypted but not FIPS 140-3 validated) data sharing with other MDs, display screens (screen mirroring), or printers; and</t>
    </r>
    <r>
      <rPr>
        <sz val="11"/>
        <color rgb="FF000000"/>
        <rFont val="Calibri"/>
      </rPr>
      <t xml:space="preserve">
</t>
    </r>
    <r>
      <rPr>
        <sz val="11"/>
        <color rgb="FF000000"/>
        <rFont val="Calibri"/>
      </rPr>
      <t>- Apps which backup their own data to a remote system.</t>
    </r>
    <r>
      <rPr>
        <sz val="11"/>
        <color rgb="FF000000"/>
        <rFont val="Calibri"/>
      </rPr>
      <t xml:space="preserve">
</t>
    </r>
    <r>
      <rPr>
        <sz val="11"/>
        <color rgb="FF000000"/>
        <rFont val="Calibri"/>
      </rPr>
      <t>This validation procedure is performed only on the EMM Administration Console.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Review the list of selected Managed Google Play apps.</t>
    </r>
    <r>
      <rPr>
        <sz val="11"/>
        <color rgb="FF000000"/>
        <rFont val="Calibri"/>
      </rPr>
      <t xml:space="preserve">
</t>
    </r>
    <r>
      <rPr>
        <sz val="11"/>
        <color rgb="FF000000"/>
        <rFont val="Calibri"/>
      </rPr>
      <t>2. Review the details and privacy policy of each selected app to ensure the app does not include prohibited characteristics.</t>
    </r>
    <r>
      <rPr>
        <sz val="11"/>
        <color rgb="FF000000"/>
        <rFont val="Calibri"/>
      </rPr>
      <t xml:space="preserve">
</t>
    </r>
    <r>
      <rPr>
        <sz val="11"/>
        <color rgb="FF000000"/>
        <rFont val="Calibri"/>
      </rPr>
      <t>If the EMM console device policy includes applications with unauthorized characteristics, this is a finding.</t>
    </r>
  </si>
  <si>
    <t>V-260133</t>
  </si>
  <si>
    <r>
      <rPr>
        <sz val="11"/>
        <rFont val="Calibri"/>
      </rPr>
      <t>Google Android 14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</si>
  <si>
    <r>
      <rPr>
        <sz val="11"/>
        <color rgb="FF000000"/>
        <rFont val="Calibri"/>
      </rPr>
      <t>Configure the Google Android 14 device to not display (work profile) notifications when the device is locked.</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Toggle "Disable unredacted notifications".</t>
    </r>
  </si>
  <si>
    <r>
      <rPr>
        <sz val="11"/>
        <color rgb="FF000000"/>
        <rFont val="Calibri"/>
      </rPr>
      <t>Many mobile devices display notifications on the lock screen so that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mobile operating system (MOS) to not send notifications to the lock screen mitigates this risk.</t>
    </r>
    <r>
      <rPr>
        <sz val="11"/>
        <color rgb="FF000000"/>
        <rFont val="Calibri"/>
      </rPr>
      <t xml:space="preserve">
</t>
    </r>
    <r>
      <rPr>
        <sz val="11"/>
        <color rgb="FF000000"/>
        <rFont val="Calibri"/>
      </rPr>
      <t>SFR ID: FMT_SMF_EXT.1.1 #18</t>
    </r>
  </si>
  <si>
    <r>
      <rPr>
        <sz val="11"/>
        <color rgb="FF000000"/>
        <rFont val="Calibri"/>
      </rPr>
      <t>Review managed Google Android 14 device settings to determine if the Google Android 14 device displays (work profile) notifications on the lock screen. Notifications of incoming phone calls are acceptable even when the device is locked.</t>
    </r>
    <r>
      <rPr>
        <sz val="11"/>
        <color rgb="FF000000"/>
        <rFont val="Calibri"/>
      </rPr>
      <t xml:space="preserve">
</t>
    </r>
    <r>
      <rPr>
        <sz val="11"/>
        <color rgb="FF000000"/>
        <rFont val="Calibri"/>
      </rPr>
      <t>This validation procedure is performed on both the EMM Administration Console and the managed Google Android 14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Verify that "Disable unredacted notifications" is toggled to "ON".</t>
    </r>
    <r>
      <rPr>
        <sz val="11"/>
        <color rgb="FF000000"/>
        <rFont val="Calibri"/>
      </rPr>
      <t xml:space="preserve">
</t>
    </r>
    <r>
      <rPr>
        <sz val="11"/>
        <color rgb="FF000000"/>
        <rFont val="Calibri"/>
      </rPr>
      <t>On the managed Google Android 14 device:</t>
    </r>
    <r>
      <rPr>
        <sz val="11"/>
        <color rgb="FF000000"/>
        <rFont val="Calibri"/>
      </rPr>
      <t xml:space="preserve">
</t>
    </r>
    <r>
      <rPr>
        <sz val="11"/>
        <color rgb="FF000000"/>
        <rFont val="Calibri"/>
      </rPr>
      <t>1. Go to Settings &gt;&gt; Display &gt;&gt; Lock screen.</t>
    </r>
    <r>
      <rPr>
        <sz val="11"/>
        <color rgb="FF000000"/>
        <rFont val="Calibri"/>
      </rPr>
      <t xml:space="preserve">
</t>
    </r>
    <r>
      <rPr>
        <sz val="11"/>
        <color rgb="FF000000"/>
        <rFont val="Calibri"/>
      </rPr>
      <t>2. Tap on "When work profile is locked".</t>
    </r>
    <r>
      <rPr>
        <sz val="11"/>
        <color rgb="FF000000"/>
        <rFont val="Calibri"/>
      </rPr>
      <t xml:space="preserve">
</t>
    </r>
    <r>
      <rPr>
        <sz val="11"/>
        <color rgb="FF000000"/>
        <rFont val="Calibri"/>
      </rPr>
      <t>3. Verify that "Hide sensitive work content" is selected.</t>
    </r>
    <r>
      <rPr>
        <sz val="11"/>
        <color rgb="FF000000"/>
        <rFont val="Calibri"/>
      </rPr>
      <t xml:space="preserve">
</t>
    </r>
    <r>
      <rPr>
        <sz val="11"/>
        <color rgb="FF000000"/>
        <rFont val="Calibri"/>
      </rPr>
      <t>If the EMM console device policy allows work notifications on the lock screen, or the managed Google Android 14 device allows work notifications on the lock screen, this is a finding.</t>
    </r>
  </si>
  <si>
    <t>V-260137</t>
  </si>
  <si>
    <r>
      <rPr>
        <sz val="11"/>
        <rFont val="Calibri"/>
      </rPr>
      <t>Google Android 14 must be configured to disable trust agents.</t>
    </r>
  </si>
  <si>
    <r>
      <rPr>
        <sz val="11"/>
        <color rgb="FF000000"/>
        <rFont val="Calibri"/>
      </rPr>
      <t>Configure the Google Android 14 device to disable trust agents at the same location where the DOD password is implemented (device or work profile).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Toggle "Disable trust agents" to "ON".</t>
    </r>
    <r>
      <rPr>
        <sz val="11"/>
        <color rgb="FF000000"/>
        <rFont val="Calibri"/>
      </rPr>
      <t xml:space="preserve">
</t>
    </r>
    <r>
      <rPr>
        <sz val="11"/>
        <color rgb="FF000000"/>
        <rFont val="Calibri"/>
      </rPr>
      <t>4. Open "Lock screen restrictions".</t>
    </r>
    <r>
      <rPr>
        <sz val="11"/>
        <color rgb="FF000000"/>
        <rFont val="Calibri"/>
      </rPr>
      <t xml:space="preserve">
</t>
    </r>
    <r>
      <rPr>
        <sz val="11"/>
        <color rgb="FF000000"/>
        <rFont val="Calibri"/>
      </rPr>
      <t>5. Select "Work Profile".</t>
    </r>
    <r>
      <rPr>
        <sz val="11"/>
        <color rgb="FF000000"/>
        <rFont val="Calibri"/>
      </rPr>
      <t xml:space="preserve">
</t>
    </r>
    <r>
      <rPr>
        <sz val="11"/>
        <color rgb="FF000000"/>
        <rFont val="Calibri"/>
      </rPr>
      <t>6. Toggle "Disable trust agents" to "ON".</t>
    </r>
  </si>
  <si>
    <r>
      <rPr>
        <sz val="11"/>
        <color rgb="FF000000"/>
        <rFont val="Calibri"/>
      </rPr>
      <t>Trust agents allow a user to unlock a mobile device without entering a passcode when the mobile device is, for example, connected to a user-selected Bluetooth device or in a user-selected location. This technology would allow unauthorized users to have access to DOD sensitive data if compromised. By not permitting the use of nonpassword authentication mechanisms, users are forced to use passcodes that meet DOD passcode requirements.</t>
    </r>
    <r>
      <rPr>
        <sz val="11"/>
        <color rgb="FF000000"/>
        <rFont val="Calibri"/>
      </rPr>
      <t xml:space="preserve">
</t>
    </r>
    <r>
      <rPr>
        <sz val="11"/>
        <color rgb="FF000000"/>
        <rFont val="Calibri"/>
      </rPr>
      <t>SFR ID: FMT_SMF_EXT.1.1 #22, FIA_UAU.5.1</t>
    </r>
  </si>
  <si>
    <r>
      <rPr>
        <sz val="11"/>
        <color rgb="FF000000"/>
        <rFont val="Calibri"/>
      </rPr>
      <t>Review device configuration settings to confirm that trust agents are disabled at the same location where the DOD password is implemented (device or work profile).</t>
    </r>
    <r>
      <rPr>
        <sz val="11"/>
        <color rgb="FF000000"/>
        <rFont val="Calibri"/>
      </rPr>
      <t xml:space="preserve">
</t>
    </r>
    <r>
      <rPr>
        <sz val="11"/>
        <color rgb="FF000000"/>
        <rFont val="Calibri"/>
      </rPr>
      <t>This procedure is performed on both the EMM Administration console and the managed Google Android 14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Verify that "Disable trust agents" is toggled to "ON".</t>
    </r>
    <r>
      <rPr>
        <sz val="11"/>
        <color rgb="FF000000"/>
        <rFont val="Calibri"/>
      </rPr>
      <t xml:space="preserve">
</t>
    </r>
    <r>
      <rPr>
        <sz val="11"/>
        <color rgb="FF000000"/>
        <rFont val="Calibri"/>
      </rPr>
      <t>4. Open "Lock screen restrictions".</t>
    </r>
    <r>
      <rPr>
        <sz val="11"/>
        <color rgb="FF000000"/>
        <rFont val="Calibri"/>
      </rPr>
      <t xml:space="preserve">
</t>
    </r>
    <r>
      <rPr>
        <sz val="11"/>
        <color rgb="FF000000"/>
        <rFont val="Calibri"/>
      </rPr>
      <t>5. Select "Work Profile".</t>
    </r>
    <r>
      <rPr>
        <sz val="11"/>
        <color rgb="FF000000"/>
        <rFont val="Calibri"/>
      </rPr>
      <t xml:space="preserve">
</t>
    </r>
    <r>
      <rPr>
        <sz val="11"/>
        <color rgb="FF000000"/>
        <rFont val="Calibri"/>
      </rPr>
      <t>6. Verify that "Disable trust agents" is toggled to "ON".</t>
    </r>
    <r>
      <rPr>
        <sz val="11"/>
        <color rgb="FF000000"/>
        <rFont val="Calibri"/>
      </rPr>
      <t xml:space="preserve">
</t>
    </r>
    <r>
      <rPr>
        <sz val="11"/>
        <color rgb="FF000000"/>
        <rFont val="Calibri"/>
      </rPr>
      <t>On the managed Google Android 14 device:</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"Security &amp; privacy".</t>
    </r>
    <r>
      <rPr>
        <sz val="11"/>
        <color rgb="FF000000"/>
        <rFont val="Calibri"/>
      </rPr>
      <t xml:space="preserve">
</t>
    </r>
    <r>
      <rPr>
        <sz val="11"/>
        <color rgb="FF000000"/>
        <rFont val="Calibri"/>
      </rPr>
      <t>3. Tap "More security settings".</t>
    </r>
    <r>
      <rPr>
        <sz val="11"/>
        <color rgb="FF000000"/>
        <rFont val="Calibri"/>
      </rPr>
      <t xml:space="preserve">
</t>
    </r>
    <r>
      <rPr>
        <sz val="11"/>
        <color rgb="FF000000"/>
        <rFont val="Calibri"/>
      </rPr>
      <t>4. Tap "Trust agents".</t>
    </r>
    <r>
      <rPr>
        <sz val="11"/>
        <color rgb="FF000000"/>
        <rFont val="Calibri"/>
      </rPr>
      <t xml:space="preserve">
</t>
    </r>
    <r>
      <rPr>
        <sz val="11"/>
        <color rgb="FF000000"/>
        <rFont val="Calibri"/>
      </rPr>
      <t>5. Verify that all listed trust agents are disabled and cannot be enabled.</t>
    </r>
    <r>
      <rPr>
        <sz val="11"/>
        <color rgb="FF000000"/>
        <rFont val="Calibri"/>
      </rPr>
      <t xml:space="preserve">
</t>
    </r>
    <r>
      <rPr>
        <sz val="11"/>
        <color rgb="FF000000"/>
        <rFont val="Calibri"/>
      </rPr>
      <t>If on the EMM console, "disable trust agents" is not selected, or on the managed Google Android 14 device a trust agent can be enabled, this is a finding.</t>
    </r>
  </si>
  <si>
    <t>V-260142</t>
  </si>
  <si>
    <r>
      <rPr>
        <sz val="11"/>
        <rFont val="Calibri"/>
      </rPr>
      <t>Google Android 14 must be configured to display the DOD advisory warning message at startup or each time the user unlocks the Work Profile.</t>
    </r>
  </si>
  <si>
    <r>
      <rPr>
        <sz val="11"/>
        <color rgb="FF000000"/>
        <rFont val="Calibri"/>
      </rPr>
      <t>Configure the DOD warning banner by the following method (required text is found in the Vulnerability Discussion):</t>
    </r>
    <r>
      <rPr>
        <sz val="11"/>
        <color rgb="FF000000"/>
        <rFont val="Calibri"/>
      </rPr>
      <t xml:space="preserve">
</t>
    </r>
    <r>
      <rPr>
        <sz val="11"/>
        <color rgb="FF000000"/>
        <rFont val="Calibri"/>
      </rPr>
      <t>Place the DOD warning banner text in the user agreement signed by each Google Android 14 device user (preferred method).</t>
    </r>
    <r>
      <rPr>
        <sz val="11"/>
        <color rgb="FF000000"/>
        <rFont val="Calibri"/>
      </rPr>
      <t xml:space="preserve">
</t>
    </r>
    <r>
      <rPr>
        <sz val="11"/>
        <color rgb="FF000000"/>
        <rFont val="Calibri"/>
      </rPr>
      <t>Note: It is not possible for the EMM to force a warning banner be placed on the device screen when using "work profile for employee-owned devices (BYOD)" deployment mode.</t>
    </r>
  </si>
  <si>
    <r>
      <rPr>
        <sz val="11"/>
        <color rgb="FF000000"/>
        <rFont val="Calibri"/>
      </rPr>
      <t>Before granting access to the system, the mobile operating system is required to display the DOD-approved system use notification message or banner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Knowledge Service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For devices with severe character limitations, the banner text is:</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FMT_SMF_EXT.1.1 #36</t>
    </r>
  </si>
  <si>
    <r>
      <rPr>
        <sz val="11"/>
        <color rgb="FF000000"/>
        <rFont val="Calibri"/>
      </rPr>
      <t>The DOD warning banner can be displayed using the following method (required text is found in the Vulnerability Discussion):</t>
    </r>
    <r>
      <rPr>
        <sz val="11"/>
        <color rgb="FF000000"/>
        <rFont val="Calibri"/>
      </rPr>
      <t xml:space="preserve">
</t>
    </r>
    <r>
      <rPr>
        <sz val="11"/>
        <color rgb="FF000000"/>
        <rFont val="Calibri"/>
      </rPr>
      <t>Place the DOD warning banner text in the user agreement signed by each managed Android 14 device user (preferred method).</t>
    </r>
    <r>
      <rPr>
        <sz val="11"/>
        <color rgb="FF000000"/>
        <rFont val="Calibri"/>
      </rPr>
      <t xml:space="preserve">
</t>
    </r>
    <r>
      <rPr>
        <sz val="11"/>
        <color rgb="FF000000"/>
        <rFont val="Calibri"/>
      </rPr>
      <t>Note: It is not possible for the EMM to force a warning banner be placed on the device screen when using "work profile for employee-owned devices (BYOD)" deployment mode.</t>
    </r>
    <r>
      <rPr>
        <sz val="11"/>
        <color rgb="FF000000"/>
        <rFont val="Calibri"/>
      </rPr>
      <t xml:space="preserve">
</t>
    </r>
    <r>
      <rPr>
        <sz val="11"/>
        <color rgb="FF000000"/>
        <rFont val="Calibri"/>
      </rPr>
      <t>Review the signed user agreements for Google Android 14 device users and verify the agreement includes the required DOD warning banner text.</t>
    </r>
    <r>
      <rPr>
        <sz val="11"/>
        <color rgb="FF000000"/>
        <rFont val="Calibri"/>
      </rPr>
      <t xml:space="preserve">
</t>
    </r>
    <r>
      <rPr>
        <sz val="11"/>
        <color rgb="FF000000"/>
        <rFont val="Calibri"/>
      </rPr>
      <t>If the required warning banner text is not on all signed user agreements reviewed, this is a finding.</t>
    </r>
  </si>
  <si>
    <t>V-260149</t>
  </si>
  <si>
    <r>
      <rPr>
        <sz val="11"/>
        <rFont val="Calibri"/>
      </rPr>
      <t>Google Android 14 must be configured to not allow backup of all work profile applications to remote systems.</t>
    </r>
  </si>
  <si>
    <r>
      <rPr>
        <sz val="11"/>
        <color rgb="FF000000"/>
        <rFont val="Calibri"/>
      </rPr>
      <t>Configure the Google Android 14 device to disable backup to remote systems (including commercial clouds).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Toggle "Enable backup service" to "OFF".</t>
    </r>
  </si>
  <si>
    <r>
      <rPr>
        <sz val="11"/>
        <color rgb="FF000000"/>
        <rFont val="Calibri"/>
      </rPr>
      <t>Backups to remote systems (including cloud backup) can leave data vulnerable to breach on the external systems, which often offer less protection than the mobile operating system (MOS). Where the remote backup involves a cloud-based solution, the backup capability is often used to synchronize data across multiple devices. In this case, DOD devices may synchronize DOD sensitive information to a user's personal device or other unauthorized computers that are vulnerable to breach. Disallowing remote backup mitigates this risk.</t>
    </r>
    <r>
      <rPr>
        <sz val="11"/>
        <color rgb="FF000000"/>
        <rFont val="Calibri"/>
      </rPr>
      <t xml:space="preserve">
</t>
    </r>
    <r>
      <rPr>
        <sz val="11"/>
        <color rgb="FF000000"/>
        <rFont val="Calibri"/>
      </rPr>
      <t>SFR ID: FMT_SMF_EXT.1.1 #40</t>
    </r>
  </si>
  <si>
    <r>
      <rPr>
        <sz val="11"/>
        <color rgb="FF000000"/>
        <rFont val="Calibri"/>
      </rPr>
      <t>Review managed Google Android 14 device configuration settings to determine if the capability to back up to a remote system has been disabled.</t>
    </r>
    <r>
      <rPr>
        <sz val="11"/>
        <color rgb="FF000000"/>
        <rFont val="Calibri"/>
      </rPr>
      <t xml:space="preserve">
</t>
    </r>
    <r>
      <rPr>
        <sz val="11"/>
        <color rgb="FF000000"/>
        <rFont val="Calibri"/>
      </rPr>
      <t>Note: Since personal accounts cannot be added to the work profile (GOOG-14-710100), this control only impacts personal accounts, this setting is used to prevent violations within the work profile for backing up data. This is not applicable to the personal profile.</t>
    </r>
    <r>
      <rPr>
        <sz val="11"/>
        <color rgb="FF000000"/>
        <rFont val="Calibri"/>
      </rPr>
      <t xml:space="preserve">
</t>
    </r>
    <r>
      <rPr>
        <sz val="11"/>
        <color rgb="FF000000"/>
        <rFont val="Calibri"/>
      </rPr>
      <t>This validation procedure is performed on both the EMM Administration Console and the managed Google Android 14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Verify "Enable backup service" is toggled to "OFF".</t>
    </r>
    <r>
      <rPr>
        <sz val="11"/>
        <color rgb="FF000000"/>
        <rFont val="Calibri"/>
      </rPr>
      <t xml:space="preserve">
</t>
    </r>
    <r>
      <rPr>
        <sz val="11"/>
        <color rgb="FF000000"/>
        <rFont val="Calibri"/>
      </rPr>
      <t>On the managed Google Android 14 device:</t>
    </r>
    <r>
      <rPr>
        <sz val="11"/>
        <color rgb="FF000000"/>
        <rFont val="Calibri"/>
      </rPr>
      <t xml:space="preserve">
</t>
    </r>
    <r>
      <rPr>
        <sz val="11"/>
        <color rgb="FF000000"/>
        <rFont val="Calibri"/>
      </rPr>
      <t>1. Go to Settings &gt;&gt; System &gt;&gt; System &gt;&gt; Backup.</t>
    </r>
    <r>
      <rPr>
        <sz val="11"/>
        <color rgb="FF000000"/>
        <rFont val="Calibri"/>
      </rPr>
      <t xml:space="preserve">
</t>
    </r>
    <r>
      <rPr>
        <sz val="11"/>
        <color rgb="FF000000"/>
        <rFont val="Calibri"/>
      </rPr>
      <t>2. Select "Work".</t>
    </r>
    <r>
      <rPr>
        <sz val="11"/>
        <color rgb="FF000000"/>
        <rFont val="Calibri"/>
      </rPr>
      <t xml:space="preserve">
</t>
    </r>
    <r>
      <rPr>
        <sz val="11"/>
        <color rgb="FF000000"/>
        <rFont val="Calibri"/>
      </rPr>
      <t>3. Verify Backup settings is "Not available".</t>
    </r>
    <r>
      <rPr>
        <sz val="11"/>
        <color rgb="FF000000"/>
        <rFont val="Calibri"/>
      </rPr>
      <t xml:space="preserve">
</t>
    </r>
    <r>
      <rPr>
        <sz val="11"/>
        <color rgb="FF000000"/>
        <rFont val="Calibri"/>
      </rPr>
      <t>If backup service for the work profile has not been disabled, this is a finding.</t>
    </r>
  </si>
  <si>
    <t>V-260152</t>
  </si>
  <si>
    <r>
      <rPr>
        <sz val="11"/>
        <rFont val="Calibri"/>
      </rPr>
      <t>Google Android 14 must be configured to disable exceptions to the access control policy that prevent [selection: application processes, groups of application processes] from accessing [selection: all, private] data stored by other [selection: application processes, groups of application processes].</t>
    </r>
  </si>
  <si>
    <r>
      <rPr>
        <sz val="11"/>
        <color rgb="FF000000"/>
        <rFont val="Calibri"/>
      </rPr>
      <t>Configure the Google Android 14 device to enable the access control policy that prevents [selection: application processes, groups of application processes] from accessing [selection: all, private] data stored by other [selection: application processes, groups of application processes].</t>
    </r>
    <r>
      <rPr>
        <sz val="11"/>
        <color rgb="FF000000"/>
        <rFont val="Calibri"/>
      </rPr>
      <t xml:space="preserve">
</t>
    </r>
    <r>
      <rPr>
        <sz val="11"/>
        <color rgb="FF000000"/>
        <rFont val="Calibri"/>
      </rPr>
      <t>Note: All application data is inherently sandboxed and isolated from other applications. To disable copy/paste on the EMM Console: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Toggle "Disallow cross profile copy/paste" to "ON".</t>
    </r>
    <r>
      <rPr>
        <sz val="11"/>
        <color rgb="FF000000"/>
        <rFont val="Calibri"/>
      </rPr>
      <t xml:space="preserve">
</t>
    </r>
    <r>
      <rPr>
        <sz val="11"/>
        <color rgb="FF000000"/>
        <rFont val="Calibri"/>
      </rPr>
      <t>4. Toggle "Disallow sharing data into the profile" to "ON".</t>
    </r>
  </si>
  <si>
    <r>
      <rPr>
        <sz val="11"/>
        <color rgb="FF000000"/>
        <rFont val="Calibri"/>
      </rPr>
      <t>App data sharing gives apps the ability to access the data of other apps for enhanced user functionality. However, sharing also poses a significant risk that unauthorized users or apps will obtain access to DOD sensitive information. To mitigate this risk, there are data sharing restrictions, primarily from sharing data from personal (unmanaged) apps and work (managed) apps.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and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 ID: FMT_SMF_EXT.1.1 #42, FDP_ACF_EXT.1.2</t>
    </r>
  </si>
  <si>
    <r>
      <rPr>
        <sz val="11"/>
        <color rgb="FF000000"/>
        <rFont val="Calibri"/>
      </rPr>
      <t>Review documentation on the managed Google Android 14 device and inspect the configuration on the Google Android device to verify the access control policy that prevents [selection: application processes] from accessing [selection: all] data stored by other [selection: application processes] is enabled.</t>
    </r>
    <r>
      <rPr>
        <sz val="11"/>
        <color rgb="FF000000"/>
        <rFont val="Calibri"/>
      </rPr>
      <t xml:space="preserve">
</t>
    </r>
    <r>
      <rPr>
        <sz val="11"/>
        <color rgb="FF000000"/>
        <rFont val="Calibri"/>
      </rPr>
      <t>This validation procedure is performed only on the EMM Administration Console.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Verify that "Disallow cross profile copy/paste" is toggled to "ON".</t>
    </r>
    <r>
      <rPr>
        <sz val="11"/>
        <color rgb="FF000000"/>
        <rFont val="Calibri"/>
      </rPr>
      <t xml:space="preserve">
</t>
    </r>
    <r>
      <rPr>
        <sz val="11"/>
        <color rgb="FF000000"/>
        <rFont val="Calibri"/>
      </rPr>
      <t>4. Verify that "Disallow sharing data into the profile" is toggled to "ON".</t>
    </r>
    <r>
      <rPr>
        <sz val="11"/>
        <color rgb="FF000000"/>
        <rFont val="Calibri"/>
      </rPr>
      <t xml:space="preserve">
</t>
    </r>
    <r>
      <rPr>
        <sz val="11"/>
        <color rgb="FF000000"/>
        <rFont val="Calibri"/>
      </rPr>
      <t>If the EMM console device policy is not set to disable data sharing between profiles, this is a finding.</t>
    </r>
  </si>
  <si>
    <t>V-260160</t>
  </si>
  <si>
    <r>
      <rPr>
        <sz val="11"/>
        <rFont val="Calibri"/>
      </rPr>
      <t>Google Android 14 users must complete required training.</t>
    </r>
  </si>
  <si>
    <r>
      <rPr>
        <sz val="11"/>
        <color rgb="FF000000"/>
        <rFont val="Calibri"/>
      </rPr>
      <t xml:space="preserve">All Google Android 14 device users must complete training on the following training topics (users must acknowledge that they have reviewed training via a signed User Agreement or similar written record): </t>
    </r>
    <r>
      <rPr>
        <sz val="11"/>
        <color rgb="FF000000"/>
        <rFont val="Calibri"/>
      </rPr>
      <t xml:space="preserve">
</t>
    </r>
    <r>
      <rPr>
        <sz val="11"/>
        <color rgb="FF000000"/>
        <rFont val="Calibri"/>
      </rPr>
      <t>- Operational security concerns introduced by unmanaged applications/unmanaged personal space, including applications using global positioning system (GPS) tracking.</t>
    </r>
    <r>
      <rPr>
        <sz val="11"/>
        <color rgb="FF000000"/>
        <rFont val="Calibri"/>
      </rPr>
      <t xml:space="preserve">
</t>
    </r>
    <r>
      <rPr>
        <sz val="11"/>
        <color rgb="FF000000"/>
        <rFont val="Calibri"/>
      </rPr>
      <t>- The need to ensure no DOD data is saved to the personal space or transmitted from a personal app (for example, from personal email).</t>
    </r>
    <r>
      <rPr>
        <sz val="11"/>
        <color rgb="FF000000"/>
        <rFont val="Calibri"/>
      </rPr>
      <t xml:space="preserve">
</t>
    </r>
    <r>
      <rPr>
        <sz val="11"/>
        <color rgb="FF000000"/>
        <rFont val="Calibri"/>
      </rPr>
      <t>- If the Purebred key management app is used, users are responsible for always maintaining positive control of their credentialed device. The DOD PKI certificate policy requires subscribers to maintain positive control of the devices that contain private keys and to report any loss of control so the credentials can be revoked. Upon device retirement, turn-in, or reassignment, ensure that a factory data reset is performed prior to device hand-off. Follow mobility service provider decommissioning procedures as applicable.</t>
    </r>
    <r>
      <rPr>
        <sz val="11"/>
        <color rgb="FF000000"/>
        <rFont val="Calibri"/>
      </rPr>
      <t xml:space="preserve">
</t>
    </r>
    <r>
      <rPr>
        <sz val="11"/>
        <color rgb="FF000000"/>
        <rFont val="Calibri"/>
      </rPr>
      <t xml:space="preserve">- How to configure the following UBE controls (users must configure the control) on the Google device: </t>
    </r>
    <r>
      <rPr>
        <sz val="11"/>
        <color rgb="FF000000"/>
        <rFont val="Calibri"/>
      </rPr>
      <t xml:space="preserve">
</t>
    </r>
    <r>
      <rPr>
        <sz val="11"/>
        <color rgb="FF000000"/>
        <rFont val="Calibri"/>
      </rPr>
      <t>**Do not remove DOD intermediate and root PKI digital certificates.</t>
    </r>
    <r>
      <rPr>
        <sz val="11"/>
        <color rgb="FF000000"/>
        <rFont val="Calibri"/>
      </rPr>
      <t xml:space="preserve">
</t>
    </r>
    <r>
      <rPr>
        <sz val="11"/>
        <color rgb="FF000000"/>
        <rFont val="Calibri"/>
      </rPr>
      <t>**Do not configure a DOD network (work) VPN profile on any third-party VPN client installed in the personal space.</t>
    </r>
    <r>
      <rPr>
        <sz val="11"/>
        <color rgb="FF000000"/>
        <rFont val="Calibri"/>
      </rPr>
      <t xml:space="preserve">
</t>
    </r>
    <r>
      <rPr>
        <sz val="11"/>
        <color rgb="FF000000"/>
        <rFont val="Calibri"/>
      </rPr>
      <t>-How to implement OneLock.</t>
    </r>
    <r>
      <rPr>
        <sz val="11"/>
        <color rgb="FF000000"/>
        <rFont val="Calibri"/>
      </rPr>
      <t xml:space="preserve">
</t>
    </r>
    <r>
      <rPr>
        <sz val="11"/>
        <color rgb="FF000000"/>
        <rFont val="Calibri"/>
      </rPr>
      <t>-Screenshots will not be taken of any "work"-related managed data.</t>
    </r>
    <r>
      <rPr>
        <sz val="11"/>
        <color rgb="FF000000"/>
        <rFont val="Calibri"/>
      </rPr>
      <t xml:space="preserve">
</t>
    </r>
    <r>
      <rPr>
        <sz val="11"/>
        <color rgb="FF000000"/>
        <rFont val="Calibri"/>
      </rPr>
      <t>-Screenshots will not be taken of any "work"-related managed data.</t>
    </r>
  </si>
  <si>
    <r>
      <rPr>
        <sz val="11"/>
        <color rgb="FF000000"/>
        <rFont val="Calibri"/>
      </rPr>
      <t>The security posture of Google devices requires the device user to configure several required policy rules on their device. User-Based Enforcement (UBE) is required for these controls. In addition, if the Authorizing Official (AO) has approved the use of an unmanaged personal space, the user must receive training on risks. If a user is not aware of their responsibilities and does not comply with UBE requirements, the security posture of the Google mobile device and DOD sensitive data may become compromised.</t>
    </r>
    <r>
      <rPr>
        <sz val="11"/>
        <color rgb="FF000000"/>
        <rFont val="Calibri"/>
      </rPr>
      <t xml:space="preserve">
</t>
    </r>
    <r>
      <rPr>
        <sz val="11"/>
        <color rgb="FF000000"/>
        <rFont val="Calibri"/>
      </rPr>
      <t>SFR ID: NA</t>
    </r>
  </si>
  <si>
    <r>
      <rPr>
        <sz val="11"/>
        <color rgb="FF000000"/>
        <rFont val="Calibri"/>
      </rPr>
      <t>Review a sample of site User Agreements for Google Android 14 device users or similar training records and training course content.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the Google Android 14 device users have completed the required training. The intent is that required training is renewed on a periodic basis in a time period determined by the AO.</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Google Android 14 device user has not completed the required training, this is a finding.</t>
    </r>
  </si>
  <si>
    <t>V-260162</t>
  </si>
  <si>
    <r>
      <rPr>
        <sz val="11"/>
        <rFont val="Calibri"/>
      </rPr>
      <t>Google Android 14 must have the DOD root and intermediate PKI certificates installed (work profile only).</t>
    </r>
  </si>
  <si>
    <r>
      <rPr>
        <sz val="11"/>
        <color rgb="FF000000"/>
        <rFont val="Calibri"/>
      </rPr>
      <t xml:space="preserve">Configure the Google Android 14 device to install DOD root and intermediate certificates (work profile only).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upload DOD root and intermediate certificates as part of the work profile.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current DOD root and intermediate PKI certificates may be obtained in self-extracting zip files at http://cyber.mil/pki-pke (for NIPRNet).</t>
    </r>
  </si>
  <si>
    <r>
      <rPr>
        <sz val="11"/>
        <color rgb="FF000000"/>
        <rFont val="Calibri"/>
      </rPr>
      <t>DOD root and intermediate PKI certificates are used to verify the authenticity of PKI certificates of users and web services. If the root and intermediate certificates are not available, an adversary could falsely sign a certificate in such a way that it could not be detected. Providing access to the DOD root and intermediate PKI certificates greatly diminishes the risk of this attack.</t>
    </r>
    <r>
      <rPr>
        <sz val="11"/>
        <color rgb="FF000000"/>
        <rFont val="Calibri"/>
      </rPr>
      <t xml:space="preserve">
</t>
    </r>
    <r>
      <rPr>
        <sz val="11"/>
        <color rgb="FF000000"/>
        <rFont val="Calibri"/>
      </rPr>
      <t>SFR ID: FMT_SMF_EXT.1.1 #11</t>
    </r>
  </si>
  <si>
    <r>
      <rPr>
        <sz val="11"/>
        <color rgb="FF000000"/>
        <rFont val="Calibri"/>
      </rPr>
      <t>Review device configuration settings to confirm that the DOD root and intermediate PKI certificates are installed (work profile only).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both the EMM Administration console and the managed Google Android 14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current DOD root and intermediate PKI certificates may be obtained in self-extracting zip files at http://cyber.mil/pki-pke (for NIPRNet).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verify that the DOD root and intermediate certificates are part of a device and/or work profile that is being pushed down to the devices.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managed Google Android 14 device: </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"Security &amp; privacy".</t>
    </r>
    <r>
      <rPr>
        <sz val="11"/>
        <color rgb="FF000000"/>
        <rFont val="Calibri"/>
      </rPr>
      <t xml:space="preserve">
</t>
    </r>
    <r>
      <rPr>
        <sz val="11"/>
        <color rgb="FF000000"/>
        <rFont val="Calibri"/>
      </rPr>
      <t>3. Tap "More security settings".</t>
    </r>
    <r>
      <rPr>
        <sz val="11"/>
        <color rgb="FF000000"/>
        <rFont val="Calibri"/>
      </rPr>
      <t xml:space="preserve">
</t>
    </r>
    <r>
      <rPr>
        <sz val="11"/>
        <color rgb="FF000000"/>
        <rFont val="Calibri"/>
      </rPr>
      <t>4. Tap "Encryption &amp; credentials".</t>
    </r>
    <r>
      <rPr>
        <sz val="11"/>
        <color rgb="FF000000"/>
        <rFont val="Calibri"/>
      </rPr>
      <t xml:space="preserve">
</t>
    </r>
    <r>
      <rPr>
        <sz val="11"/>
        <color rgb="FF000000"/>
        <rFont val="Calibri"/>
      </rPr>
      <t>5. Tap "Trusted credentials".</t>
    </r>
    <r>
      <rPr>
        <sz val="11"/>
        <color rgb="FF000000"/>
        <rFont val="Calibri"/>
      </rPr>
      <t xml:space="preserve">
</t>
    </r>
    <r>
      <rPr>
        <sz val="11"/>
        <color rgb="FF000000"/>
        <rFont val="Calibri"/>
      </rPr>
      <t>6. Verify that DOD root and intermediate PKI certificates are listed under the User tab in the Work section.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the DOD root and intermediate certificates are not listed in a profile, or the managed Android 14 device does not list the DOD root and intermediate certificates under the user tab, this is a finding.</t>
    </r>
  </si>
  <si>
    <t>V-260163</t>
  </si>
  <si>
    <r>
      <rPr>
        <sz val="11"/>
        <rFont val="Calibri"/>
      </rPr>
      <t>The Google Android 14 work profile must be configured to prevent users from adding personal email accounts to the work email app.</t>
    </r>
  </si>
  <si>
    <r>
      <rPr>
        <sz val="11"/>
        <color rgb="FF000000"/>
        <rFont val="Calibri"/>
      </rPr>
      <t xml:space="preserve">Configure the Google Android 14 device to prevent users from adding personal email accounts to the work email app.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modify accounts" to "ON".</t>
    </r>
    <r>
      <rPr>
        <sz val="11"/>
        <color rgb="FF000000"/>
        <rFont val="Calibri"/>
      </rPr>
      <t xml:space="preserve">
</t>
    </r>
    <r>
      <rPr>
        <sz val="11"/>
        <color rgb="FF000000"/>
        <rFont val="Calibri"/>
      </rPr>
      <t>Refer to the EMM documentation to determine how to provision users' work email accounts for the work email app.</t>
    </r>
  </si>
  <si>
    <r>
      <rPr>
        <sz val="11"/>
        <color rgb="FF000000"/>
        <rFont val="Calibri"/>
      </rPr>
      <t>If the user can add a personal email account (POP3, IMAP, EAS) to the work email app, it could be used to forward sensitive DOD data to unauthorized recipients. Restricting email account addition to the administrator or restricting email account addition to allowlisted accounts mitigates this vulnerability.</t>
    </r>
    <r>
      <rPr>
        <sz val="11"/>
        <color rgb="FF000000"/>
        <rFont val="Calibri"/>
      </rPr>
      <t xml:space="preserve">
</t>
    </r>
    <r>
      <rPr>
        <sz val="11"/>
        <color rgb="FF000000"/>
        <rFont val="Calibri"/>
      </rPr>
      <t>SFR ID: FMT_SMF_EXT.1.1 #47</t>
    </r>
  </si>
  <si>
    <r>
      <rPr>
        <sz val="11"/>
        <color rgb="FF000000"/>
        <rFont val="Calibri"/>
      </rPr>
      <t>Review the managed Google Android 14 work profile configuration settings to confirm that users are prevented from adding personal email accounts to the work email app.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both the EMM Administrator console and the managed Google Android 14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modify accounts" is toggled to "ON".</t>
    </r>
    <r>
      <rPr>
        <sz val="11"/>
        <color rgb="FF000000"/>
        <rFont val="Calibri"/>
      </rPr>
      <t xml:space="preserve">
</t>
    </r>
    <r>
      <rPr>
        <sz val="11"/>
        <color rgb="FF000000"/>
        <rFont val="Calibri"/>
      </rPr>
      <t>On the managed Google Android 14 device:</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"Passwords &amp; accounts".</t>
    </r>
    <r>
      <rPr>
        <sz val="11"/>
        <color rgb="FF000000"/>
        <rFont val="Calibri"/>
      </rPr>
      <t xml:space="preserve">
</t>
    </r>
    <r>
      <rPr>
        <sz val="11"/>
        <color rgb="FF000000"/>
        <rFont val="Calibri"/>
      </rPr>
      <t>3. Select "Work".</t>
    </r>
    <r>
      <rPr>
        <sz val="11"/>
        <color rgb="FF000000"/>
        <rFont val="Calibri"/>
      </rPr>
      <t xml:space="preserve">
</t>
    </r>
    <r>
      <rPr>
        <sz val="11"/>
        <color rgb="FF000000"/>
        <rFont val="Calibri"/>
      </rPr>
      <t>4. Tap "Add account".</t>
    </r>
    <r>
      <rPr>
        <sz val="11"/>
        <color rgb="FF000000"/>
        <rFont val="Calibri"/>
      </rPr>
      <t xml:space="preserve">
</t>
    </r>
    <r>
      <rPr>
        <sz val="11"/>
        <color rgb="FF000000"/>
        <rFont val="Calibri"/>
      </rPr>
      <t>5. Verify a message is displayed to the user stating, "Blocked by your IT admin".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the restriction to "Disallow modify accounts" is not set, or on the managed Android 14 device the user is able to add an account in the Work section, this is a finding.</t>
    </r>
  </si>
  <si>
    <t>V-260164</t>
  </si>
  <si>
    <r>
      <rPr>
        <sz val="11"/>
        <rFont val="Calibri"/>
      </rPr>
      <t>The Google Android 14 work profile must be configured to enforce the system application disable list (work profile only).</t>
    </r>
  </si>
  <si>
    <r>
      <rPr>
        <sz val="11"/>
        <color rgb="FF000000"/>
        <rFont val="Calibri"/>
      </rPr>
      <t>Configure the Google Android 14 device to enforce the system application disable list (work profile only).</t>
    </r>
    <r>
      <rPr>
        <sz val="11"/>
        <color rgb="FF000000"/>
        <rFont val="Calibri"/>
      </rPr>
      <t xml:space="preserve">
</t>
    </r>
    <r>
      <rPr>
        <sz val="11"/>
        <color rgb="FF000000"/>
        <rFont val="Calibri"/>
      </rPr>
      <t>The required configuration is the default configuration when the device is enrolled. If the device configuration is changed, use the following procedure to bring the device back into compliance: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 on parent".</t>
    </r>
    <r>
      <rPr>
        <sz val="11"/>
        <color rgb="FF000000"/>
        <rFont val="Calibri"/>
      </rPr>
      <t xml:space="preserve">
</t>
    </r>
    <r>
      <rPr>
        <sz val="11"/>
        <color rgb="FF000000"/>
        <rFont val="Calibri"/>
      </rPr>
      <t>3. Enter package names of apps to hide.</t>
    </r>
    <r>
      <rPr>
        <sz val="11"/>
        <color rgb="FF000000"/>
        <rFont val="Calibri"/>
      </rPr>
      <t xml:space="preserve">
</t>
    </r>
    <r>
      <rPr>
        <sz val="11"/>
        <color rgb="FF000000"/>
        <rFont val="Calibri"/>
      </rPr>
      <t>Configure a list of approved Google core and preinstalled apps in the core app allowlist.</t>
    </r>
  </si>
  <si>
    <r>
      <rPr>
        <sz val="11"/>
        <color rgb="FF000000"/>
        <rFont val="Calibri"/>
      </rPr>
      <t>The system application disables list controls user access to/execution of all core and preinstalled applications.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Core application: Any application integrated into Google Android 14 by Google.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Preinstalled application: Additional noncore applications included in the Google Android 14 build by Google or the wireless carrier.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Some system applications can compromise DOD data or upload users' information to non-DOD-approved servers. A user must be blocked from using such applications that exhibit behavior that can result in compromise of DOD data or DOD user information.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site administrator must analyze all preinstalled applications on the device and disable all applications not approved for DOD use by configuring the system application disable list.</t>
    </r>
    <r>
      <rPr>
        <sz val="11"/>
        <color rgb="FF000000"/>
        <rFont val="Calibri"/>
      </rPr>
      <t xml:space="preserve">
</t>
    </r>
    <r>
      <rPr>
        <sz val="11"/>
        <color rgb="FF000000"/>
        <rFont val="Calibri"/>
      </rPr>
      <t>SFR ID: FMT_SMF_EXT.1.1 #47</t>
    </r>
  </si>
  <si>
    <r>
      <rPr>
        <sz val="11"/>
        <color rgb="FF000000"/>
        <rFont val="Calibri"/>
      </rPr>
      <t>Review the managed Google Android 14 work profile configuration settings to confirm the system application disable list is enforced (work profile only). This setting is enforced by default. Verify only approved system apps have been placed on the core allowlist.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EMM Administrator console.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system app allowlist and verify only approved apps are on the list.</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 on parent".</t>
    </r>
    <r>
      <rPr>
        <sz val="11"/>
        <color rgb="FF000000"/>
        <rFont val="Calibri"/>
      </rPr>
      <t xml:space="preserve">
</t>
    </r>
    <r>
      <rPr>
        <sz val="11"/>
        <color rgb="FF000000"/>
        <rFont val="Calibri"/>
      </rPr>
      <t>3. Verify package names of apps are listed.</t>
    </r>
    <r>
      <rPr>
        <sz val="11"/>
        <color rgb="FF000000"/>
        <rFont val="Calibri"/>
      </rPr>
      <t xml:space="preserve">
</t>
    </r>
    <r>
      <rPr>
        <sz val="11"/>
        <color rgb="FF000000"/>
        <rFont val="Calibri"/>
      </rPr>
      <t>If on the EMM console the system app allowlist contains unapproved core apps, this is a finding.</t>
    </r>
  </si>
  <si>
    <t>V-260165</t>
  </si>
  <si>
    <r>
      <rPr>
        <sz val="11"/>
        <rFont val="Calibri"/>
      </rPr>
      <t>Google Android 14 must be provisioned as a BYOAD device (Android work profile for employee-owned devices [BYOD]).</t>
    </r>
  </si>
  <si>
    <r>
      <rPr>
        <sz val="11"/>
        <color rgb="FF000000"/>
        <rFont val="Calibri"/>
      </rPr>
      <t>Configure the Google Android 14 device for BYOD (work profile for employee-owned devices [BYOD]).</t>
    </r>
    <r>
      <rPr>
        <sz val="11"/>
        <color rgb="FF000000"/>
        <rFont val="Calibri"/>
      </rPr>
      <t xml:space="preserve">
</t>
    </r>
    <r>
      <rPr>
        <sz val="11"/>
        <color rgb="FF000000"/>
        <rFont val="Calibri"/>
      </rPr>
      <t>On the EMM console, configure the default enrollment as work profile for employee-owned devices (BYOD).</t>
    </r>
    <r>
      <rPr>
        <sz val="11"/>
        <color rgb="FF000000"/>
        <rFont val="Calibri"/>
      </rPr>
      <t xml:space="preserve">
</t>
    </r>
    <r>
      <rPr>
        <sz val="11"/>
        <color rgb="FF000000"/>
        <rFont val="Calibri"/>
      </rPr>
      <t>Refer to the EMM documentation to determine how to configure the device.</t>
    </r>
  </si>
  <si>
    <r>
      <rPr>
        <sz val="11"/>
        <color rgb="FF000000"/>
        <rFont val="Calibri"/>
      </rPr>
      <t>The Android work profile for employee-owned devices (BYOD) is the designated application group for the BYOAD use case.</t>
    </r>
    <r>
      <rPr>
        <sz val="11"/>
        <color rgb="FF000000"/>
        <rFont val="Calibri"/>
      </rPr>
      <t xml:space="preserve">
</t>
    </r>
    <r>
      <rPr>
        <sz val="11"/>
        <color rgb="FF000000"/>
        <rFont val="Calibri"/>
      </rPr>
      <t>SFR ID: FMT_SMF_EXT.1.1 #47</t>
    </r>
  </si>
  <si>
    <r>
      <rPr>
        <sz val="11"/>
        <color rgb="FF000000"/>
        <rFont val="Calibri"/>
      </rPr>
      <t>Review that managed Google Android 14 is configured for BYOD (work profile for employee-owned devices [BYOD]).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both the EMM Administrator console and the managed Google Android 14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configure the default enrollment as work profile for employee-owned devices (BYOD).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managed Google Android 14 device:</t>
    </r>
    <r>
      <rPr>
        <sz val="11"/>
        <color rgb="FF000000"/>
        <rFont val="Calibri"/>
      </rPr>
      <t xml:space="preserve">
</t>
    </r>
    <r>
      <rPr>
        <sz val="11"/>
        <color rgb="FF000000"/>
        <rFont val="Calibri"/>
      </rPr>
      <t>1. Go to the application drawer.</t>
    </r>
    <r>
      <rPr>
        <sz val="11"/>
        <color rgb="FF000000"/>
        <rFont val="Calibri"/>
      </rPr>
      <t xml:space="preserve">
</t>
    </r>
    <r>
      <rPr>
        <sz val="11"/>
        <color rgb="FF000000"/>
        <rFont val="Calibri"/>
      </rPr>
      <t>2. Ensure a Personal tab and a Work tab are present.</t>
    </r>
    <r>
      <rPr>
        <sz val="11"/>
        <color rgb="FF000000"/>
        <rFont val="Calibri"/>
      </rPr>
      <t xml:space="preserve">
</t>
    </r>
    <r>
      <rPr>
        <sz val="11"/>
        <color rgb="FF000000"/>
        <rFont val="Calibri"/>
      </rPr>
      <t>If on the EMM console, the default enrollment is not set for BYOD (work profile for employee-owned devices [BYOD]), or if on the managed Android 14 device, the user does not have a Work tab, this is a finding.</t>
    </r>
  </si>
  <si>
    <t>V-260166</t>
  </si>
  <si>
    <r>
      <rPr>
        <sz val="11"/>
        <rFont val="Calibri"/>
      </rPr>
      <t>The Google Android 14 work profile must be configured to disable automatic completion of workspace internet browser text input.</t>
    </r>
  </si>
  <si>
    <r>
      <rPr>
        <sz val="11"/>
        <color rgb="FF000000"/>
        <rFont val="Calibri"/>
      </rPr>
      <t>Configure the Chrome browser on the Google Android 14 device work profile to disable autofill.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Ensure "SearchSuggestEnabled" is turned "OFF".</t>
    </r>
    <r>
      <rPr>
        <sz val="11"/>
        <color rgb="FF000000"/>
        <rFont val="Calibri"/>
      </rPr>
      <t xml:space="preserve">
</t>
    </r>
    <r>
      <rPr>
        <sz val="11"/>
        <color rgb="FF000000"/>
        <rFont val="Calibri"/>
      </rPr>
      <t>Refer to the EMM documentation to determine how to configure Chrome Browser Settings.</t>
    </r>
  </si>
  <si>
    <r>
      <rPr>
        <sz val="11"/>
        <color rgb="FF000000"/>
        <rFont val="Calibri"/>
      </rPr>
      <t>The autofill functionality in the web browser allows the user to complete a form that contains sensitive information, such as personally identifiable information (PII), without previous knowledge of the information. By allowing the use of autofill functionality, an adversary who learns a user's Android 14 device password, or who otherwise can unlock the device, may be able to further breach other systems by relying on the autofill feature to provide information unknown to the adversary. By disabling the autofill functionality, the risk of an adversary gaining further information about the device's user or compromising other systems is significantly mitigated.</t>
    </r>
    <r>
      <rPr>
        <sz val="11"/>
        <color rgb="FF000000"/>
        <rFont val="Calibri"/>
      </rPr>
      <t xml:space="preserve">
</t>
    </r>
    <r>
      <rPr>
        <sz val="11"/>
        <color rgb="FF000000"/>
        <rFont val="Calibri"/>
      </rPr>
      <t>SFR ID: FMT_SMF_EXT.1.1 #47</t>
    </r>
  </si>
  <si>
    <r>
      <rPr>
        <sz val="11"/>
        <color rgb="FF000000"/>
        <rFont val="Calibri"/>
      </rPr>
      <t>Review the work profile Chrome Browser app on the Google Android 14 autofill setting.</t>
    </r>
    <r>
      <rPr>
        <sz val="11"/>
        <color rgb="FF000000"/>
        <rFont val="Calibri"/>
      </rPr>
      <t xml:space="preserve">
</t>
    </r>
    <r>
      <rPr>
        <sz val="11"/>
        <color rgb="FF000000"/>
        <rFont val="Calibri"/>
      </rPr>
      <t xml:space="preserve">This procedure is performed only on the EMM Administrator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Verify "SearchSuggestEnabled" is turned "OFF".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autofill is set to "On" in the Chrome Browser Settings, this is a finding.</t>
    </r>
  </si>
  <si>
    <t>V-260167</t>
  </si>
  <si>
    <r>
      <rPr>
        <sz val="11"/>
        <rFont val="Calibri"/>
      </rPr>
      <t>The Google Android 14 work profile must be configured to disable the autofill services.</t>
    </r>
  </si>
  <si>
    <r>
      <rPr>
        <sz val="11"/>
        <color rgb="FF000000"/>
        <rFont val="Calibri"/>
      </rPr>
      <t>Configure the Google Android 14 device work profile to disable the autofill services.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autofill" to "ON".</t>
    </r>
  </si>
  <si>
    <r>
      <rPr>
        <sz val="11"/>
        <color rgb="FF000000"/>
        <rFont val="Calibri"/>
      </rPr>
      <t>The autofill services allow the user to complete text inputs that could contain sensitive information, such as personally identifiable information (PII), without previous knowledge of the information. By allowing the use of autofill services, an adversary who learns a user's Android 14 device password, or who otherwise can unlock the device, may be able to further breach other systems by relying on the autofill services to provide information unknown to the adversary. By disabling the autofill services, the risk of an adversary gaining further information about the device's user or compromising other systems is significantly mitigated.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apps that offer autofill services include Samsung Pass, Google, Dashlane, LastPass, and 1Password.</t>
    </r>
    <r>
      <rPr>
        <sz val="11"/>
        <color rgb="FF000000"/>
        <rFont val="Calibri"/>
      </rPr>
      <t xml:space="preserve">
</t>
    </r>
    <r>
      <rPr>
        <sz val="11"/>
        <color rgb="FF000000"/>
        <rFont val="Calibri"/>
      </rPr>
      <t>SFR ID: FMT_SMF_EXT.1.1 #47</t>
    </r>
  </si>
  <si>
    <r>
      <rPr>
        <sz val="11"/>
        <color rgb="FF000000"/>
        <rFont val="Calibri"/>
      </rPr>
      <t>Review the Google Android 14 work profile configuration settings to confirm that autofill services are 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only on the EMM Administration console.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autofill" is toggled to "ON".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"disallow autofill" is not selected, this is a finding.</t>
    </r>
  </si>
  <si>
    <t>V-260170</t>
  </si>
  <si>
    <r>
      <rPr>
        <sz val="11"/>
        <rFont val="Calibri"/>
      </rPr>
      <t>Android 14 devices must have the latest available Google Android 14 operating system installed.</t>
    </r>
  </si>
  <si>
    <r>
      <rPr>
        <sz val="11"/>
        <color rgb="FF000000"/>
        <rFont val="Calibri"/>
      </rPr>
      <t>Install the latest released version of the Google Android 14 operating system on all managed Google devices.</t>
    </r>
    <r>
      <rPr>
        <sz val="11"/>
        <color rgb="FF000000"/>
        <rFont val="Calibri"/>
      </rPr>
      <t xml:space="preserve">
</t>
    </r>
    <r>
      <rPr>
        <sz val="11"/>
        <color rgb="FF000000"/>
        <rFont val="Calibri"/>
      </rPr>
      <t>Note: Google Android device operating system updates are released directly by Google or can be distributed via the EMM. Check each device manufacturer and/or carriers for current updates.</t>
    </r>
  </si>
  <si>
    <r>
      <rPr>
        <sz val="11"/>
        <color rgb="FF000000"/>
        <rFont val="Calibri"/>
      </rPr>
      <t>Required security features are not available in earlier operating system versions. In addition, there may be known vulnerabilities in earlier versions.</t>
    </r>
    <r>
      <rPr>
        <sz val="11"/>
        <color rgb="FF000000"/>
        <rFont val="Calibri"/>
      </rPr>
      <t xml:space="preserve">
</t>
    </r>
    <r>
      <rPr>
        <sz val="11"/>
        <color rgb="FF000000"/>
        <rFont val="Calibri"/>
      </rPr>
      <t>SFR ID: FMT_SMF_EXT.1.1 #47</t>
    </r>
  </si>
  <si>
    <r>
      <rPr>
        <sz val="11"/>
        <color rgb="FF000000"/>
        <rFont val="Calibri"/>
      </rPr>
      <t>Review device configuration settings to confirm the Google Android device has the most recently released version of managed Google Android 14 installed.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both the EMM console and the managed Google Android 14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 the EMM management console, review the version of Google Android 14 installed on a sample of managed devices. This procedure will vary depending on the EMM product.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determine the installed operating system version on the managed Google Android 14 device: </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"About phone".</t>
    </r>
    <r>
      <rPr>
        <sz val="11"/>
        <color rgb="FF000000"/>
        <rFont val="Calibri"/>
      </rPr>
      <t xml:space="preserve">
</t>
    </r>
    <r>
      <rPr>
        <sz val="11"/>
        <color rgb="FF000000"/>
        <rFont val="Calibri"/>
      </rPr>
      <t>3. Verify "Build number".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installed version of the Google Android 14 operating system on any reviewed device is not the latest released by Google, this is a finding.</t>
    </r>
    <r>
      <rPr>
        <sz val="11"/>
        <color rgb="FF000000"/>
        <rFont val="Calibri"/>
      </rPr>
      <t xml:space="preserve">
</t>
    </r>
    <r>
      <rPr>
        <sz val="11"/>
        <color rgb="FF000000"/>
        <rFont val="Calibri"/>
      </rPr>
      <t>Google's Android operating system patch website: https://source.android.com/security/bulletin/</t>
    </r>
    <r>
      <rPr>
        <sz val="11"/>
        <color rgb="FF000000"/>
        <rFont val="Calibri"/>
      </rPr>
      <t xml:space="preserve">
</t>
    </r>
    <r>
      <rPr>
        <sz val="11"/>
        <color rgb="FF000000"/>
        <rFont val="Calibri"/>
      </rPr>
      <t>Android versions for Pixel devices: https://developers.google.com/android/images</t>
    </r>
  </si>
  <si>
    <t>V-260171</t>
  </si>
  <si>
    <r>
      <rPr>
        <sz val="11"/>
        <rFont val="Calibri"/>
      </rPr>
      <t>Android 14 devices must be configured to disable the use of third-party keyboards (work profile only).</t>
    </r>
  </si>
  <si>
    <r>
      <rPr>
        <sz val="11"/>
        <color rgb="FF000000"/>
        <rFont val="Calibri"/>
      </rPr>
      <t xml:space="preserve">Configure the Google Android 14 device to disallow the use of third-party keyboards (work profile only).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Select only the approved keyboards.</t>
    </r>
    <r>
      <rPr>
        <sz val="11"/>
        <color rgb="FF000000"/>
        <rFont val="Calibri"/>
      </rPr>
      <t xml:space="preserve">
</t>
    </r>
    <r>
      <rPr>
        <sz val="11"/>
        <color rgb="FF000000"/>
        <rFont val="Calibri"/>
      </rPr>
      <t>Additionally, admins can configure application allowlists for Google Play so no third-party keyboards are available for user installation.</t>
    </r>
  </si>
  <si>
    <r>
      <rPr>
        <sz val="11"/>
        <color rgb="FF000000"/>
        <rFont val="Calibri"/>
      </rPr>
      <t>Many third-party keyboard applications are known to contain malware.</t>
    </r>
    <r>
      <rPr>
        <sz val="11"/>
        <color rgb="FF000000"/>
        <rFont val="Calibri"/>
      </rPr>
      <t xml:space="preserve">
</t>
    </r>
    <r>
      <rPr>
        <sz val="11"/>
        <color rgb="FF000000"/>
        <rFont val="Calibri"/>
      </rPr>
      <t>SFR ID: FMT_SMF_EXT.1.1 #47</t>
    </r>
  </si>
  <si>
    <r>
      <rPr>
        <sz val="11"/>
        <color rgb="FF000000"/>
        <rFont val="Calibri"/>
      </rPr>
      <t xml:space="preserve">Review the managed Google Android 14 configuration settings to confirm that no third-party keyboards are enabled (work profile only).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EMM console.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Verify only the approved keyboards are selected.</t>
    </r>
    <r>
      <rPr>
        <sz val="11"/>
        <color rgb="FF000000"/>
        <rFont val="Calibri"/>
      </rPr>
      <t xml:space="preserve">
</t>
    </r>
    <r>
      <rPr>
        <sz val="11"/>
        <color rgb="FF000000"/>
        <rFont val="Calibri"/>
      </rPr>
      <t>If unapproved third-party keyboards are allowed in the work profile, this is a finding.</t>
    </r>
  </si>
  <si>
    <t>V-260174</t>
  </si>
  <si>
    <r>
      <rPr>
        <sz val="11"/>
        <rFont val="Calibri"/>
      </rPr>
      <t>The Google Android 14 must allow only the administrator (EMM) to install/remove DOD root and intermediate PKI certificates (work profile).</t>
    </r>
  </si>
  <si>
    <r>
      <rPr>
        <sz val="11"/>
        <color rgb="FF000000"/>
        <rFont val="Calibri"/>
      </rPr>
      <t>Configure Google Android 14 device to prevent a user from removing DOD root and intermediate PKI certificates (work profile).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config credentials" to "ON".</t>
    </r>
  </si>
  <si>
    <r>
      <rPr>
        <sz val="11"/>
        <color rgb="FF000000"/>
        <rFont val="Calibri"/>
      </rPr>
      <t>DOD root and intermediate PKI certificates are used to verify the authenticity of PKI certificates of users and web services. If the user is allowed to remove root and intermediate certificates, the user could allow an adversary to falsely sign a certificate in such a way that it could not be detected. Restricting the ability to remove DOD root and intermediate PKI certificates to the Administrator mitigates this risk.</t>
    </r>
    <r>
      <rPr>
        <sz val="11"/>
        <color rgb="FF000000"/>
        <rFont val="Calibri"/>
      </rPr>
      <t xml:space="preserve">
</t>
    </r>
    <r>
      <rPr>
        <sz val="11"/>
        <color rgb="FF000000"/>
        <rFont val="Calibri"/>
      </rPr>
      <t>SFR ID: FMT_MOF_EXT.1.2 #47</t>
    </r>
  </si>
  <si>
    <r>
      <rPr>
        <sz val="11"/>
        <color rgb="FF000000"/>
        <rFont val="Calibri"/>
      </rPr>
      <t>Review the device configuration to confirm that the user is unable to remove DOD root and intermediate PKI certificates (work profile).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config credentials" is toggled to "ON".</t>
    </r>
    <r>
      <rPr>
        <sz val="11"/>
        <color rgb="FF000000"/>
        <rFont val="Calibri"/>
      </rPr>
      <t xml:space="preserve">
</t>
    </r>
    <r>
      <rPr>
        <sz val="11"/>
        <color rgb="FF000000"/>
        <rFont val="Calibri"/>
      </rPr>
      <t>On the Google Android 14 device:</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"Security and privacy".</t>
    </r>
    <r>
      <rPr>
        <sz val="11"/>
        <color rgb="FF000000"/>
        <rFont val="Calibri"/>
      </rPr>
      <t xml:space="preserve">
</t>
    </r>
    <r>
      <rPr>
        <sz val="11"/>
        <color rgb="FF000000"/>
        <rFont val="Calibri"/>
      </rPr>
      <t>3. Tap "More security settings".</t>
    </r>
    <r>
      <rPr>
        <sz val="11"/>
        <color rgb="FF000000"/>
        <rFont val="Calibri"/>
      </rPr>
      <t xml:space="preserve">
</t>
    </r>
    <r>
      <rPr>
        <sz val="11"/>
        <color rgb="FF000000"/>
        <rFont val="Calibri"/>
      </rPr>
      <t>4. Tap "Encryption &amp; credentials".</t>
    </r>
    <r>
      <rPr>
        <sz val="11"/>
        <color rgb="FF000000"/>
        <rFont val="Calibri"/>
      </rPr>
      <t xml:space="preserve">
</t>
    </r>
    <r>
      <rPr>
        <sz val="11"/>
        <color rgb="FF000000"/>
        <rFont val="Calibri"/>
      </rPr>
      <t>5. Tap "Trusted credentials".</t>
    </r>
    <r>
      <rPr>
        <sz val="11"/>
        <color rgb="FF000000"/>
        <rFont val="Calibri"/>
      </rPr>
      <t xml:space="preserve">
</t>
    </r>
    <r>
      <rPr>
        <sz val="11"/>
        <color rgb="FF000000"/>
        <rFont val="Calibri"/>
      </rPr>
      <t>6. Verify the user is unable to untrust or remove any work certificates.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user can remove certificates on the Google Android 14 device, this is a finding.</t>
    </r>
  </si>
  <si>
    <t>V-276972</t>
  </si>
  <si>
    <r>
      <rPr>
        <sz val="11"/>
        <rFont val="Calibri"/>
      </rPr>
      <t>Google Android 14 BYOAD devices must have a Mobile Threat Detection (MTD) app installed.</t>
    </r>
  </si>
  <si>
    <r>
      <rPr>
        <sz val="11"/>
        <color rgb="FF000000"/>
        <rFont val="Calibri"/>
      </rPr>
      <t>Install an MTD app on managed Google Android BYOAD devices.</t>
    </r>
  </si>
  <si>
    <r>
      <rPr>
        <sz val="11"/>
        <color rgb="FF000000"/>
        <rFont val="Calibri"/>
      </rPr>
      <t>DOD mobile devices are in constant risk of cyber threats. MTD apps mitigate these risks by providing real-time threat detection, malware prevention, and vulnerability analysis.</t>
    </r>
    <r>
      <rPr>
        <sz val="11"/>
        <color rgb="FF000000"/>
        <rFont val="Calibri"/>
      </rPr>
      <t xml:space="preserve">
</t>
    </r>
    <r>
      <rPr>
        <sz val="11"/>
        <color rgb="FF000000"/>
        <rFont val="Calibri"/>
      </rPr>
      <t>SFR ID: FMT_MOF_EXT.1.2 #47</t>
    </r>
  </si>
  <si>
    <r>
      <rPr>
        <sz val="11"/>
        <color rgb="FF000000"/>
        <rFont val="Calibri"/>
      </rPr>
      <t>Confirm that an MTD app is installed on managed Google Android BYOAD devices.</t>
    </r>
    <r>
      <rPr>
        <sz val="11"/>
        <color rgb="FF000000"/>
        <rFont val="Calibri"/>
      </rPr>
      <t xml:space="preserve">
</t>
    </r>
    <r>
      <rPr>
        <sz val="11"/>
        <color rgb="FF000000"/>
        <rFont val="Calibri"/>
      </rPr>
      <t>This check procedure is performed on both the device management tool and the Google Android device.</t>
    </r>
    <r>
      <rPr>
        <sz val="11"/>
        <color rgb="FF000000"/>
        <rFont val="Calibri"/>
      </rPr>
      <t xml:space="preserve">
</t>
    </r>
    <r>
      <rPr>
        <sz val="11"/>
        <color rgb="FF000000"/>
        <rFont val="Calibri"/>
      </rPr>
      <t>In the MDM console, verify that an MTD app is listed as a managed app being deployed to site managed devices.</t>
    </r>
    <r>
      <rPr>
        <sz val="11"/>
        <color rgb="FF000000"/>
        <rFont val="Calibri"/>
      </rPr>
      <t xml:space="preserve">
</t>
    </r>
    <r>
      <rPr>
        <sz val="11"/>
        <color rgb="FF000000"/>
        <rFont val="Calibri"/>
      </rPr>
      <t>On the Google Android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"Apps" and then "See all apps".</t>
    </r>
    <r>
      <rPr>
        <sz val="11"/>
        <color rgb="FF000000"/>
        <rFont val="Calibri"/>
      </rPr>
      <t xml:space="preserve">
</t>
    </r>
    <r>
      <rPr>
        <sz val="11"/>
        <color rgb="FF000000"/>
        <rFont val="Calibri"/>
      </rPr>
      <t>3. Verify that an MTD app is listed.</t>
    </r>
    <r>
      <rPr>
        <sz val="11"/>
        <color rgb="FF000000"/>
        <rFont val="Calibri"/>
      </rPr>
      <t xml:space="preserve">
</t>
    </r>
    <r>
      <rPr>
        <sz val="11"/>
        <color rgb="FF000000"/>
        <rFont val="Calibri"/>
      </rPr>
      <t>If an MTD app is not installed on the device,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</si>
  <si>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</si>
  <si>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</si>
  <si>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</si>
  <si>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</si>
  <si>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</si>
  <si>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</si>
  <si>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</si>
  <si>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</si>
  <si>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</si>
  <si>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</si>
  <si>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</si>
  <si>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</si>
  <si>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</si>
  <si>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</si>
  <si>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</si>
  <si>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</si>
  <si>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</si>
  <si>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</si>
  <si>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</si>
  <si>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</si>
  <si>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</si>
  <si>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</si>
  <si>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</si>
  <si>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</si>
  <si>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</si>
  <si>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</si>
  <si>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</si>
  <si>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</si>
  <si>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</si>
  <si>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Google Android 14 BYOAD Security Technical Implementation Guide Y25M10</t>
  </si>
  <si>
    <t>Developed By:</t>
  </si>
  <si>
    <t>Google and Defense Information Systems Agency (DISA) for the US DoD</t>
  </si>
  <si>
    <t>Release Information:</t>
  </si>
  <si>
    <r>
      <rPr>
        <b/>
        <sz val="11"/>
        <color rgb="FF000000"/>
        <rFont val="Calibri"/>
      </rPr>
      <t>Version:</t>
    </r>
    <r>
      <rPr>
        <sz val="11"/>
        <color rgb="FF000000"/>
        <rFont val="Calibri"/>
      </rPr>
      <t xml:space="preserve"> Y25M10    </t>
    </r>
    <r>
      <rPr>
        <b/>
        <sz val="11"/>
        <color rgb="FF000000"/>
        <rFont val="Calibri"/>
      </rPr>
      <t>Date:</t>
    </r>
    <r>
      <rPr>
        <sz val="11"/>
        <color rgb="FF000000"/>
        <rFont val="Calibri"/>
      </rPr>
      <t xml:space="preserve"> 01 October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37</t>
    </r>
  </si>
  <si>
    <t>Download Url:</t>
  </si>
  <si>
    <t>https://www.cyber.mil/stigs</t>
  </si>
  <si>
    <t>Guide Overview:</t>
  </si>
  <si>
    <r>
      <rPr>
        <sz val="11"/>
        <color rgb="FF000000"/>
        <rFont val="Calibri"/>
      </rPr>
      <t>The Google Android 14 BYOAD Security Technical Implementation Guide (STIG) provides the technical security policies, requirements, and implementation details for applying security concepts to personally owned Google devices running Android 14 that process, store, or transmit unclassified data marked as Controlled Unclassified Information (CUI) or below. The STIG is based on the Protection Profile for Mobile Device Fundamentals (MDFPP) version 3.3 (BYOD use case); DOD Memorandum “Use of Non-Government Owned Mobile Devices, August 10, 2022; and NIST Special Publication 1800-22 “Bring Your Own Device (BYOD)”.</t>
    </r>
    <r>
      <rPr>
        <sz val="11"/>
        <color rgb="FF000000"/>
        <rFont val="Calibri"/>
      </rPr>
      <t xml:space="preserve">
</t>
    </r>
    <r>
      <rPr>
        <sz val="11"/>
        <color rgb="FF000000"/>
        <rFont val="Calibri"/>
      </rPr>
      <t>The scope of this STIG covers only the Bring Your Owned Approved Device (BYOAD) use case. The items addressed in the STIG are not specific to a Google Android hardware model; rather, they are tied to the version of the operating system running on any Google phone capable of running Android 14.</t>
    </r>
    <r>
      <rPr>
        <sz val="11"/>
        <color rgb="FF000000"/>
        <rFont val="Calibri"/>
      </rPr>
      <t xml:space="preserve">
</t>
    </r>
    <r>
      <rPr>
        <sz val="11"/>
        <color rgb="FF000000"/>
        <rFont val="Calibri"/>
      </rPr>
      <t>This STIG assumes that the technology used for data separation between work apps and data and personal apps and data that has been certified by the National Information Assurance Partnership (NIAP) is compliant with the data separation requirements of the MDFPP 1.</t>
    </r>
    <r>
      <rPr>
        <sz val="11"/>
        <color rgb="FF000000"/>
        <rFont val="Calibri"/>
      </rPr>
      <t xml:space="preserve">
</t>
    </r>
    <r>
      <rPr>
        <sz val="11"/>
        <color rgb="FF000000"/>
        <rFont val="Calibri"/>
      </rPr>
      <t>Note: See Section 2.4 of the STIG Supplemental document for operational considerations the DOD site and AO should review prior to deploying BYOAD.</t>
    </r>
    <r>
      <rPr>
        <sz val="11"/>
        <color rgb="FF000000"/>
        <rFont val="Calibri"/>
      </rPr>
      <t xml:space="preserve">
</t>
    </r>
    <r>
      <rPr>
        <sz val="11"/>
        <color rgb="FF000000"/>
        <rFont val="Calibri"/>
      </rPr>
      <t>Note: DOD sites should add the following statement to User Agreements: “Screenshots will not be taken of any work-related managed data.”</t>
    </r>
  </si>
  <si>
    <t>Components:</t>
  </si>
  <si>
    <r>
      <rPr>
        <i/>
        <sz val="11"/>
        <color rgb="FF000000"/>
        <rFont val="Calibri"/>
      </rPr>
      <t>Title:</t>
    </r>
    <r>
      <rPr>
        <sz val="11"/>
        <color rgb="FF000000"/>
        <rFont val="Calibri"/>
      </rPr>
      <t xml:space="preserve"> Google Android 14 BYOAD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13 March 2024     </t>
    </r>
    <r>
      <rPr>
        <i/>
        <sz val="11"/>
        <color rgb="FF000000"/>
        <rFont val="Calibri"/>
      </rPr>
      <t>Recommendation Count:</t>
    </r>
    <r>
      <rPr>
        <sz val="11"/>
        <color rgb="FF000000"/>
        <rFont val="Calibri"/>
      </rPr>
      <t xml:space="preserve"> 14</t>
    </r>
  </si>
  <si>
    <r>
      <rPr>
        <i/>
        <sz val="11"/>
        <color rgb="FF000000"/>
        <rFont val="Calibri"/>
      </rPr>
      <t>Title:</t>
    </r>
    <r>
      <rPr>
        <sz val="11"/>
        <color rgb="FF000000"/>
        <rFont val="Calibri"/>
      </rPr>
      <t xml:space="preserve"> Google Android 14 MDFPP 3.3 BYOAD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01 October 2025     </t>
    </r>
    <r>
      <rPr>
        <i/>
        <sz val="11"/>
        <color rgb="FF000000"/>
        <rFont val="Calibri"/>
      </rPr>
      <t>Recommendation Count:</t>
    </r>
    <r>
      <rPr>
        <sz val="11"/>
        <color rgb="FF000000"/>
        <rFont val="Calibri"/>
      </rPr>
      <t xml:space="preserve"> 23</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</si>
  <si>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</si>
  <si>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</si>
  <si>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</si>
  <si>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</si>
  <si>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</si>
  <si>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</si>
  <si>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</si>
  <si>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</si>
  <si>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</si>
  <si>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</si>
  <si>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</si>
  <si>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</si>
  <si>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</si>
  <si>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</si>
  <si>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</si>
  <si>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</si>
  <si>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</si>
  <si>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</si>
  <si>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</si>
  <si>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</si>
  <si>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</si>
  <si>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</si>
  <si>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</si>
  <si>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</si>
  <si>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</si>
  <si>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</si>
  <si>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</si>
  <si>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</si>
  <si>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Google Android 14 BYOAD Security Technical Implementation Guide Y25M10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</si>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</sst>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32">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2">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ABF-485C-8FD0-9FC2CDFA0A5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ABF-485C-8FD0-9FC2CDFA0A5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37</c:v>
                </c:pt>
              </c:numCache>
            </c:numRef>
          </c:val>
          <c:extLst>
            <c:ext xmlns:c16="http://schemas.microsoft.com/office/drawing/2014/chart" uri="{C3380CC4-5D6E-409C-BE32-E72D297353CC}">
              <c16:uniqueId val="{00000002-9ABF-485C-8FD0-9FC2CDFA0A5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Component-1</c:v>
                </c:pt>
                <c:pt idx="1">
                  <c:v>MDFPP 3.3</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0350-42B4-8F16-5065C97F0C7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Component-1</c:v>
                </c:pt>
                <c:pt idx="1">
                  <c:v>MDFPP 3.3</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0350-42B4-8F16-5065C97F0C7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Component-1</c:v>
                </c:pt>
                <c:pt idx="1">
                  <c:v>MDFPP 3.3</c:v>
                </c:pt>
              </c:strCache>
            </c:strRef>
          </c:cat>
          <c:val>
            <c:numRef>
              <c:f>Dashboard!$E$29:$E$30</c:f>
              <c:numCache>
                <c:formatCode>General</c:formatCode>
                <c:ptCount val="2"/>
                <c:pt idx="0">
                  <c:v>14</c:v>
                </c:pt>
                <c:pt idx="1">
                  <c:v>23</c:v>
                </c:pt>
              </c:numCache>
            </c:numRef>
          </c:val>
          <c:extLst>
            <c:ext xmlns:c16="http://schemas.microsoft.com/office/drawing/2014/chart" uri="{C3380CC4-5D6E-409C-BE32-E72D297353CC}">
              <c16:uniqueId val="{00000002-0350-42B4-8F16-5065C97F0C7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0E9-437F-9F4B-FB0D70B030B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0E9-437F-9F4B-FB0D70B030B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37</c:v>
                </c:pt>
              </c:numCache>
            </c:numRef>
          </c:val>
          <c:extLst>
            <c:ext xmlns:c16="http://schemas.microsoft.com/office/drawing/2014/chart" uri="{C3380CC4-5D6E-409C-BE32-E72D297353CC}">
              <c16:uniqueId val="{00000002-80E9-437F-9F4B-FB0D70B030B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CAT II (Medium)</c:v>
                </c:pt>
              </c:strCache>
            </c:strRef>
          </c:cat>
          <c:val>
            <c:numRef>
              <c:f>Dashboard!$C$67:$C$67</c:f>
              <c:numCache>
                <c:formatCode>General</c:formatCode>
                <c:ptCount val="1"/>
                <c:pt idx="0">
                  <c:v>0</c:v>
                </c:pt>
              </c:numCache>
            </c:numRef>
          </c:val>
          <c:extLst>
            <c:ext xmlns:c16="http://schemas.microsoft.com/office/drawing/2014/chart" uri="{C3380CC4-5D6E-409C-BE32-E72D297353CC}">
              <c16:uniqueId val="{00000000-871B-4F7D-B862-03BFF7E809D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CAT II (Medium)</c:v>
                </c:pt>
              </c:strCache>
            </c:strRef>
          </c:cat>
          <c:val>
            <c:numRef>
              <c:f>Dashboard!$D$67:$D$67</c:f>
              <c:numCache>
                <c:formatCode>General</c:formatCode>
                <c:ptCount val="1"/>
                <c:pt idx="0">
                  <c:v>0</c:v>
                </c:pt>
              </c:numCache>
            </c:numRef>
          </c:val>
          <c:extLst>
            <c:ext xmlns:c16="http://schemas.microsoft.com/office/drawing/2014/chart" uri="{C3380CC4-5D6E-409C-BE32-E72D297353CC}">
              <c16:uniqueId val="{00000001-871B-4F7D-B862-03BFF7E809D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CAT II (Medium)</c:v>
                </c:pt>
              </c:strCache>
            </c:strRef>
          </c:cat>
          <c:val>
            <c:numRef>
              <c:f>Dashboard!$E$67:$E$67</c:f>
              <c:numCache>
                <c:formatCode>General</c:formatCode>
                <c:ptCount val="1"/>
                <c:pt idx="0">
                  <c:v>37</c:v>
                </c:pt>
              </c:numCache>
            </c:numRef>
          </c:val>
          <c:extLst>
            <c:ext xmlns:c16="http://schemas.microsoft.com/office/drawing/2014/chart" uri="{C3380CC4-5D6E-409C-BE32-E72D297353CC}">
              <c16:uniqueId val="{00000002-871B-4F7D-B862-03BFF7E809D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22C-414C-A6D2-4069D16EBF2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22C-414C-A6D2-4069D16EBF2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37</c:v>
                </c:pt>
              </c:numCache>
            </c:numRef>
          </c:val>
          <c:extLst>
            <c:ext xmlns:c16="http://schemas.microsoft.com/office/drawing/2014/chart" uri="{C3380CC4-5D6E-409C-BE32-E72D297353CC}">
              <c16:uniqueId val="{00000002-E22C-414C-A6D2-4069D16EBF2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108-4310-8518-ED694F4C0DA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108-4310-8518-ED694F4C0DA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37</c:v>
                </c:pt>
              </c:numCache>
            </c:numRef>
          </c:val>
          <c:extLst>
            <c:ext xmlns:c16="http://schemas.microsoft.com/office/drawing/2014/chart" uri="{C3380CC4-5D6E-409C-BE32-E72D297353CC}">
              <c16:uniqueId val="{00000002-F108-4310-8518-ED694F4C0DA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C6E-4129-B71A-6BA13839E38D}"/>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C6E-4129-B71A-6BA13839E38D}"/>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C6E-4129-B71A-6BA13839E38D}"/>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C6E-4129-B71A-6BA13839E38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42E-426D-9599-8EA7B74288D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3e24n5">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4vaof0">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wo4wph">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mibhod">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mkjhkb">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efc5wt">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nolg2c">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xx0b45">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38">
  <autoFilter ref="A1:N38"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207</v>
      </c>
    </row>
    <row r="3" spans="2:3" ht="15" customHeight="1" x14ac:dyDescent="0.35"/>
    <row r="4" spans="2:3" ht="58" x14ac:dyDescent="0.35">
      <c r="B4" s="20" t="s">
        <v>208</v>
      </c>
      <c r="C4" s="21" t="s">
        <v>209</v>
      </c>
    </row>
    <row r="5" spans="2:3" x14ac:dyDescent="0.35">
      <c r="C5" s="21" t="s">
        <v>210</v>
      </c>
    </row>
    <row r="6" spans="2:3" x14ac:dyDescent="0.35">
      <c r="C6" s="18" t="s">
        <v>211</v>
      </c>
    </row>
    <row r="7" spans="2:3" ht="10" customHeight="1" x14ac:dyDescent="0.35"/>
    <row r="8" spans="2:3" ht="232" x14ac:dyDescent="0.35">
      <c r="B8" s="22" t="s">
        <v>212</v>
      </c>
      <c r="C8" s="21" t="s">
        <v>213</v>
      </c>
    </row>
    <row r="9" spans="2:3" ht="10" customHeight="1" x14ac:dyDescent="0.35"/>
    <row r="10" spans="2:3" ht="35" customHeight="1" x14ac:dyDescent="0.35">
      <c r="B10" s="22" t="s">
        <v>214</v>
      </c>
      <c r="C10" s="21" t="s">
        <v>215</v>
      </c>
    </row>
    <row r="11" spans="2:3" ht="75" customHeight="1" x14ac:dyDescent="0.35">
      <c r="B11" s="18" t="s">
        <v>21</v>
      </c>
      <c r="C11" s="21" t="s">
        <v>216</v>
      </c>
    </row>
    <row r="12" spans="2:3" ht="47" customHeight="1" x14ac:dyDescent="0.35">
      <c r="B12" s="18" t="s">
        <v>21</v>
      </c>
      <c r="C12" s="21" t="s">
        <v>217</v>
      </c>
    </row>
    <row r="13" spans="2:3" ht="35" customHeight="1" x14ac:dyDescent="0.35">
      <c r="B13" s="18" t="s">
        <v>21</v>
      </c>
      <c r="C13" s="21" t="s">
        <v>218</v>
      </c>
    </row>
    <row r="14" spans="2:3" ht="32" customHeight="1" x14ac:dyDescent="0.35">
      <c r="B14" s="18" t="s">
        <v>21</v>
      </c>
      <c r="C14" s="21" t="s">
        <v>219</v>
      </c>
    </row>
    <row r="15" spans="2:3" ht="30" customHeight="1" x14ac:dyDescent="0.35">
      <c r="B15" s="18" t="s">
        <v>21</v>
      </c>
      <c r="C15" s="21" t="s">
        <v>220</v>
      </c>
    </row>
    <row r="16" spans="2:3" ht="10" customHeight="1" x14ac:dyDescent="0.35"/>
    <row r="17" spans="1:3" ht="145" customHeight="1" x14ac:dyDescent="0.35">
      <c r="B17" s="22" t="s">
        <v>221</v>
      </c>
      <c r="C17" s="21" t="s">
        <v>222</v>
      </c>
    </row>
    <row r="18" spans="1:3" ht="10" customHeight="1" x14ac:dyDescent="0.35"/>
    <row r="19" spans="1:3" ht="3" customHeight="1" x14ac:dyDescent="0.35">
      <c r="B19" s="23"/>
      <c r="C19" s="23"/>
    </row>
    <row r="20" spans="1:3" ht="12" customHeight="1" x14ac:dyDescent="0.35"/>
    <row r="21" spans="1:3" ht="35" customHeight="1" x14ac:dyDescent="0.35">
      <c r="A21" s="25"/>
      <c r="B21" s="26" t="s">
        <v>223</v>
      </c>
      <c r="C21" s="27" t="s">
        <v>224</v>
      </c>
    </row>
    <row r="22" spans="1:3" ht="18" customHeight="1" x14ac:dyDescent="0.35">
      <c r="A22" s="25"/>
      <c r="B22" s="25" t="s">
        <v>21</v>
      </c>
      <c r="C22" s="27" t="s">
        <v>225</v>
      </c>
    </row>
    <row r="23" spans="1:3" ht="18" customHeight="1" x14ac:dyDescent="0.35">
      <c r="A23" s="25"/>
      <c r="B23" s="25" t="s">
        <v>21</v>
      </c>
      <c r="C23" s="27" t="s">
        <v>226</v>
      </c>
    </row>
    <row r="24" spans="1:3" ht="18" customHeight="1" x14ac:dyDescent="0.35">
      <c r="A24" s="25"/>
      <c r="B24" s="25" t="s">
        <v>21</v>
      </c>
      <c r="C24" s="27" t="s">
        <v>227</v>
      </c>
    </row>
    <row r="25" spans="1:3" ht="18" customHeight="1" x14ac:dyDescent="0.35">
      <c r="A25" s="25"/>
      <c r="B25" s="25" t="s">
        <v>21</v>
      </c>
      <c r="C25" s="27" t="s">
        <v>228</v>
      </c>
    </row>
    <row r="26" spans="1:3" ht="18" customHeight="1" x14ac:dyDescent="0.35">
      <c r="A26" s="25"/>
      <c r="B26" s="25" t="s">
        <v>21</v>
      </c>
      <c r="C26" s="27" t="s">
        <v>229</v>
      </c>
    </row>
    <row r="27" spans="1:3" ht="18" customHeight="1" x14ac:dyDescent="0.35">
      <c r="A27" s="25"/>
      <c r="B27" s="25" t="s">
        <v>21</v>
      </c>
      <c r="C27" s="27" t="s">
        <v>230</v>
      </c>
    </row>
    <row r="28" spans="1:3" ht="18" customHeight="1" x14ac:dyDescent="0.35">
      <c r="A28" s="25"/>
      <c r="B28" s="25" t="s">
        <v>21</v>
      </c>
      <c r="C28" s="27" t="s">
        <v>231</v>
      </c>
    </row>
    <row r="29" spans="1:3" ht="18" customHeight="1" x14ac:dyDescent="0.35">
      <c r="A29" s="25"/>
      <c r="B29" s="25" t="s">
        <v>21</v>
      </c>
      <c r="C29" s="27" t="s">
        <v>232</v>
      </c>
    </row>
    <row r="30" spans="1:3" ht="44" customHeight="1" x14ac:dyDescent="0.35">
      <c r="A30" s="25"/>
      <c r="B30" s="25" t="s">
        <v>21</v>
      </c>
      <c r="C30" s="28" t="s">
        <v>233</v>
      </c>
    </row>
    <row r="31" spans="1:3" ht="10" customHeight="1" x14ac:dyDescent="0.35"/>
    <row r="32" spans="1:3" ht="3" customHeight="1" x14ac:dyDescent="0.35">
      <c r="B32" s="23"/>
      <c r="C32" s="23"/>
    </row>
    <row r="33" spans="2:3" ht="12" customHeight="1" x14ac:dyDescent="0.35"/>
    <row r="34" spans="2:3" ht="24" customHeight="1" x14ac:dyDescent="0.35">
      <c r="B34" s="29" t="s">
        <v>234</v>
      </c>
      <c r="C34" s="30" t="s">
        <v>235</v>
      </c>
    </row>
    <row r="35" spans="2:3" ht="18.5" x14ac:dyDescent="0.35">
      <c r="B35" s="29" t="s">
        <v>236</v>
      </c>
      <c r="C35" s="31" t="s">
        <v>237</v>
      </c>
    </row>
    <row r="36" spans="2:3" ht="27" customHeight="1" x14ac:dyDescent="0.35">
      <c r="B36" s="32" t="s">
        <v>238</v>
      </c>
      <c r="C36" s="24" t="s">
        <v>239</v>
      </c>
    </row>
    <row r="37" spans="2:3" x14ac:dyDescent="0.35">
      <c r="B37" s="29" t="s">
        <v>240</v>
      </c>
      <c r="C37" s="33" t="s">
        <v>241</v>
      </c>
    </row>
    <row r="38" spans="2:3" ht="10" customHeight="1" x14ac:dyDescent="0.35"/>
    <row r="39" spans="2:3" ht="220" customHeight="1" x14ac:dyDescent="0.35">
      <c r="B39" s="29" t="s">
        <v>242</v>
      </c>
      <c r="C39" s="34" t="s">
        <v>243</v>
      </c>
    </row>
    <row r="40" spans="2:3" ht="10" customHeight="1" x14ac:dyDescent="0.35"/>
    <row r="41" spans="2:3" ht="20" customHeight="1" x14ac:dyDescent="0.35">
      <c r="B41" s="29" t="s">
        <v>244</v>
      </c>
      <c r="C41" s="35" t="s">
        <v>17</v>
      </c>
    </row>
    <row r="42" spans="2:3" ht="29" x14ac:dyDescent="0.35">
      <c r="C42" s="21" t="s">
        <v>245</v>
      </c>
    </row>
    <row r="43" spans="2:3" ht="10" customHeight="1" x14ac:dyDescent="0.35"/>
    <row r="44" spans="2:3" ht="20" customHeight="1" x14ac:dyDescent="0.35">
      <c r="C44" s="35" t="s">
        <v>92</v>
      </c>
    </row>
    <row r="45" spans="2:3" ht="29" x14ac:dyDescent="0.35">
      <c r="C45" s="21" t="s">
        <v>246</v>
      </c>
    </row>
    <row r="46" spans="2:3" ht="10" customHeight="1" x14ac:dyDescent="0.35"/>
    <row r="47" spans="2:3" ht="43.5" x14ac:dyDescent="0.35">
      <c r="B47" s="29" t="s">
        <v>247</v>
      </c>
      <c r="C47" s="21" t="s">
        <v>248</v>
      </c>
    </row>
    <row r="48" spans="2:3" ht="10" customHeight="1" x14ac:dyDescent="0.35"/>
    <row r="49" spans="2:3" ht="15.5" x14ac:dyDescent="0.35">
      <c r="C49" s="36" t="s">
        <v>249</v>
      </c>
    </row>
    <row r="50" spans="2:3" ht="29" x14ac:dyDescent="0.35">
      <c r="C50" s="21" t="s">
        <v>250</v>
      </c>
    </row>
    <row r="51" spans="2:3" ht="10" customHeight="1" x14ac:dyDescent="0.35"/>
    <row r="52" spans="2:3" ht="15.5" x14ac:dyDescent="0.35">
      <c r="C52" s="37" t="s">
        <v>16</v>
      </c>
    </row>
    <row r="53" spans="2:3" ht="29" x14ac:dyDescent="0.35">
      <c r="C53" s="21" t="s">
        <v>251</v>
      </c>
    </row>
    <row r="54" spans="2:3" ht="10" customHeight="1" x14ac:dyDescent="0.35"/>
    <row r="55" spans="2:3" ht="15.5" x14ac:dyDescent="0.35">
      <c r="C55" s="38" t="s">
        <v>252</v>
      </c>
    </row>
    <row r="56" spans="2:3" ht="29" x14ac:dyDescent="0.35">
      <c r="C56" s="21" t="s">
        <v>253</v>
      </c>
    </row>
    <row r="57" spans="2:3" ht="10" customHeight="1" x14ac:dyDescent="0.35"/>
    <row r="58" spans="2:3" ht="3" customHeight="1" x14ac:dyDescent="0.35">
      <c r="B58" s="23"/>
      <c r="C58" s="23"/>
    </row>
    <row r="59" spans="2:3" ht="12" customHeight="1" x14ac:dyDescent="0.35"/>
    <row r="60" spans="2:3" ht="130.5" x14ac:dyDescent="0.35">
      <c r="B60" s="20" t="s">
        <v>254</v>
      </c>
      <c r="C60" s="21" t="s">
        <v>255</v>
      </c>
    </row>
    <row r="61" spans="2:3" ht="6" customHeight="1" x14ac:dyDescent="0.35"/>
    <row r="62" spans="2:3" ht="217.5" x14ac:dyDescent="0.35">
      <c r="C62" s="21" t="s">
        <v>256</v>
      </c>
    </row>
    <row r="63" spans="2:3" ht="6" customHeight="1" x14ac:dyDescent="0.35"/>
    <row r="64" spans="2:3" ht="43.5" x14ac:dyDescent="0.35">
      <c r="C64" s="21" t="s">
        <v>257</v>
      </c>
    </row>
    <row r="65" spans="2:3" ht="10" customHeight="1" x14ac:dyDescent="0.35"/>
    <row r="66" spans="2:3" ht="3" customHeight="1" x14ac:dyDescent="0.35">
      <c r="B66" s="23"/>
      <c r="C66" s="23"/>
    </row>
    <row r="67" spans="2:3" ht="12" customHeight="1" x14ac:dyDescent="0.35"/>
    <row r="68" spans="2:3" ht="145" x14ac:dyDescent="0.35">
      <c r="B68" s="20" t="s">
        <v>258</v>
      </c>
      <c r="C68" s="21" t="s">
        <v>259</v>
      </c>
    </row>
    <row r="69" spans="2:3" ht="6" customHeight="1" x14ac:dyDescent="0.35"/>
    <row r="70" spans="2:3" ht="203" x14ac:dyDescent="0.35">
      <c r="C70" s="21" t="s">
        <v>260</v>
      </c>
    </row>
    <row r="71" spans="2:3" ht="6" customHeight="1" x14ac:dyDescent="0.35"/>
    <row r="72" spans="2:3" ht="43.5" x14ac:dyDescent="0.35">
      <c r="C72" s="21" t="s">
        <v>261</v>
      </c>
    </row>
    <row r="73" spans="2:3" ht="10" customHeight="1" x14ac:dyDescent="0.35"/>
    <row r="74" spans="2:3" ht="3" customHeight="1" x14ac:dyDescent="0.35">
      <c r="B74" s="23"/>
      <c r="C74" s="23"/>
    </row>
    <row r="75" spans="2:3" ht="12" customHeight="1" x14ac:dyDescent="0.35"/>
    <row r="76" spans="2:3" ht="101.5" x14ac:dyDescent="0.35">
      <c r="B76" s="20" t="s">
        <v>262</v>
      </c>
      <c r="C76" s="21" t="s">
        <v>263</v>
      </c>
    </row>
    <row r="77" spans="2:3" ht="6" customHeight="1" x14ac:dyDescent="0.35"/>
    <row r="78" spans="2:3" ht="145" x14ac:dyDescent="0.35">
      <c r="C78" s="21" t="s">
        <v>264</v>
      </c>
    </row>
    <row r="79" spans="2:3" ht="6" customHeight="1" x14ac:dyDescent="0.35"/>
    <row r="80" spans="2:3" ht="43.5" x14ac:dyDescent="0.35">
      <c r="C80" s="21" t="s">
        <v>265</v>
      </c>
    </row>
    <row r="81" spans="2:3" ht="10" customHeight="1" x14ac:dyDescent="0.35"/>
    <row r="82" spans="2:3" ht="3" customHeight="1" x14ac:dyDescent="0.35">
      <c r="B82" s="23"/>
      <c r="C82" s="23"/>
    </row>
    <row r="83" spans="2:3" ht="12" customHeight="1" x14ac:dyDescent="0.35"/>
    <row r="84" spans="2:3" ht="26" customHeight="1" x14ac:dyDescent="0.35">
      <c r="B84" s="39" t="s">
        <v>266</v>
      </c>
    </row>
    <row r="85" spans="2:3" ht="8" customHeight="1" x14ac:dyDescent="0.35"/>
    <row r="86" spans="2:3" ht="20" customHeight="1" x14ac:dyDescent="0.35">
      <c r="B86" s="29" t="s">
        <v>267</v>
      </c>
      <c r="C86" s="40" t="s">
        <v>268</v>
      </c>
    </row>
    <row r="87" spans="2:3" ht="116" x14ac:dyDescent="0.35">
      <c r="C87" s="21" t="s">
        <v>269</v>
      </c>
    </row>
    <row r="88" spans="2:3" ht="10" customHeight="1" x14ac:dyDescent="0.35"/>
    <row r="91" spans="2:3" ht="32" customHeight="1" x14ac:dyDescent="0.35">
      <c r="B91" s="109" t="s">
        <v>206</v>
      </c>
      <c r="C91" s="109"/>
    </row>
  </sheetData>
  <sheetProtection password="90EA" sheet="1"/>
  <mergeCells count="1">
    <mergeCell ref="B91:C91"/>
  </mergeCells>
  <hyperlinks>
    <hyperlink ref="C5" r:id="rId1" xr:uid="{00000000-0004-0000-0000-000000000000}"/>
    <hyperlink ref="C6" r:id="rId2" xr:uid="{00000000-0004-0000-0000-000001000000}"/>
    <hyperlink ref="C37" r:id="rId3" xr:uid="{00000000-0004-0000-0000-000002000000}"/>
    <hyperlink ref="B91"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10" t="s">
        <v>270</v>
      </c>
      <c r="C2" s="111"/>
      <c r="D2" s="111"/>
      <c r="E2" s="111"/>
      <c r="F2" s="111"/>
      <c r="G2" s="111"/>
      <c r="H2" s="111"/>
      <c r="I2" s="111"/>
    </row>
    <row r="4" spans="2:15" ht="18.5" x14ac:dyDescent="0.45">
      <c r="B4" s="42" t="s">
        <v>271</v>
      </c>
    </row>
    <row r="5" spans="2:15" x14ac:dyDescent="0.35">
      <c r="B5" s="44" t="s">
        <v>21</v>
      </c>
      <c r="C5" s="44" t="s">
        <v>272</v>
      </c>
      <c r="D5" s="44" t="s">
        <v>273</v>
      </c>
      <c r="F5" s="112" t="s">
        <v>274</v>
      </c>
      <c r="G5" s="112"/>
      <c r="H5" s="112"/>
      <c r="I5" s="113" t="s">
        <v>275</v>
      </c>
      <c r="J5" s="113"/>
      <c r="K5" s="113"/>
      <c r="L5" s="113"/>
      <c r="M5" s="113"/>
      <c r="N5" s="113"/>
      <c r="O5" s="113"/>
    </row>
    <row r="6" spans="2:15" x14ac:dyDescent="0.35">
      <c r="B6" s="50" t="s">
        <v>276</v>
      </c>
      <c r="C6" s="51">
        <v>37</v>
      </c>
      <c r="D6" s="52" t="s">
        <v>21</v>
      </c>
      <c r="F6" s="112" t="s">
        <v>277</v>
      </c>
      <c r="G6" s="112"/>
      <c r="H6" s="112"/>
      <c r="I6" s="114" t="s">
        <v>278</v>
      </c>
      <c r="J6" s="114"/>
      <c r="K6" s="114"/>
      <c r="L6" s="114"/>
      <c r="M6" s="114"/>
      <c r="N6" s="114"/>
      <c r="O6" s="114"/>
    </row>
    <row r="7" spans="2:15" x14ac:dyDescent="0.35">
      <c r="B7" s="53" t="s">
        <v>279</v>
      </c>
      <c r="C7" s="54">
        <f>C6-C8-C9</f>
        <v>37</v>
      </c>
      <c r="D7" s="55">
        <f>IF(C6&gt;0,C7/C6,0)</f>
        <v>1</v>
      </c>
      <c r="F7" s="112" t="s">
        <v>280</v>
      </c>
      <c r="G7" s="112"/>
      <c r="H7" s="112"/>
      <c r="I7" s="114" t="s">
        <v>278</v>
      </c>
      <c r="J7" s="114"/>
      <c r="K7" s="114"/>
      <c r="L7" s="114"/>
      <c r="M7" s="114"/>
      <c r="N7" s="114"/>
      <c r="O7" s="114"/>
    </row>
    <row r="8" spans="2:15" x14ac:dyDescent="0.35">
      <c r="B8" s="46" t="s">
        <v>281</v>
      </c>
      <c r="C8" s="47">
        <f>COUNTIF('Recommendations'!H:H,"Risk Accepted")</f>
        <v>0</v>
      </c>
      <c r="D8" s="48">
        <f>IF(C6&gt;0,C8/C6,0)</f>
        <v>0</v>
      </c>
      <c r="F8" s="112" t="s">
        <v>282</v>
      </c>
      <c r="G8" s="112"/>
      <c r="H8" s="112"/>
      <c r="I8" s="114" t="s">
        <v>278</v>
      </c>
      <c r="J8" s="114"/>
      <c r="K8" s="114"/>
      <c r="L8" s="114"/>
      <c r="M8" s="114"/>
      <c r="N8" s="114"/>
      <c r="O8" s="114"/>
    </row>
    <row r="9" spans="2:15" x14ac:dyDescent="0.35">
      <c r="B9" s="46" t="s">
        <v>283</v>
      </c>
      <c r="C9" s="47">
        <f>COUNTIF('Recommendations'!H:H,"N/A")</f>
        <v>0</v>
      </c>
      <c r="D9" s="48">
        <f>IF(C6&gt;0,C9/C6,0)</f>
        <v>0</v>
      </c>
      <c r="F9" s="112" t="s">
        <v>284</v>
      </c>
      <c r="G9" s="112"/>
      <c r="H9" s="112"/>
      <c r="I9" s="114" t="s">
        <v>278</v>
      </c>
      <c r="J9" s="114"/>
      <c r="K9" s="114"/>
      <c r="L9" s="114"/>
      <c r="M9" s="114"/>
      <c r="N9" s="114"/>
      <c r="O9" s="114"/>
    </row>
    <row r="12" spans="2:15" ht="18.5" x14ac:dyDescent="0.45">
      <c r="B12" s="42" t="s">
        <v>285</v>
      </c>
    </row>
    <row r="14" spans="2:15" x14ac:dyDescent="0.35">
      <c r="B14" s="56" t="s">
        <v>286</v>
      </c>
    </row>
    <row r="15" spans="2:15" x14ac:dyDescent="0.35">
      <c r="B15" s="44" t="s">
        <v>21</v>
      </c>
      <c r="C15" s="44" t="s">
        <v>287</v>
      </c>
      <c r="D15" s="44" t="s">
        <v>288</v>
      </c>
      <c r="E15" s="44" t="s">
        <v>289</v>
      </c>
      <c r="F15" s="44" t="s">
        <v>290</v>
      </c>
    </row>
    <row r="16" spans="2:15" x14ac:dyDescent="0.35">
      <c r="B16" s="46" t="s">
        <v>291</v>
      </c>
      <c r="C16" s="47">
        <f>COUNTIF('Recommendations'!M:M,"Resolved")</f>
        <v>0</v>
      </c>
      <c r="D16" s="47">
        <f>COUNTIF('Recommendations'!M:M,"Testing")</f>
        <v>0</v>
      </c>
      <c r="E16" s="47">
        <f>COUNTIF('Recommendations'!M:M,"Outstanding")</f>
        <v>37</v>
      </c>
      <c r="F16" s="47">
        <f>SUM(C16:E16)</f>
        <v>37</v>
      </c>
    </row>
    <row r="18" spans="2:6" x14ac:dyDescent="0.35">
      <c r="B18" s="56" t="s">
        <v>292</v>
      </c>
    </row>
    <row r="19" spans="2:6" x14ac:dyDescent="0.35">
      <c r="B19" s="57" t="s">
        <v>21</v>
      </c>
      <c r="C19" s="57" t="s">
        <v>287</v>
      </c>
      <c r="D19" s="57" t="s">
        <v>288</v>
      </c>
      <c r="E19" s="57" t="s">
        <v>289</v>
      </c>
      <c r="F19" s="57" t="s">
        <v>21</v>
      </c>
    </row>
    <row r="20" spans="2:6" x14ac:dyDescent="0.35">
      <c r="B20" s="46" t="s">
        <v>291</v>
      </c>
      <c r="C20" s="48">
        <f>IF(F16&gt;0, C16/F16, 0)</f>
        <v>0</v>
      </c>
      <c r="D20" s="48">
        <f>IF(F16&gt;0, D16/F16, 0)</f>
        <v>0</v>
      </c>
      <c r="E20" s="48">
        <f>IF(F16&gt;0, E16/F16, 0)</f>
        <v>1</v>
      </c>
      <c r="F20" s="49" t="s">
        <v>21</v>
      </c>
    </row>
    <row r="25" spans="2:6" ht="18.5" x14ac:dyDescent="0.45">
      <c r="B25" s="42" t="s">
        <v>293</v>
      </c>
    </row>
    <row r="27" spans="2:6" x14ac:dyDescent="0.35">
      <c r="B27" s="56" t="s">
        <v>286</v>
      </c>
    </row>
    <row r="28" spans="2:6" x14ac:dyDescent="0.35">
      <c r="B28" s="44" t="s">
        <v>3</v>
      </c>
      <c r="C28" s="44" t="s">
        <v>287</v>
      </c>
      <c r="D28" s="44" t="s">
        <v>288</v>
      </c>
      <c r="E28" s="44" t="s">
        <v>289</v>
      </c>
      <c r="F28" s="44" t="s">
        <v>290</v>
      </c>
    </row>
    <row r="29" spans="2:6" x14ac:dyDescent="0.35">
      <c r="B29" s="46" t="s">
        <v>17</v>
      </c>
      <c r="C29" s="47">
        <f>COUNTIFS('Recommendations'!D:D,"Component-1",'Recommendations'!M:M,"=Resolved")</f>
        <v>0</v>
      </c>
      <c r="D29" s="47">
        <f>COUNTIFS('Recommendations'!D:D,"=Component-1",'Recommendations'!M:M,"=Testing")</f>
        <v>0</v>
      </c>
      <c r="E29" s="47">
        <f>COUNTIFS('Recommendations'!D:D,"=Component-1",'Recommendations'!M:M,"=Outstanding")</f>
        <v>14</v>
      </c>
      <c r="F29" s="47">
        <f>SUM(C29:E29)</f>
        <v>14</v>
      </c>
    </row>
    <row r="30" spans="2:6" x14ac:dyDescent="0.35">
      <c r="B30" s="46" t="s">
        <v>92</v>
      </c>
      <c r="C30" s="47">
        <f>COUNTIFS('Recommendations'!D:D,"MDFPP 3.3",'Recommendations'!M:M,"=Resolved")</f>
        <v>0</v>
      </c>
      <c r="D30" s="47">
        <f>COUNTIFS('Recommendations'!D:D,"=MDFPP 3.3",'Recommendations'!M:M,"=Testing")</f>
        <v>0</v>
      </c>
      <c r="E30" s="47">
        <f>COUNTIFS('Recommendations'!D:D,"=MDFPP 3.3",'Recommendations'!M:M,"=Outstanding")</f>
        <v>23</v>
      </c>
      <c r="F30" s="47">
        <f>SUM(C30:E30)</f>
        <v>23</v>
      </c>
    </row>
    <row r="32" spans="2:6" x14ac:dyDescent="0.35">
      <c r="B32" s="56" t="s">
        <v>292</v>
      </c>
    </row>
    <row r="33" spans="2:6" x14ac:dyDescent="0.35">
      <c r="B33" s="57" t="s">
        <v>3</v>
      </c>
      <c r="C33" s="57" t="s">
        <v>287</v>
      </c>
      <c r="D33" s="57" t="s">
        <v>288</v>
      </c>
      <c r="E33" s="57" t="s">
        <v>289</v>
      </c>
      <c r="F33" s="57" t="s">
        <v>21</v>
      </c>
    </row>
    <row r="34" spans="2:6" x14ac:dyDescent="0.35">
      <c r="B34" s="46" t="s">
        <v>17</v>
      </c>
      <c r="C34" s="48">
        <f>IF(F29&gt;0, C29/F29, 0)</f>
        <v>0</v>
      </c>
      <c r="D34" s="48">
        <f>IF(F29&gt;0, D29/F29, 0)</f>
        <v>0</v>
      </c>
      <c r="E34" s="48">
        <f>IF(F29&gt;0, E29/F29, 0)</f>
        <v>1</v>
      </c>
      <c r="F34" s="49" t="s">
        <v>21</v>
      </c>
    </row>
    <row r="35" spans="2:6" x14ac:dyDescent="0.35">
      <c r="B35" s="46" t="s">
        <v>92</v>
      </c>
      <c r="C35" s="48">
        <f>IF(F30&gt;0, C30/F30, 0)</f>
        <v>0</v>
      </c>
      <c r="D35" s="48">
        <f>IF(F30&gt;0, D30/F30, 0)</f>
        <v>0</v>
      </c>
      <c r="E35" s="48">
        <f>IF(F30&gt;0, E30/F30, 0)</f>
        <v>1</v>
      </c>
      <c r="F35" s="49" t="s">
        <v>21</v>
      </c>
    </row>
    <row r="40" spans="2:6" ht="18.5" x14ac:dyDescent="0.45">
      <c r="B40" s="42" t="s">
        <v>294</v>
      </c>
    </row>
    <row r="42" spans="2:6" x14ac:dyDescent="0.35">
      <c r="B42" s="56" t="s">
        <v>286</v>
      </c>
    </row>
    <row r="43" spans="2:6" x14ac:dyDescent="0.35">
      <c r="B43" s="44" t="s">
        <v>6</v>
      </c>
      <c r="C43" s="44" t="s">
        <v>287</v>
      </c>
      <c r="D43" s="44" t="s">
        <v>288</v>
      </c>
      <c r="E43" s="44" t="s">
        <v>289</v>
      </c>
      <c r="F43" s="44" t="s">
        <v>290</v>
      </c>
    </row>
    <row r="44" spans="2:6" x14ac:dyDescent="0.35">
      <c r="B44" s="46" t="s">
        <v>295</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296</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297</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298</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299</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37</v>
      </c>
      <c r="F49" s="47">
        <f t="shared" si="0"/>
        <v>37</v>
      </c>
    </row>
    <row r="51" spans="2:6" x14ac:dyDescent="0.35">
      <c r="B51" s="56" t="s">
        <v>292</v>
      </c>
    </row>
    <row r="52" spans="2:6" x14ac:dyDescent="0.35">
      <c r="B52" s="57" t="s">
        <v>6</v>
      </c>
      <c r="C52" s="57" t="s">
        <v>287</v>
      </c>
      <c r="D52" s="57" t="s">
        <v>288</v>
      </c>
      <c r="E52" s="57" t="s">
        <v>289</v>
      </c>
      <c r="F52" s="57" t="s">
        <v>21</v>
      </c>
    </row>
    <row r="53" spans="2:6" x14ac:dyDescent="0.35">
      <c r="B53" s="46" t="s">
        <v>295</v>
      </c>
      <c r="C53" s="48">
        <f t="shared" ref="C53:C58" si="1">IF(F44&gt;0, C44/F44, 0)</f>
        <v>0</v>
      </c>
      <c r="D53" s="48">
        <f t="shared" ref="D53:D58" si="2">IF(F44&gt;0, D44/F44, 0)</f>
        <v>0</v>
      </c>
      <c r="E53" s="48">
        <f t="shared" ref="E53:E58" si="3">IF(F44&gt;0, E44/F44, 0)</f>
        <v>0</v>
      </c>
      <c r="F53" s="49" t="s">
        <v>21</v>
      </c>
    </row>
    <row r="54" spans="2:6" x14ac:dyDescent="0.35">
      <c r="B54" s="46" t="s">
        <v>296</v>
      </c>
      <c r="C54" s="48">
        <f t="shared" si="1"/>
        <v>0</v>
      </c>
      <c r="D54" s="48">
        <f t="shared" si="2"/>
        <v>0</v>
      </c>
      <c r="E54" s="48">
        <f t="shared" si="3"/>
        <v>0</v>
      </c>
      <c r="F54" s="49" t="s">
        <v>21</v>
      </c>
    </row>
    <row r="55" spans="2:6" x14ac:dyDescent="0.35">
      <c r="B55" s="46" t="s">
        <v>297</v>
      </c>
      <c r="C55" s="48">
        <f t="shared" si="1"/>
        <v>0</v>
      </c>
      <c r="D55" s="48">
        <f t="shared" si="2"/>
        <v>0</v>
      </c>
      <c r="E55" s="48">
        <f t="shared" si="3"/>
        <v>0</v>
      </c>
      <c r="F55" s="49" t="s">
        <v>21</v>
      </c>
    </row>
    <row r="56" spans="2:6" x14ac:dyDescent="0.35">
      <c r="B56" s="46" t="s">
        <v>298</v>
      </c>
      <c r="C56" s="48">
        <f t="shared" si="1"/>
        <v>0</v>
      </c>
      <c r="D56" s="48">
        <f t="shared" si="2"/>
        <v>0</v>
      </c>
      <c r="E56" s="48">
        <f t="shared" si="3"/>
        <v>0</v>
      </c>
      <c r="F56" s="49" t="s">
        <v>21</v>
      </c>
    </row>
    <row r="57" spans="2:6" x14ac:dyDescent="0.35">
      <c r="B57" s="46" t="s">
        <v>299</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300</v>
      </c>
    </row>
    <row r="65" spans="2:6" x14ac:dyDescent="0.35">
      <c r="B65" s="56" t="s">
        <v>286</v>
      </c>
    </row>
    <row r="66" spans="2:6" x14ac:dyDescent="0.35">
      <c r="B66" s="44" t="s">
        <v>2</v>
      </c>
      <c r="C66" s="44" t="s">
        <v>287</v>
      </c>
      <c r="D66" s="44" t="s">
        <v>288</v>
      </c>
      <c r="E66" s="44" t="s">
        <v>289</v>
      </c>
      <c r="F66" s="44" t="s">
        <v>290</v>
      </c>
    </row>
    <row r="67" spans="2:6" x14ac:dyDescent="0.35">
      <c r="B67" s="46" t="s">
        <v>16</v>
      </c>
      <c r="C67" s="47">
        <f>COUNTIFS('Recommendations'!C:C,"CAT II (Medium)",'Recommendations'!M:M,"=Resolved")</f>
        <v>0</v>
      </c>
      <c r="D67" s="47">
        <f>COUNTIFS('Recommendations'!C:C,"=CAT II (Medium)",'Recommendations'!M:M,"=Testing")</f>
        <v>0</v>
      </c>
      <c r="E67" s="47">
        <f>COUNTIFS('Recommendations'!C:C,"=CAT II (Medium)",'Recommendations'!M:M,"=Outstanding")</f>
        <v>37</v>
      </c>
      <c r="F67" s="47">
        <f>SUM(C67:E67)</f>
        <v>37</v>
      </c>
    </row>
    <row r="69" spans="2:6" x14ac:dyDescent="0.35">
      <c r="B69" s="56" t="s">
        <v>292</v>
      </c>
    </row>
    <row r="70" spans="2:6" x14ac:dyDescent="0.35">
      <c r="B70" s="57" t="s">
        <v>2</v>
      </c>
      <c r="C70" s="57" t="s">
        <v>287</v>
      </c>
      <c r="D70" s="57" t="s">
        <v>288</v>
      </c>
      <c r="E70" s="57" t="s">
        <v>289</v>
      </c>
      <c r="F70" s="57" t="s">
        <v>21</v>
      </c>
    </row>
    <row r="71" spans="2:6" x14ac:dyDescent="0.35">
      <c r="B71" s="46" t="s">
        <v>16</v>
      </c>
      <c r="C71" s="48">
        <f>IF(F67&gt;0, C67/F67, 0)</f>
        <v>0</v>
      </c>
      <c r="D71" s="48">
        <f>IF(F67&gt;0, D67/F67, 0)</f>
        <v>0</v>
      </c>
      <c r="E71" s="48">
        <f>IF(F67&gt;0, E67/F67, 0)</f>
        <v>1</v>
      </c>
      <c r="F71" s="49" t="s">
        <v>21</v>
      </c>
    </row>
    <row r="76" spans="2:6" ht="18.5" x14ac:dyDescent="0.45">
      <c r="B76" s="42" t="s">
        <v>301</v>
      </c>
    </row>
    <row r="78" spans="2:6" x14ac:dyDescent="0.35">
      <c r="B78" s="56" t="s">
        <v>286</v>
      </c>
    </row>
    <row r="79" spans="2:6" x14ac:dyDescent="0.35">
      <c r="B79" s="44" t="s">
        <v>4</v>
      </c>
      <c r="C79" s="44" t="s">
        <v>287</v>
      </c>
      <c r="D79" s="44" t="s">
        <v>288</v>
      </c>
      <c r="E79" s="44" t="s">
        <v>289</v>
      </c>
      <c r="F79" s="44" t="s">
        <v>290</v>
      </c>
    </row>
    <row r="80" spans="2:6" x14ac:dyDescent="0.35">
      <c r="B80" s="46" t="s">
        <v>302</v>
      </c>
      <c r="C80" s="47">
        <f>COUNTIFS('Recommendations'!E:E,"Must",'Recommendations'!M:M,"=Resolved")</f>
        <v>0</v>
      </c>
      <c r="D80" s="47">
        <f>COUNTIFS('Recommendations'!E:E,"=Must",'Recommendations'!M:M,"=Testing")</f>
        <v>0</v>
      </c>
      <c r="E80" s="47">
        <f>COUNTIFS('Recommendations'!E:E,"=Must",'Recommendations'!M:M,"=Outstanding")</f>
        <v>0</v>
      </c>
      <c r="F80" s="47">
        <f>SUM(C80:E80)</f>
        <v>0</v>
      </c>
    </row>
    <row r="81" spans="2:6" x14ac:dyDescent="0.35">
      <c r="B81" s="46" t="s">
        <v>303</v>
      </c>
      <c r="C81" s="47">
        <f>COUNTIFS('Recommendations'!E:E,"Should",'Recommendations'!M:M,"=Resolved")</f>
        <v>0</v>
      </c>
      <c r="D81" s="47">
        <f>COUNTIFS('Recommendations'!E:E,"=Should",'Recommendations'!M:M,"=Testing")</f>
        <v>0</v>
      </c>
      <c r="E81" s="47">
        <f>COUNTIFS('Recommendations'!E:E,"=Should",'Recommendations'!M:M,"=Outstanding")</f>
        <v>0</v>
      </c>
      <c r="F81" s="47">
        <f>SUM(C81:E81)</f>
        <v>0</v>
      </c>
    </row>
    <row r="82" spans="2:6" x14ac:dyDescent="0.35">
      <c r="B82" s="46" t="s">
        <v>304</v>
      </c>
      <c r="C82" s="47">
        <f>COUNTIFS('Recommendations'!E:E,"Could",'Recommendations'!M:M,"=Resolved")</f>
        <v>0</v>
      </c>
      <c r="D82" s="47">
        <f>COUNTIFS('Recommendations'!E:E,"=Could",'Recommendations'!M:M,"=Testing")</f>
        <v>0</v>
      </c>
      <c r="E82" s="47">
        <f>COUNTIFS('Recommendations'!E:E,"=Could",'Recommendations'!M:M,"=Outstanding")</f>
        <v>0</v>
      </c>
      <c r="F82" s="47">
        <f>SUM(C82:E82)</f>
        <v>0</v>
      </c>
    </row>
    <row r="83" spans="2:6" x14ac:dyDescent="0.35">
      <c r="B83" s="46" t="s">
        <v>305</v>
      </c>
      <c r="C83" s="47">
        <f>COUNTIFS('Recommendations'!E:E,"Won't",'Recommendations'!M:M,"=Resolved")</f>
        <v>0</v>
      </c>
      <c r="D83" s="47">
        <f>COUNTIFS('Recommendations'!E:E,"=Won't",'Recommendations'!M:M,"=Testing")</f>
        <v>0</v>
      </c>
      <c r="E83" s="47">
        <f>COUNTIFS('Recommendations'!E:E,"=Won't",'Recommendations'!M:M,"=Outstanding")</f>
        <v>0</v>
      </c>
      <c r="F83" s="47">
        <f>SUM(C83:E83)</f>
        <v>0</v>
      </c>
    </row>
    <row r="84" spans="2:6" x14ac:dyDescent="0.35">
      <c r="B84" s="46" t="s">
        <v>18</v>
      </c>
      <c r="C84" s="47">
        <f>COUNTIFS('Recommendations'!E:E,"Unassigned",'Recommendations'!M:M,"=Resolved")</f>
        <v>0</v>
      </c>
      <c r="D84" s="47">
        <f>COUNTIFS('Recommendations'!E:E,"=Unassigned",'Recommendations'!M:M,"=Testing")</f>
        <v>0</v>
      </c>
      <c r="E84" s="47">
        <f>COUNTIFS('Recommendations'!E:E,"=Unassigned",'Recommendations'!M:M,"=Outstanding")</f>
        <v>37</v>
      </c>
      <c r="F84" s="47">
        <f>SUM(C84:E84)</f>
        <v>37</v>
      </c>
    </row>
    <row r="86" spans="2:6" x14ac:dyDescent="0.35">
      <c r="B86" s="56" t="s">
        <v>292</v>
      </c>
    </row>
    <row r="87" spans="2:6" x14ac:dyDescent="0.35">
      <c r="B87" s="57" t="s">
        <v>4</v>
      </c>
      <c r="C87" s="57" t="s">
        <v>287</v>
      </c>
      <c r="D87" s="57" t="s">
        <v>288</v>
      </c>
      <c r="E87" s="57" t="s">
        <v>289</v>
      </c>
      <c r="F87" s="57" t="s">
        <v>21</v>
      </c>
    </row>
    <row r="88" spans="2:6" x14ac:dyDescent="0.35">
      <c r="B88" s="46" t="s">
        <v>302</v>
      </c>
      <c r="C88" s="48">
        <f>IF(F80&gt;0, C80/F80, 0)</f>
        <v>0</v>
      </c>
      <c r="D88" s="48">
        <f>IF(F80&gt;0, D80/F80, 0)</f>
        <v>0</v>
      </c>
      <c r="E88" s="48">
        <f>IF(F80&gt;0, E80/F80, 0)</f>
        <v>0</v>
      </c>
      <c r="F88" s="49" t="s">
        <v>21</v>
      </c>
    </row>
    <row r="89" spans="2:6" x14ac:dyDescent="0.35">
      <c r="B89" s="46" t="s">
        <v>303</v>
      </c>
      <c r="C89" s="48">
        <f>IF(F81&gt;0, C81/F81, 0)</f>
        <v>0</v>
      </c>
      <c r="D89" s="48">
        <f>IF(F81&gt;0, D81/F81, 0)</f>
        <v>0</v>
      </c>
      <c r="E89" s="48">
        <f>IF(F81&gt;0, E81/F81, 0)</f>
        <v>0</v>
      </c>
      <c r="F89" s="49" t="s">
        <v>21</v>
      </c>
    </row>
    <row r="90" spans="2:6" x14ac:dyDescent="0.35">
      <c r="B90" s="46" t="s">
        <v>304</v>
      </c>
      <c r="C90" s="48">
        <f>IF(F82&gt;0, C82/F82, 0)</f>
        <v>0</v>
      </c>
      <c r="D90" s="48">
        <f>IF(F82&gt;0, D82/F82, 0)</f>
        <v>0</v>
      </c>
      <c r="E90" s="48">
        <f>IF(F82&gt;0, E82/F82, 0)</f>
        <v>0</v>
      </c>
      <c r="F90" s="49" t="s">
        <v>21</v>
      </c>
    </row>
    <row r="91" spans="2:6" x14ac:dyDescent="0.35">
      <c r="B91" s="46" t="s">
        <v>305</v>
      </c>
      <c r="C91" s="48">
        <f>IF(F83&gt;0, C83/F83, 0)</f>
        <v>0</v>
      </c>
      <c r="D91" s="48">
        <f>IF(F83&gt;0, D83/F83, 0)</f>
        <v>0</v>
      </c>
      <c r="E91" s="48">
        <f>IF(F83&gt;0, E83/F83, 0)</f>
        <v>0</v>
      </c>
      <c r="F91" s="49" t="s">
        <v>21</v>
      </c>
    </row>
    <row r="92" spans="2:6" x14ac:dyDescent="0.35">
      <c r="B92" s="46" t="s">
        <v>18</v>
      </c>
      <c r="C92" s="48">
        <f>IF(F84&gt;0, C84/F84, 0)</f>
        <v>0</v>
      </c>
      <c r="D92" s="48">
        <f>IF(F84&gt;0, D84/F84, 0)</f>
        <v>0</v>
      </c>
      <c r="E92" s="48">
        <f>IF(F84&gt;0, E84/F84, 0)</f>
        <v>1</v>
      </c>
      <c r="F92" s="49" t="s">
        <v>21</v>
      </c>
    </row>
    <row r="97" spans="2:6" ht="18.5" x14ac:dyDescent="0.45">
      <c r="B97" s="42" t="s">
        <v>306</v>
      </c>
    </row>
    <row r="99" spans="2:6" x14ac:dyDescent="0.35">
      <c r="B99" s="56" t="s">
        <v>286</v>
      </c>
    </row>
    <row r="100" spans="2:6" x14ac:dyDescent="0.35">
      <c r="B100" s="44" t="s">
        <v>307</v>
      </c>
      <c r="C100" s="44" t="s">
        <v>287</v>
      </c>
      <c r="D100" s="44" t="s">
        <v>288</v>
      </c>
      <c r="E100" s="44" t="s">
        <v>289</v>
      </c>
      <c r="F100" s="44" t="s">
        <v>290</v>
      </c>
    </row>
    <row r="101" spans="2:6" x14ac:dyDescent="0.35">
      <c r="B101" s="46" t="s">
        <v>308</v>
      </c>
      <c r="C101" s="47">
        <f>COUNTIFS('Recommendations'!F:F,"Low",'Recommendations'!M:M,"=Resolved")</f>
        <v>0</v>
      </c>
      <c r="D101" s="47">
        <f>COUNTIFS('Recommendations'!F:F,"=Low",'Recommendations'!M:M,"=Testing")</f>
        <v>0</v>
      </c>
      <c r="E101" s="47">
        <f>COUNTIFS('Recommendations'!F:F,"=Low",'Recommendations'!M:M,"=Outstanding")</f>
        <v>0</v>
      </c>
      <c r="F101" s="47">
        <f>SUM(C101:E101)</f>
        <v>0</v>
      </c>
    </row>
    <row r="102" spans="2:6" x14ac:dyDescent="0.35">
      <c r="B102" s="46" t="s">
        <v>309</v>
      </c>
      <c r="C102" s="47">
        <f>COUNTIFS('Recommendations'!F:F,"Medium",'Recommendations'!M:M,"=Resolved")</f>
        <v>0</v>
      </c>
      <c r="D102" s="47">
        <f>COUNTIFS('Recommendations'!F:F,"=Medium",'Recommendations'!M:M,"=Testing")</f>
        <v>0</v>
      </c>
      <c r="E102" s="47">
        <f>COUNTIFS('Recommendations'!F:F,"=Medium",'Recommendations'!M:M,"=Outstanding")</f>
        <v>0</v>
      </c>
      <c r="F102" s="47">
        <f>SUM(C102:E102)</f>
        <v>0</v>
      </c>
    </row>
    <row r="103" spans="2:6" x14ac:dyDescent="0.35">
      <c r="B103" s="46" t="s">
        <v>310</v>
      </c>
      <c r="C103" s="47">
        <f>COUNTIFS('Recommendations'!F:F,"High",'Recommendations'!M:M,"=Resolved")</f>
        <v>0</v>
      </c>
      <c r="D103" s="47">
        <f>COUNTIFS('Recommendations'!F:F,"=High",'Recommendations'!M:M,"=Testing")</f>
        <v>0</v>
      </c>
      <c r="E103" s="47">
        <f>COUNTIFS('Recommendations'!F:F,"=High",'Recommendations'!M:M,"=Outstanding")</f>
        <v>0</v>
      </c>
      <c r="F103" s="47">
        <f>SUM(C103:E103)</f>
        <v>0</v>
      </c>
    </row>
    <row r="104" spans="2:6" x14ac:dyDescent="0.35">
      <c r="B104" s="46" t="s">
        <v>19</v>
      </c>
      <c r="C104" s="47">
        <f>COUNTIFS('Recommendations'!F:F,"Unassessed",'Recommendations'!M:M,"=Resolved")</f>
        <v>0</v>
      </c>
      <c r="D104" s="47">
        <f>COUNTIFS('Recommendations'!F:F,"=Unassessed",'Recommendations'!M:M,"=Testing")</f>
        <v>0</v>
      </c>
      <c r="E104" s="47">
        <f>COUNTIFS('Recommendations'!F:F,"=Unassessed",'Recommendations'!M:M,"=Outstanding")</f>
        <v>37</v>
      </c>
      <c r="F104" s="47">
        <f>SUM(C104:E104)</f>
        <v>37</v>
      </c>
    </row>
    <row r="106" spans="2:6" x14ac:dyDescent="0.35">
      <c r="B106" s="56" t="s">
        <v>292</v>
      </c>
    </row>
    <row r="107" spans="2:6" x14ac:dyDescent="0.35">
      <c r="B107" s="57" t="s">
        <v>307</v>
      </c>
      <c r="C107" s="57" t="s">
        <v>287</v>
      </c>
      <c r="D107" s="57" t="s">
        <v>288</v>
      </c>
      <c r="E107" s="57" t="s">
        <v>289</v>
      </c>
      <c r="F107" s="57" t="s">
        <v>21</v>
      </c>
    </row>
    <row r="108" spans="2:6" x14ac:dyDescent="0.35">
      <c r="B108" s="46" t="s">
        <v>308</v>
      </c>
      <c r="C108" s="48">
        <f>IF(F101&gt;0, C101/F101, 0)</f>
        <v>0</v>
      </c>
      <c r="D108" s="48">
        <f>IF(F101&gt;0, D101/F101, 0)</f>
        <v>0</v>
      </c>
      <c r="E108" s="48">
        <f>IF(F101&gt;0, E101/F101, 0)</f>
        <v>0</v>
      </c>
      <c r="F108" s="49" t="s">
        <v>21</v>
      </c>
    </row>
    <row r="109" spans="2:6" x14ac:dyDescent="0.35">
      <c r="B109" s="46" t="s">
        <v>309</v>
      </c>
      <c r="C109" s="48">
        <f>IF(F102&gt;0, C102/F102, 0)</f>
        <v>0</v>
      </c>
      <c r="D109" s="48">
        <f>IF(F102&gt;0, D102/F102, 0)</f>
        <v>0</v>
      </c>
      <c r="E109" s="48">
        <f>IF(F102&gt;0, E102/F102, 0)</f>
        <v>0</v>
      </c>
      <c r="F109" s="49" t="s">
        <v>21</v>
      </c>
    </row>
    <row r="110" spans="2:6" x14ac:dyDescent="0.35">
      <c r="B110" s="46" t="s">
        <v>310</v>
      </c>
      <c r="C110" s="48">
        <f>IF(F103&gt;0, C103/F103, 0)</f>
        <v>0</v>
      </c>
      <c r="D110" s="48">
        <f>IF(F103&gt;0, D103/F103, 0)</f>
        <v>0</v>
      </c>
      <c r="E110" s="48">
        <f>IF(F103&gt;0, E103/F103, 0)</f>
        <v>0</v>
      </c>
      <c r="F110" s="49" t="s">
        <v>21</v>
      </c>
    </row>
    <row r="111" spans="2:6" x14ac:dyDescent="0.35">
      <c r="B111" s="46" t="s">
        <v>19</v>
      </c>
      <c r="C111" s="48">
        <f>IF(F104&gt;0, C104/F104, 0)</f>
        <v>0</v>
      </c>
      <c r="D111" s="48">
        <f>IF(F104&gt;0, D104/F104, 0)</f>
        <v>0</v>
      </c>
      <c r="E111" s="48">
        <f>IF(F104&gt;0, E104/F104, 0)</f>
        <v>1</v>
      </c>
      <c r="F111" s="49" t="s">
        <v>21</v>
      </c>
    </row>
    <row r="116" spans="2:15" ht="18.5" x14ac:dyDescent="0.45">
      <c r="B116" s="42" t="s">
        <v>311</v>
      </c>
      <c r="J116" s="42" t="s">
        <v>312</v>
      </c>
    </row>
    <row r="117" spans="2:15" x14ac:dyDescent="0.35">
      <c r="B117" s="44" t="s">
        <v>6</v>
      </c>
      <c r="C117" s="115" t="s">
        <v>313</v>
      </c>
      <c r="D117" s="115"/>
      <c r="E117" s="44" t="s">
        <v>279</v>
      </c>
      <c r="F117" s="44" t="s">
        <v>287</v>
      </c>
      <c r="G117" s="115" t="s">
        <v>314</v>
      </c>
      <c r="H117" s="115"/>
      <c r="J117" s="44" t="s">
        <v>6</v>
      </c>
      <c r="K117" s="44" t="s">
        <v>302</v>
      </c>
      <c r="L117" s="44" t="s">
        <v>303</v>
      </c>
      <c r="M117" s="44" t="s">
        <v>304</v>
      </c>
      <c r="N117" s="44" t="s">
        <v>305</v>
      </c>
      <c r="O117" s="44" t="s">
        <v>18</v>
      </c>
    </row>
    <row r="118" spans="2:15" x14ac:dyDescent="0.35">
      <c r="B118" s="50" t="s">
        <v>295</v>
      </c>
      <c r="C118" s="116" t="s">
        <v>21</v>
      </c>
      <c r="D118" s="116"/>
      <c r="E118" s="47">
        <f>COUNTIF('Recommendations'!G:G,"Phase1")-COUNTIFS('Recommendations'!G:G,"Phase1",'Recommendations'!H:H,"Risk Accepted")-COUNTIFS('Recommendations'!G:G,"Phase1",'Recommendations'!H:H,"N/A")</f>
        <v>0</v>
      </c>
      <c r="F118" s="47">
        <f>COUNTIFS('Recommendations'!G:G,"Phase1",'Recommendations'!M:M,"Resolved")</f>
        <v>0</v>
      </c>
      <c r="G118" s="117">
        <f t="shared" ref="G118:G123" si="4">IF(E118&gt;0,F118/E118,0)</f>
        <v>0</v>
      </c>
      <c r="H118" s="117"/>
      <c r="J118" s="50" t="s">
        <v>295</v>
      </c>
      <c r="K118" s="47">
        <f>COUNTIFS('Recommendations'!G:G,"Phase1",'Recommendations'!E:E,"Must")</f>
        <v>0</v>
      </c>
      <c r="L118" s="47">
        <f>COUNTIFS('Recommendations'!G:G,"Phase1",'Recommendations'!E:E,"Should")</f>
        <v>0</v>
      </c>
      <c r="M118" s="47">
        <f>COUNTIFS('Recommendations'!G:G,"Phase1",'Recommendations'!E:E,"Could")</f>
        <v>0</v>
      </c>
      <c r="N118" s="47">
        <f>COUNTIFS('Recommendations'!G:G,"Phase1",'Recommendations'!E:E,"Won't")</f>
        <v>0</v>
      </c>
      <c r="O118" s="47">
        <f>COUNTIFS('Recommendations'!G:G,"Phase1",'Recommendations'!E:E,"Unassigned")</f>
        <v>0</v>
      </c>
    </row>
    <row r="119" spans="2:15" x14ac:dyDescent="0.35">
      <c r="B119" s="50" t="s">
        <v>296</v>
      </c>
      <c r="C119" s="116" t="s">
        <v>21</v>
      </c>
      <c r="D119" s="116"/>
      <c r="E119" s="47">
        <f>COUNTIF('Recommendations'!G:G,"Phase2")-COUNTIFS('Recommendations'!G:G,"Phase2",'Recommendations'!H:H,"Risk Accepted")-COUNTIFS('Recommendations'!G:G,"Phase2",'Recommendations'!H:H,"N/A")</f>
        <v>0</v>
      </c>
      <c r="F119" s="47">
        <f>COUNTIFS('Recommendations'!G:G,"Phase2",'Recommendations'!M:M,"Resolved")</f>
        <v>0</v>
      </c>
      <c r="G119" s="117">
        <f t="shared" si="4"/>
        <v>0</v>
      </c>
      <c r="H119" s="117"/>
      <c r="J119" s="50" t="s">
        <v>296</v>
      </c>
      <c r="K119" s="47">
        <f>COUNTIFS('Recommendations'!G:G,"Phase2",'Recommendations'!E:E,"Must")</f>
        <v>0</v>
      </c>
      <c r="L119" s="47">
        <f>COUNTIFS('Recommendations'!G:G,"Phase2",'Recommendations'!E:E,"Should")</f>
        <v>0</v>
      </c>
      <c r="M119" s="47">
        <f>COUNTIFS('Recommendations'!G:G,"Phase2",'Recommendations'!E:E,"Could")</f>
        <v>0</v>
      </c>
      <c r="N119" s="47">
        <f>COUNTIFS('Recommendations'!G:G,"Phase2",'Recommendations'!E:E,"Won't")</f>
        <v>0</v>
      </c>
      <c r="O119" s="47">
        <f>COUNTIFS('Recommendations'!G:G,"Phase2",'Recommendations'!E:E,"Unassigned")</f>
        <v>0</v>
      </c>
    </row>
    <row r="120" spans="2:15" x14ac:dyDescent="0.35">
      <c r="B120" s="50" t="s">
        <v>297</v>
      </c>
      <c r="C120" s="116" t="s">
        <v>21</v>
      </c>
      <c r="D120" s="116"/>
      <c r="E120" s="47">
        <f>COUNTIF('Recommendations'!G:G,"Phase3")-COUNTIFS('Recommendations'!G:G,"Phase3",'Recommendations'!H:H,"Risk Accepted")-COUNTIFS('Recommendations'!G:G,"Phase3",'Recommendations'!H:H,"N/A")</f>
        <v>0</v>
      </c>
      <c r="F120" s="47">
        <f>COUNTIFS('Recommendations'!G:G,"Phase3",'Recommendations'!M:M,"Resolved")</f>
        <v>0</v>
      </c>
      <c r="G120" s="117">
        <f t="shared" si="4"/>
        <v>0</v>
      </c>
      <c r="H120" s="117"/>
      <c r="J120" s="50" t="s">
        <v>297</v>
      </c>
      <c r="K120" s="47">
        <f>COUNTIFS('Recommendations'!G:G,"Phase3",'Recommendations'!E:E,"Must")</f>
        <v>0</v>
      </c>
      <c r="L120" s="47">
        <f>COUNTIFS('Recommendations'!G:G,"Phase3",'Recommendations'!E:E,"Should")</f>
        <v>0</v>
      </c>
      <c r="M120" s="47">
        <f>COUNTIFS('Recommendations'!G:G,"Phase3",'Recommendations'!E:E,"Could")</f>
        <v>0</v>
      </c>
      <c r="N120" s="47">
        <f>COUNTIFS('Recommendations'!G:G,"Phase3",'Recommendations'!E:E,"Won't")</f>
        <v>0</v>
      </c>
      <c r="O120" s="47">
        <f>COUNTIFS('Recommendations'!G:G,"Phase3",'Recommendations'!E:E,"Unassigned")</f>
        <v>0</v>
      </c>
    </row>
    <row r="121" spans="2:15" x14ac:dyDescent="0.35">
      <c r="B121" s="50" t="s">
        <v>298</v>
      </c>
      <c r="C121" s="116" t="s">
        <v>21</v>
      </c>
      <c r="D121" s="116"/>
      <c r="E121" s="47">
        <f>COUNTIF('Recommendations'!G:G,"Phase4")-COUNTIFS('Recommendations'!G:G,"Phase4",'Recommendations'!H:H,"Risk Accepted")-COUNTIFS('Recommendations'!G:G,"Phase4",'Recommendations'!H:H,"N/A")</f>
        <v>0</v>
      </c>
      <c r="F121" s="47">
        <f>COUNTIFS('Recommendations'!G:G,"Phase4",'Recommendations'!M:M,"Resolved")</f>
        <v>0</v>
      </c>
      <c r="G121" s="117">
        <f t="shared" si="4"/>
        <v>0</v>
      </c>
      <c r="H121" s="117"/>
      <c r="J121" s="50" t="s">
        <v>298</v>
      </c>
      <c r="K121" s="47">
        <f>COUNTIFS('Recommendations'!G:G,"Phase4",'Recommendations'!E:E,"Must")</f>
        <v>0</v>
      </c>
      <c r="L121" s="47">
        <f>COUNTIFS('Recommendations'!G:G,"Phase4",'Recommendations'!E:E,"Should")</f>
        <v>0</v>
      </c>
      <c r="M121" s="47">
        <f>COUNTIFS('Recommendations'!G:G,"Phase4",'Recommendations'!E:E,"Could")</f>
        <v>0</v>
      </c>
      <c r="N121" s="47">
        <f>COUNTIFS('Recommendations'!G:G,"Phase4",'Recommendations'!E:E,"Won't")</f>
        <v>0</v>
      </c>
      <c r="O121" s="47">
        <f>COUNTIFS('Recommendations'!G:G,"Phase4",'Recommendations'!E:E,"Unassigned")</f>
        <v>0</v>
      </c>
    </row>
    <row r="122" spans="2:15" x14ac:dyDescent="0.35">
      <c r="B122" s="50" t="s">
        <v>299</v>
      </c>
      <c r="C122" s="116" t="s">
        <v>21</v>
      </c>
      <c r="D122" s="116"/>
      <c r="E122" s="47">
        <f>COUNTIF('Recommendations'!G:G,"Phase5")-COUNTIFS('Recommendations'!G:G,"Phase5",'Recommendations'!H:H,"Risk Accepted")-COUNTIFS('Recommendations'!G:G,"Phase5",'Recommendations'!H:H,"N/A")</f>
        <v>0</v>
      </c>
      <c r="F122" s="47">
        <f>COUNTIFS('Recommendations'!G:G,"Phase5",'Recommendations'!M:M,"Resolved")</f>
        <v>0</v>
      </c>
      <c r="G122" s="117">
        <f t="shared" si="4"/>
        <v>0</v>
      </c>
      <c r="H122" s="117"/>
      <c r="J122" s="50" t="s">
        <v>299</v>
      </c>
      <c r="K122" s="47">
        <f>COUNTIFS('Recommendations'!G:G,"Phase5",'Recommendations'!E:E,"Must")</f>
        <v>0</v>
      </c>
      <c r="L122" s="47">
        <f>COUNTIFS('Recommendations'!G:G,"Phase5",'Recommendations'!E:E,"Should")</f>
        <v>0</v>
      </c>
      <c r="M122" s="47">
        <f>COUNTIFS('Recommendations'!G:G,"Phase5",'Recommendations'!E:E,"Could")</f>
        <v>0</v>
      </c>
      <c r="N122" s="47">
        <f>COUNTIFS('Recommendations'!G:G,"Phase5",'Recommendations'!E:E,"Won't")</f>
        <v>0</v>
      </c>
      <c r="O122" s="47">
        <f>COUNTIFS('Recommendations'!G:G,"Phase5",'Recommendations'!E:E,"Unassigned")</f>
        <v>0</v>
      </c>
    </row>
    <row r="123" spans="2:15" x14ac:dyDescent="0.35">
      <c r="B123" s="50" t="s">
        <v>20</v>
      </c>
      <c r="C123" s="116" t="s">
        <v>21</v>
      </c>
      <c r="D123" s="116"/>
      <c r="E123" s="47">
        <f>COUNTIF('Recommendations'!G:G,"Pending")-COUNTIFS('Recommendations'!G:G,"Pending",'Recommendations'!H:H,"Risk Accepted")-COUNTIFS('Recommendations'!G:G,"Pending",'Recommendations'!H:H,"N/A")</f>
        <v>37</v>
      </c>
      <c r="F123" s="47">
        <f>COUNTIFS('Recommendations'!G:G,"Pending",'Recommendations'!M:M,"Resolved")</f>
        <v>0</v>
      </c>
      <c r="G123" s="117">
        <f t="shared" si="4"/>
        <v>0</v>
      </c>
      <c r="H123" s="117"/>
      <c r="J123" s="50" t="s">
        <v>20</v>
      </c>
      <c r="K123" s="47">
        <f>COUNTIFS('Recommendations'!G:G,"Pending",'Recommendations'!E:E,"Must")</f>
        <v>0</v>
      </c>
      <c r="L123" s="47">
        <f>COUNTIFS('Recommendations'!G:G,"Pending",'Recommendations'!E:E,"Should")</f>
        <v>0</v>
      </c>
      <c r="M123" s="47">
        <f>COUNTIFS('Recommendations'!G:G,"Pending",'Recommendations'!E:E,"Could")</f>
        <v>0</v>
      </c>
      <c r="N123" s="47">
        <f>COUNTIFS('Recommendations'!G:G,"Pending",'Recommendations'!E:E,"Won't")</f>
        <v>0</v>
      </c>
      <c r="O123" s="47">
        <f>COUNTIFS('Recommendations'!G:G,"Pending",'Recommendations'!E:E,"Unassigned")</f>
        <v>37</v>
      </c>
    </row>
    <row r="130" spans="2:24" ht="21" x14ac:dyDescent="0.5">
      <c r="B130" s="42" t="s">
        <v>315</v>
      </c>
      <c r="P130" s="59" t="s">
        <v>316</v>
      </c>
    </row>
    <row r="132" spans="2:24" ht="60" customHeight="1" x14ac:dyDescent="0.35">
      <c r="B132" s="118" t="s">
        <v>317</v>
      </c>
      <c r="C132" s="111"/>
      <c r="D132" s="111"/>
      <c r="E132" s="111"/>
      <c r="F132" s="111"/>
      <c r="P132" s="118" t="s">
        <v>318</v>
      </c>
      <c r="Q132" s="111"/>
      <c r="R132" s="111"/>
      <c r="S132" s="111"/>
      <c r="T132" s="111"/>
      <c r="U132" s="111"/>
      <c r="V132" s="111"/>
      <c r="W132" s="111"/>
    </row>
    <row r="134" spans="2:24" ht="30" customHeight="1" x14ac:dyDescent="0.35">
      <c r="P134" s="60" t="s">
        <v>319</v>
      </c>
      <c r="Q134" s="61">
        <f>C16</f>
        <v>0</v>
      </c>
      <c r="R134" s="62"/>
      <c r="S134" s="61">
        <f>C80</f>
        <v>0</v>
      </c>
      <c r="T134" s="62"/>
      <c r="U134" s="61">
        <f>C81</f>
        <v>0</v>
      </c>
      <c r="V134" s="62"/>
      <c r="W134" s="61">
        <f>C82</f>
        <v>0</v>
      </c>
      <c r="X134" s="62"/>
    </row>
    <row r="135" spans="2:24" ht="35" customHeight="1" x14ac:dyDescent="0.35">
      <c r="P135" s="63" t="s">
        <v>320</v>
      </c>
      <c r="Q135" s="63" t="s">
        <v>321</v>
      </c>
      <c r="R135" s="63" t="s">
        <v>322</v>
      </c>
      <c r="S135" s="63" t="s">
        <v>323</v>
      </c>
      <c r="T135" s="63" t="s">
        <v>324</v>
      </c>
      <c r="U135" s="63" t="s">
        <v>325</v>
      </c>
      <c r="V135" s="63" t="s">
        <v>326</v>
      </c>
      <c r="W135" s="63" t="s">
        <v>327</v>
      </c>
      <c r="X135" s="63" t="s">
        <v>328</v>
      </c>
    </row>
    <row r="136" spans="2:24" x14ac:dyDescent="0.35">
      <c r="O136" s="64" t="s">
        <v>329</v>
      </c>
      <c r="P136" s="65" t="s">
        <v>330</v>
      </c>
      <c r="Q136" s="66">
        <v>0</v>
      </c>
      <c r="R136" s="67">
        <f>IF(Dashboard!F16&gt;0, Q136/Dashboard!F16, "")</f>
        <v>0</v>
      </c>
      <c r="S136" s="66">
        <v>0</v>
      </c>
      <c r="T136" s="67" t="str">
        <f>IF(AND(NOT(ISBLANK(S136)),Dashboard!F80&gt;0), S136/Dashboard!F80, "")</f>
        <v/>
      </c>
      <c r="U136" s="66">
        <v>0</v>
      </c>
      <c r="V136" s="67" t="str">
        <f>IF(AND(NOT(ISBLANK(U136)),Dashboard!F81&gt;0), U136/Dashboard!F81, "")</f>
        <v/>
      </c>
      <c r="W136" s="66">
        <v>0</v>
      </c>
      <c r="X136" s="67" t="str">
        <f>IF(AND(NOT(ISBLANK(W136)),Dashboard!F82&gt;0), W136/Dashboard!F82, "")</f>
        <v/>
      </c>
    </row>
    <row r="137" spans="2:24" x14ac:dyDescent="0.35">
      <c r="P137" s="58"/>
      <c r="Q137" s="45"/>
      <c r="R137" s="48" t="str">
        <f>IF(AND(NOT(ISBLANK(Q137)),Dashboard!F16&gt;0), Q137/Dashboard!F16, "")</f>
        <v/>
      </c>
      <c r="S137" s="45"/>
      <c r="T137" s="48" t="str">
        <f>IF(AND(NOT(ISBLANK(S137)),Dashboard!F80&gt;0), S137/Dashboard!F80, "")</f>
        <v/>
      </c>
      <c r="U137" s="45"/>
      <c r="V137" s="48" t="str">
        <f>IF(AND(NOT(ISBLANK(U137)),Dashboard!F81&gt;0), U137/Dashboard!F81, "")</f>
        <v/>
      </c>
      <c r="W137" s="45"/>
      <c r="X137" s="48" t="str">
        <f>IF(AND(NOT(ISBLANK(W137)),Dashboard!F82&gt;0), W137/Dashboard!F82, "")</f>
        <v/>
      </c>
    </row>
    <row r="138" spans="2:24" x14ac:dyDescent="0.35">
      <c r="P138" s="58"/>
      <c r="Q138" s="45"/>
      <c r="R138" s="48" t="str">
        <f>IF(AND(NOT(ISBLANK(Q138)),Dashboard!F16&gt;0), Q138/Dashboard!F16, "")</f>
        <v/>
      </c>
      <c r="S138" s="45"/>
      <c r="T138" s="48" t="str">
        <f>IF(AND(NOT(ISBLANK(S138)),Dashboard!F80&gt;0), S138/Dashboard!F80, "")</f>
        <v/>
      </c>
      <c r="U138" s="45"/>
      <c r="V138" s="48" t="str">
        <f>IF(AND(NOT(ISBLANK(U138)),Dashboard!F81&gt;0), U138/Dashboard!F81, "")</f>
        <v/>
      </c>
      <c r="W138" s="45"/>
      <c r="X138" s="48" t="str">
        <f>IF(AND(NOT(ISBLANK(W138)),Dashboard!F82&gt;0), W138/Dashboard!F82, "")</f>
        <v/>
      </c>
    </row>
    <row r="139" spans="2:24" x14ac:dyDescent="0.35">
      <c r="P139" s="58"/>
      <c r="Q139" s="45"/>
      <c r="R139" s="48" t="str">
        <f>IF(AND(NOT(ISBLANK(Q139)),Dashboard!F16&gt;0), Q139/Dashboard!F16, "")</f>
        <v/>
      </c>
      <c r="S139" s="45"/>
      <c r="T139" s="48" t="str">
        <f>IF(AND(NOT(ISBLANK(S139)),Dashboard!F80&gt;0), S139/Dashboard!F80, "")</f>
        <v/>
      </c>
      <c r="U139" s="45"/>
      <c r="V139" s="48" t="str">
        <f>IF(AND(NOT(ISBLANK(U139)),Dashboard!F81&gt;0), U139/Dashboard!F81, "")</f>
        <v/>
      </c>
      <c r="W139" s="45"/>
      <c r="X139" s="48" t="str">
        <f>IF(AND(NOT(ISBLANK(W139)),Dashboard!F82&gt;0), W139/Dashboard!F82, "")</f>
        <v/>
      </c>
    </row>
    <row r="140" spans="2:24" x14ac:dyDescent="0.35">
      <c r="P140" s="58"/>
      <c r="Q140" s="45"/>
      <c r="R140" s="48" t="str">
        <f>IF(AND(NOT(ISBLANK(Q140)),Dashboard!F16&gt;0), Q140/Dashboard!F16, "")</f>
        <v/>
      </c>
      <c r="S140" s="45"/>
      <c r="T140" s="48" t="str">
        <f>IF(AND(NOT(ISBLANK(S140)),Dashboard!F80&gt;0), S140/Dashboard!F80, "")</f>
        <v/>
      </c>
      <c r="U140" s="45"/>
      <c r="V140" s="48" t="str">
        <f>IF(AND(NOT(ISBLANK(U140)),Dashboard!F81&gt;0), U140/Dashboard!F81, "")</f>
        <v/>
      </c>
      <c r="W140" s="45"/>
      <c r="X140" s="48" t="str">
        <f>IF(AND(NOT(ISBLANK(W140)),Dashboard!F82&gt;0), W140/Dashboard!F82, "")</f>
        <v/>
      </c>
    </row>
    <row r="141" spans="2:24" x14ac:dyDescent="0.35">
      <c r="P141" s="58"/>
      <c r="Q141" s="45"/>
      <c r="R141" s="48" t="str">
        <f>IF(AND(NOT(ISBLANK(Q141)),Dashboard!F16&gt;0), Q141/Dashboard!F16, "")</f>
        <v/>
      </c>
      <c r="S141" s="45"/>
      <c r="T141" s="48" t="str">
        <f>IF(AND(NOT(ISBLANK(S141)),Dashboard!F80&gt;0), S141/Dashboard!F80, "")</f>
        <v/>
      </c>
      <c r="U141" s="45"/>
      <c r="V141" s="48" t="str">
        <f>IF(AND(NOT(ISBLANK(U141)),Dashboard!F81&gt;0), U141/Dashboard!F81, "")</f>
        <v/>
      </c>
      <c r="W141" s="45"/>
      <c r="X141" s="48" t="str">
        <f>IF(AND(NOT(ISBLANK(W141)),Dashboard!F82&gt;0), W141/Dashboard!F82, "")</f>
        <v/>
      </c>
    </row>
    <row r="142" spans="2:24" x14ac:dyDescent="0.35">
      <c r="P142" s="58"/>
      <c r="Q142" s="45"/>
      <c r="R142" s="48" t="str">
        <f>IF(AND(NOT(ISBLANK(Q142)),Dashboard!F16&gt;0), Q142/Dashboard!F16, "")</f>
        <v/>
      </c>
      <c r="S142" s="45"/>
      <c r="T142" s="48" t="str">
        <f>IF(AND(NOT(ISBLANK(S142)),Dashboard!F80&gt;0), S142/Dashboard!F80, "")</f>
        <v/>
      </c>
      <c r="U142" s="45"/>
      <c r="V142" s="48" t="str">
        <f>IF(AND(NOT(ISBLANK(U142)),Dashboard!F81&gt;0), U142/Dashboard!F81, "")</f>
        <v/>
      </c>
      <c r="W142" s="45"/>
      <c r="X142" s="48" t="str">
        <f>IF(AND(NOT(ISBLANK(W142)),Dashboard!F82&gt;0), W142/Dashboard!F82, "")</f>
        <v/>
      </c>
    </row>
    <row r="143" spans="2:24" x14ac:dyDescent="0.35">
      <c r="P143" s="58"/>
      <c r="Q143" s="45"/>
      <c r="R143" s="48" t="str">
        <f>IF(AND(NOT(ISBLANK(Q143)),Dashboard!F16&gt;0), Q143/Dashboard!F16, "")</f>
        <v/>
      </c>
      <c r="S143" s="45"/>
      <c r="T143" s="48" t="str">
        <f>IF(AND(NOT(ISBLANK(S143)),Dashboard!F80&gt;0), S143/Dashboard!F80, "")</f>
        <v/>
      </c>
      <c r="U143" s="45"/>
      <c r="V143" s="48" t="str">
        <f>IF(AND(NOT(ISBLANK(U143)),Dashboard!F81&gt;0), U143/Dashboard!F81, "")</f>
        <v/>
      </c>
      <c r="W143" s="45"/>
      <c r="X143" s="48" t="str">
        <f>IF(AND(NOT(ISBLANK(W143)),Dashboard!F82&gt;0), W143/Dashboard!F82, "")</f>
        <v/>
      </c>
    </row>
    <row r="144" spans="2:24" x14ac:dyDescent="0.35">
      <c r="P144" s="58"/>
      <c r="Q144" s="45"/>
      <c r="R144" s="48" t="str">
        <f>IF(AND(NOT(ISBLANK(Q144)),Dashboard!F16&gt;0), Q144/Dashboard!F16, "")</f>
        <v/>
      </c>
      <c r="S144" s="45"/>
      <c r="T144" s="48" t="str">
        <f>IF(AND(NOT(ISBLANK(S144)),Dashboard!F80&gt;0), S144/Dashboard!F80, "")</f>
        <v/>
      </c>
      <c r="U144" s="45"/>
      <c r="V144" s="48" t="str">
        <f>IF(AND(NOT(ISBLANK(U144)),Dashboard!F81&gt;0), U144/Dashboard!F81, "")</f>
        <v/>
      </c>
      <c r="W144" s="45"/>
      <c r="X144" s="48" t="str">
        <f>IF(AND(NOT(ISBLANK(W144)),Dashboard!F82&gt;0), W144/Dashboard!F82, "")</f>
        <v/>
      </c>
    </row>
    <row r="145" spans="16:24" x14ac:dyDescent="0.35">
      <c r="P145" s="58"/>
      <c r="Q145" s="45"/>
      <c r="R145" s="48" t="str">
        <f>IF(AND(NOT(ISBLANK(Q145)),Dashboard!F16&gt;0), Q145/Dashboard!F16, "")</f>
        <v/>
      </c>
      <c r="S145" s="45"/>
      <c r="T145" s="48" t="str">
        <f>IF(AND(NOT(ISBLANK(S145)),Dashboard!F80&gt;0), S145/Dashboard!F80, "")</f>
        <v/>
      </c>
      <c r="U145" s="45"/>
      <c r="V145" s="48" t="str">
        <f>IF(AND(NOT(ISBLANK(U145)),Dashboard!F81&gt;0), U145/Dashboard!F81, "")</f>
        <v/>
      </c>
      <c r="W145" s="45"/>
      <c r="X145" s="48" t="str">
        <f>IF(AND(NOT(ISBLANK(W145)),Dashboard!F82&gt;0), W145/Dashboard!F82, "")</f>
        <v/>
      </c>
    </row>
    <row r="146" spans="16:24" x14ac:dyDescent="0.35">
      <c r="P146" s="58"/>
      <c r="Q146" s="45"/>
      <c r="R146" s="48" t="str">
        <f>IF(AND(NOT(ISBLANK(Q146)),Dashboard!F16&gt;0), Q146/Dashboard!F16, "")</f>
        <v/>
      </c>
      <c r="S146" s="45"/>
      <c r="T146" s="48" t="str">
        <f>IF(AND(NOT(ISBLANK(S146)),Dashboard!F80&gt;0), S146/Dashboard!F80, "")</f>
        <v/>
      </c>
      <c r="U146" s="45"/>
      <c r="V146" s="48" t="str">
        <f>IF(AND(NOT(ISBLANK(U146)),Dashboard!F81&gt;0), U146/Dashboard!F81, "")</f>
        <v/>
      </c>
      <c r="W146" s="45"/>
      <c r="X146" s="48" t="str">
        <f>IF(AND(NOT(ISBLANK(W146)),Dashboard!F82&gt;0), W146/Dashboard!F82, "")</f>
        <v/>
      </c>
    </row>
    <row r="147" spans="16:24" x14ac:dyDescent="0.35">
      <c r="P147" s="58"/>
      <c r="Q147" s="45"/>
      <c r="R147" s="48" t="str">
        <f>IF(AND(NOT(ISBLANK(Q147)),Dashboard!F16&gt;0), Q147/Dashboard!F16, "")</f>
        <v/>
      </c>
      <c r="S147" s="45"/>
      <c r="T147" s="48" t="str">
        <f>IF(AND(NOT(ISBLANK(S147)),Dashboard!F80&gt;0), S147/Dashboard!F80, "")</f>
        <v/>
      </c>
      <c r="U147" s="45"/>
      <c r="V147" s="48" t="str">
        <f>IF(AND(NOT(ISBLANK(U147)),Dashboard!F81&gt;0), U147/Dashboard!F81, "")</f>
        <v/>
      </c>
      <c r="W147" s="45"/>
      <c r="X147" s="48" t="str">
        <f>IF(AND(NOT(ISBLANK(W147)),Dashboard!F82&gt;0), W147/Dashboard!F82, "")</f>
        <v/>
      </c>
    </row>
    <row r="148" spans="16:24" x14ac:dyDescent="0.35">
      <c r="P148" s="58"/>
      <c r="Q148" s="45"/>
      <c r="R148" s="48" t="str">
        <f>IF(AND(NOT(ISBLANK(Q148)),Dashboard!F16&gt;0), Q148/Dashboard!F16, "")</f>
        <v/>
      </c>
      <c r="S148" s="45"/>
      <c r="T148" s="48" t="str">
        <f>IF(AND(NOT(ISBLANK(S148)),Dashboard!F80&gt;0), S148/Dashboard!F80, "")</f>
        <v/>
      </c>
      <c r="U148" s="45"/>
      <c r="V148" s="48" t="str">
        <f>IF(AND(NOT(ISBLANK(U148)),Dashboard!F81&gt;0), U148/Dashboard!F81, "")</f>
        <v/>
      </c>
      <c r="W148" s="45"/>
      <c r="X148" s="48" t="str">
        <f>IF(AND(NOT(ISBLANK(W148)),Dashboard!F82&gt;0), W148/Dashboard!F82, "")</f>
        <v/>
      </c>
    </row>
    <row r="149" spans="16:24" x14ac:dyDescent="0.35">
      <c r="P149" s="58"/>
      <c r="Q149" s="45"/>
      <c r="R149" s="48" t="str">
        <f>IF(AND(NOT(ISBLANK(Q149)),Dashboard!F16&gt;0), Q149/Dashboard!F16, "")</f>
        <v/>
      </c>
      <c r="S149" s="45"/>
      <c r="T149" s="48" t="str">
        <f>IF(AND(NOT(ISBLANK(S149)),Dashboard!F80&gt;0), S149/Dashboard!F80, "")</f>
        <v/>
      </c>
      <c r="U149" s="45"/>
      <c r="V149" s="48" t="str">
        <f>IF(AND(NOT(ISBLANK(U149)),Dashboard!F81&gt;0), U149/Dashboard!F81, "")</f>
        <v/>
      </c>
      <c r="W149" s="45"/>
      <c r="X149" s="48" t="str">
        <f>IF(AND(NOT(ISBLANK(W149)),Dashboard!F82&gt;0), W149/Dashboard!F82, "")</f>
        <v/>
      </c>
    </row>
    <row r="150" spans="16:24" x14ac:dyDescent="0.35">
      <c r="P150" s="58"/>
      <c r="Q150" s="45"/>
      <c r="R150" s="48" t="str">
        <f>IF(AND(NOT(ISBLANK(Q150)),Dashboard!F16&gt;0), Q150/Dashboard!F16, "")</f>
        <v/>
      </c>
      <c r="S150" s="45"/>
      <c r="T150" s="48" t="str">
        <f>IF(AND(NOT(ISBLANK(S150)),Dashboard!F80&gt;0), S150/Dashboard!F80, "")</f>
        <v/>
      </c>
      <c r="U150" s="45"/>
      <c r="V150" s="48" t="str">
        <f>IF(AND(NOT(ISBLANK(U150)),Dashboard!F81&gt;0), U150/Dashboard!F81, "")</f>
        <v/>
      </c>
      <c r="W150" s="45"/>
      <c r="X150" s="48" t="str">
        <f>IF(AND(NOT(ISBLANK(W150)),Dashboard!F82&gt;0), W150/Dashboard!F82, "")</f>
        <v/>
      </c>
    </row>
    <row r="151" spans="16:24" x14ac:dyDescent="0.35">
      <c r="P151" s="58"/>
      <c r="Q151" s="45"/>
      <c r="R151" s="48" t="str">
        <f>IF(AND(NOT(ISBLANK(Q151)),Dashboard!F16&gt;0), Q151/Dashboard!F16, "")</f>
        <v/>
      </c>
      <c r="S151" s="45"/>
      <c r="T151" s="48" t="str">
        <f>IF(AND(NOT(ISBLANK(S151)),Dashboard!F80&gt;0), S151/Dashboard!F80, "")</f>
        <v/>
      </c>
      <c r="U151" s="45"/>
      <c r="V151" s="48" t="str">
        <f>IF(AND(NOT(ISBLANK(U151)),Dashboard!F81&gt;0), U151/Dashboard!F81, "")</f>
        <v/>
      </c>
      <c r="W151" s="45"/>
      <c r="X151" s="48" t="str">
        <f>IF(AND(NOT(ISBLANK(W151)),Dashboard!F82&gt;0), W151/Dashboard!F82, "")</f>
        <v/>
      </c>
    </row>
    <row r="152" spans="16:24" x14ac:dyDescent="0.35">
      <c r="P152" s="58"/>
      <c r="Q152" s="45"/>
      <c r="R152" s="48" t="str">
        <f>IF(AND(NOT(ISBLANK(Q152)),Dashboard!F16&gt;0), Q152/Dashboard!F16, "")</f>
        <v/>
      </c>
      <c r="S152" s="45"/>
      <c r="T152" s="48" t="str">
        <f>IF(AND(NOT(ISBLANK(S152)),Dashboard!F80&gt;0), S152/Dashboard!F80, "")</f>
        <v/>
      </c>
      <c r="U152" s="45"/>
      <c r="V152" s="48" t="str">
        <f>IF(AND(NOT(ISBLANK(U152)),Dashboard!F81&gt;0), U152/Dashboard!F81, "")</f>
        <v/>
      </c>
      <c r="W152" s="45"/>
      <c r="X152" s="48" t="str">
        <f>IF(AND(NOT(ISBLANK(W152)),Dashboard!F82&gt;0), W152/Dashboard!F82, "")</f>
        <v/>
      </c>
    </row>
    <row r="153" spans="16:24" x14ac:dyDescent="0.35">
      <c r="P153" s="58"/>
      <c r="Q153" s="45"/>
      <c r="R153" s="48" t="str">
        <f>IF(AND(NOT(ISBLANK(Q153)),Dashboard!F16&gt;0), Q153/Dashboard!F16, "")</f>
        <v/>
      </c>
      <c r="S153" s="45"/>
      <c r="T153" s="48" t="str">
        <f>IF(AND(NOT(ISBLANK(S153)),Dashboard!F80&gt;0), S153/Dashboard!F80, "")</f>
        <v/>
      </c>
      <c r="U153" s="45"/>
      <c r="V153" s="48" t="str">
        <f>IF(AND(NOT(ISBLANK(U153)),Dashboard!F81&gt;0), U153/Dashboard!F81, "")</f>
        <v/>
      </c>
      <c r="W153" s="45"/>
      <c r="X153" s="48" t="str">
        <f>IF(AND(NOT(ISBLANK(W153)),Dashboard!F82&gt;0), W153/Dashboard!F82, "")</f>
        <v/>
      </c>
    </row>
    <row r="154" spans="16:24" x14ac:dyDescent="0.35">
      <c r="P154" s="58"/>
      <c r="Q154" s="45"/>
      <c r="R154" s="48" t="str">
        <f>IF(AND(NOT(ISBLANK(Q154)),Dashboard!F16&gt;0), Q154/Dashboard!F16, "")</f>
        <v/>
      </c>
      <c r="S154" s="45"/>
      <c r="T154" s="48" t="str">
        <f>IF(AND(NOT(ISBLANK(S154)),Dashboard!F80&gt;0), S154/Dashboard!F80, "")</f>
        <v/>
      </c>
      <c r="U154" s="45"/>
      <c r="V154" s="48" t="str">
        <f>IF(AND(NOT(ISBLANK(U154)),Dashboard!F81&gt;0), U154/Dashboard!F81, "")</f>
        <v/>
      </c>
      <c r="W154" s="45"/>
      <c r="X154" s="48" t="str">
        <f>IF(AND(NOT(ISBLANK(W154)),Dashboard!F82&gt;0), W154/Dashboard!F82, "")</f>
        <v/>
      </c>
    </row>
    <row r="155" spans="16:24" x14ac:dyDescent="0.35">
      <c r="P155" s="58"/>
      <c r="Q155" s="45"/>
      <c r="R155" s="48" t="str">
        <f>IF(AND(NOT(ISBLANK(Q155)),Dashboard!F16&gt;0), Q155/Dashboard!F16, "")</f>
        <v/>
      </c>
      <c r="S155" s="45"/>
      <c r="T155" s="48" t="str">
        <f>IF(AND(NOT(ISBLANK(S155)),Dashboard!F80&gt;0), S155/Dashboard!F80, "")</f>
        <v/>
      </c>
      <c r="U155" s="45"/>
      <c r="V155" s="48" t="str">
        <f>IF(AND(NOT(ISBLANK(U155)),Dashboard!F81&gt;0), U155/Dashboard!F81, "")</f>
        <v/>
      </c>
      <c r="W155" s="45"/>
      <c r="X155" s="48" t="str">
        <f>IF(AND(NOT(ISBLANK(W155)),Dashboard!F82&gt;0), W155/Dashboard!F82, "")</f>
        <v/>
      </c>
    </row>
    <row r="156" spans="16:24" x14ac:dyDescent="0.35">
      <c r="P156" s="58"/>
      <c r="Q156" s="45"/>
      <c r="R156" s="48" t="str">
        <f>IF(AND(NOT(ISBLANK(Q156)),Dashboard!F16&gt;0), Q156/Dashboard!F16, "")</f>
        <v/>
      </c>
      <c r="S156" s="45"/>
      <c r="T156" s="48" t="str">
        <f>IF(AND(NOT(ISBLANK(S156)),Dashboard!F80&gt;0), S156/Dashboard!F80, "")</f>
        <v/>
      </c>
      <c r="U156" s="45"/>
      <c r="V156" s="48" t="str">
        <f>IF(AND(NOT(ISBLANK(U156)),Dashboard!F81&gt;0), U156/Dashboard!F81, "")</f>
        <v/>
      </c>
      <c r="W156" s="45"/>
      <c r="X156" s="48" t="str">
        <f>IF(AND(NOT(ISBLANK(W156)),Dashboard!F82&gt;0), W156/Dashboard!F82, "")</f>
        <v/>
      </c>
    </row>
    <row r="157" spans="16:24" x14ac:dyDescent="0.35">
      <c r="P157" s="58"/>
      <c r="Q157" s="45"/>
      <c r="R157" s="48" t="str">
        <f>IF(AND(NOT(ISBLANK(Q157)),Dashboard!F16&gt;0), Q157/Dashboard!F16, "")</f>
        <v/>
      </c>
      <c r="S157" s="45"/>
      <c r="T157" s="48" t="str">
        <f>IF(AND(NOT(ISBLANK(S157)),Dashboard!F80&gt;0), S157/Dashboard!F80, "")</f>
        <v/>
      </c>
      <c r="U157" s="45"/>
      <c r="V157" s="48" t="str">
        <f>IF(AND(NOT(ISBLANK(U157)),Dashboard!F81&gt;0), U157/Dashboard!F81, "")</f>
        <v/>
      </c>
      <c r="W157" s="45"/>
      <c r="X157" s="48" t="str">
        <f>IF(AND(NOT(ISBLANK(W157)),Dashboard!F82&gt;0), W157/Dashboard!F82, "")</f>
        <v/>
      </c>
    </row>
    <row r="158" spans="16:24" x14ac:dyDescent="0.35">
      <c r="P158" s="58"/>
      <c r="Q158" s="45"/>
      <c r="R158" s="48" t="str">
        <f>IF(AND(NOT(ISBLANK(Q158)),Dashboard!F16&gt;0), Q158/Dashboard!F16, "")</f>
        <v/>
      </c>
      <c r="S158" s="45"/>
      <c r="T158" s="48" t="str">
        <f>IF(AND(NOT(ISBLANK(S158)),Dashboard!F80&gt;0), S158/Dashboard!F80, "")</f>
        <v/>
      </c>
      <c r="U158" s="45"/>
      <c r="V158" s="48" t="str">
        <f>IF(AND(NOT(ISBLANK(U158)),Dashboard!F81&gt;0), U158/Dashboard!F81, "")</f>
        <v/>
      </c>
      <c r="W158" s="45"/>
      <c r="X158" s="48" t="str">
        <f>IF(AND(NOT(ISBLANK(W158)),Dashboard!F82&gt;0), W158/Dashboard!F82, "")</f>
        <v/>
      </c>
    </row>
    <row r="159" spans="16:24" x14ac:dyDescent="0.35">
      <c r="P159" s="58"/>
      <c r="Q159" s="45"/>
      <c r="R159" s="48" t="str">
        <f>IF(AND(NOT(ISBLANK(Q159)),Dashboard!F16&gt;0), Q159/Dashboard!F16, "")</f>
        <v/>
      </c>
      <c r="S159" s="45"/>
      <c r="T159" s="48" t="str">
        <f>IF(AND(NOT(ISBLANK(S159)),Dashboard!F80&gt;0), S159/Dashboard!F80, "")</f>
        <v/>
      </c>
      <c r="U159" s="45"/>
      <c r="V159" s="48" t="str">
        <f>IF(AND(NOT(ISBLANK(U159)),Dashboard!F81&gt;0), U159/Dashboard!F81, "")</f>
        <v/>
      </c>
      <c r="W159" s="45"/>
      <c r="X159" s="48" t="str">
        <f>IF(AND(NOT(ISBLANK(W159)),Dashboard!F82&gt;0), W159/Dashboard!F82, "")</f>
        <v/>
      </c>
    </row>
    <row r="160" spans="16:24" x14ac:dyDescent="0.35">
      <c r="P160" s="58"/>
      <c r="Q160" s="45"/>
      <c r="R160" s="48" t="str">
        <f>IF(AND(NOT(ISBLANK(Q160)),Dashboard!F16&gt;0), Q160/Dashboard!F16, "")</f>
        <v/>
      </c>
      <c r="S160" s="45"/>
      <c r="T160" s="48" t="str">
        <f>IF(AND(NOT(ISBLANK(S160)),Dashboard!F80&gt;0), S160/Dashboard!F80, "")</f>
        <v/>
      </c>
      <c r="U160" s="45"/>
      <c r="V160" s="48" t="str">
        <f>IF(AND(NOT(ISBLANK(U160)),Dashboard!F81&gt;0), U160/Dashboard!F81, "")</f>
        <v/>
      </c>
      <c r="W160" s="45"/>
      <c r="X160" s="48" t="str">
        <f>IF(AND(NOT(ISBLANK(W160)),Dashboard!F82&gt;0), W160/Dashboard!F82, "")</f>
        <v/>
      </c>
    </row>
    <row r="161" spans="2:24" x14ac:dyDescent="0.35">
      <c r="P161" s="58"/>
      <c r="Q161" s="45"/>
      <c r="R161" s="48" t="str">
        <f>IF(AND(NOT(ISBLANK(Q161)),Dashboard!F16&gt;0), Q161/Dashboard!F16, "")</f>
        <v/>
      </c>
      <c r="S161" s="45"/>
      <c r="T161" s="48" t="str">
        <f>IF(AND(NOT(ISBLANK(S161)),Dashboard!F80&gt;0), S161/Dashboard!F80, "")</f>
        <v/>
      </c>
      <c r="U161" s="45"/>
      <c r="V161" s="48" t="str">
        <f>IF(AND(NOT(ISBLANK(U161)),Dashboard!F81&gt;0), U161/Dashboard!F81, "")</f>
        <v/>
      </c>
      <c r="W161" s="45"/>
      <c r="X161" s="48" t="str">
        <f>IF(AND(NOT(ISBLANK(W161)),Dashboard!F82&gt;0), W161/Dashboard!F82, "")</f>
        <v/>
      </c>
    </row>
    <row r="162" spans="2:24" x14ac:dyDescent="0.35">
      <c r="P162" s="58"/>
      <c r="Q162" s="45"/>
      <c r="R162" s="48" t="str">
        <f>IF(AND(NOT(ISBLANK(Q162)),Dashboard!F16&gt;0), Q162/Dashboard!F16, "")</f>
        <v/>
      </c>
      <c r="S162" s="45"/>
      <c r="T162" s="48" t="str">
        <f>IF(AND(NOT(ISBLANK(S162)),Dashboard!F80&gt;0), S162/Dashboard!F80, "")</f>
        <v/>
      </c>
      <c r="U162" s="45"/>
      <c r="V162" s="48" t="str">
        <f>IF(AND(NOT(ISBLANK(U162)),Dashboard!F81&gt;0), U162/Dashboard!F81, "")</f>
        <v/>
      </c>
      <c r="W162" s="45"/>
      <c r="X162" s="48" t="str">
        <f>IF(AND(NOT(ISBLANK(W162)),Dashboard!F82&gt;0), W162/Dashboard!F82, "")</f>
        <v/>
      </c>
    </row>
    <row r="163" spans="2:24" x14ac:dyDescent="0.35">
      <c r="P163" s="58"/>
      <c r="Q163" s="45"/>
      <c r="R163" s="48" t="str">
        <f>IF(AND(NOT(ISBLANK(Q163)),Dashboard!F16&gt;0), Q163/Dashboard!F16, "")</f>
        <v/>
      </c>
      <c r="S163" s="45"/>
      <c r="T163" s="48" t="str">
        <f>IF(AND(NOT(ISBLANK(S163)),Dashboard!F80&gt;0), S163/Dashboard!F80, "")</f>
        <v/>
      </c>
      <c r="U163" s="45"/>
      <c r="V163" s="48" t="str">
        <f>IF(AND(NOT(ISBLANK(U163)),Dashboard!F81&gt;0), U163/Dashboard!F81, "")</f>
        <v/>
      </c>
      <c r="W163" s="45"/>
      <c r="X163" s="48" t="str">
        <f>IF(AND(NOT(ISBLANK(W163)),Dashboard!F82&gt;0), W163/Dashboard!F82, "")</f>
        <v/>
      </c>
    </row>
    <row r="164" spans="2:24" x14ac:dyDescent="0.35">
      <c r="P164" s="58"/>
      <c r="Q164" s="45"/>
      <c r="R164" s="48" t="str">
        <f>IF(AND(NOT(ISBLANK(Q164)),Dashboard!F16&gt;0), Q164/Dashboard!F16, "")</f>
        <v/>
      </c>
      <c r="S164" s="45"/>
      <c r="T164" s="48" t="str">
        <f>IF(AND(NOT(ISBLANK(S164)),Dashboard!F80&gt;0), S164/Dashboard!F80, "")</f>
        <v/>
      </c>
      <c r="U164" s="45"/>
      <c r="V164" s="48" t="str">
        <f>IF(AND(NOT(ISBLANK(U164)),Dashboard!F81&gt;0), U164/Dashboard!F81, "")</f>
        <v/>
      </c>
      <c r="W164" s="45"/>
      <c r="X164" s="48" t="str">
        <f>IF(AND(NOT(ISBLANK(W164)),Dashboard!F82&gt;0), W164/Dashboard!F82, "")</f>
        <v/>
      </c>
    </row>
    <row r="165" spans="2:24" x14ac:dyDescent="0.35">
      <c r="P165" s="58"/>
      <c r="Q165" s="45"/>
      <c r="R165" s="48" t="str">
        <f>IF(AND(NOT(ISBLANK(Q165)),Dashboard!F16&gt;0), Q165/Dashboard!F16, "")</f>
        <v/>
      </c>
      <c r="S165" s="45"/>
      <c r="T165" s="48" t="str">
        <f>IF(AND(NOT(ISBLANK(S165)),Dashboard!F80&gt;0), S165/Dashboard!F80, "")</f>
        <v/>
      </c>
      <c r="U165" s="45"/>
      <c r="V165" s="48" t="str">
        <f>IF(AND(NOT(ISBLANK(U165)),Dashboard!F81&gt;0), U165/Dashboard!F81, "")</f>
        <v/>
      </c>
      <c r="W165" s="45"/>
      <c r="X165" s="48" t="str">
        <f>IF(AND(NOT(ISBLANK(W165)),Dashboard!F82&gt;0), W165/Dashboard!F82, "")</f>
        <v/>
      </c>
    </row>
    <row r="166" spans="2:24" x14ac:dyDescent="0.35">
      <c r="P166" s="58"/>
      <c r="Q166" s="45"/>
      <c r="R166" s="48" t="str">
        <f>IF(AND(NOT(ISBLANK(Q166)),Dashboard!F16&gt;0), Q166/Dashboard!F16, "")</f>
        <v/>
      </c>
      <c r="S166" s="45"/>
      <c r="T166" s="48" t="str">
        <f>IF(AND(NOT(ISBLANK(S166)),Dashboard!F80&gt;0), S166/Dashboard!F80, "")</f>
        <v/>
      </c>
      <c r="U166" s="45"/>
      <c r="V166" s="48" t="str">
        <f>IF(AND(NOT(ISBLANK(U166)),Dashboard!F81&gt;0), U166/Dashboard!F81, "")</f>
        <v/>
      </c>
      <c r="W166" s="45"/>
      <c r="X166" s="48" t="str">
        <f>IF(AND(NOT(ISBLANK(W166)),Dashboard!F82&gt;0), W166/Dashboard!F82, "")</f>
        <v/>
      </c>
    </row>
    <row r="171" spans="2:24" ht="21" x14ac:dyDescent="0.5">
      <c r="B171" s="42" t="s">
        <v>331</v>
      </c>
      <c r="P171" s="59" t="s">
        <v>332</v>
      </c>
    </row>
    <row r="173" spans="2:24" ht="45" customHeight="1" x14ac:dyDescent="0.35">
      <c r="B173" s="118" t="s">
        <v>333</v>
      </c>
      <c r="C173" s="111"/>
      <c r="D173" s="111"/>
      <c r="E173" s="111"/>
      <c r="F173" s="111"/>
      <c r="P173" s="118" t="s">
        <v>334</v>
      </c>
      <c r="Q173" s="111"/>
      <c r="R173" s="111"/>
      <c r="S173" s="111"/>
      <c r="T173" s="111"/>
      <c r="U173" s="111"/>
    </row>
    <row r="174" spans="2:24" ht="35" customHeight="1" x14ac:dyDescent="0.35">
      <c r="P174" s="115" t="s">
        <v>335</v>
      </c>
      <c r="Q174" s="115"/>
      <c r="R174" s="115" t="s">
        <v>336</v>
      </c>
      <c r="S174" s="115"/>
      <c r="T174" s="115"/>
    </row>
    <row r="175" spans="2:24" ht="30" customHeight="1" x14ac:dyDescent="0.35">
      <c r="P175" s="119">
        <v>0</v>
      </c>
      <c r="Q175" s="120"/>
      <c r="R175" s="121" t="s">
        <v>337</v>
      </c>
      <c r="S175" s="122"/>
      <c r="T175" s="122"/>
    </row>
    <row r="178" spans="16:22" ht="25" customHeight="1" x14ac:dyDescent="0.35">
      <c r="P178" s="68" t="s">
        <v>320</v>
      </c>
      <c r="Q178" s="68" t="s">
        <v>338</v>
      </c>
      <c r="R178" s="68" t="s">
        <v>339</v>
      </c>
      <c r="S178" s="123" t="s">
        <v>8</v>
      </c>
      <c r="T178" s="123"/>
      <c r="U178" s="123"/>
      <c r="V178" s="111"/>
    </row>
    <row r="179" spans="16:22" ht="20" customHeight="1" x14ac:dyDescent="0.35">
      <c r="P179" s="70"/>
      <c r="Q179" s="71"/>
      <c r="R179" s="72" t="str">
        <f>IF(AND(NOT(ISBLANK(Q179)), Dashboard!$P175&gt;0), Q179/Dashboard!$P175, "")</f>
        <v/>
      </c>
      <c r="S179" s="124"/>
      <c r="T179" s="125"/>
      <c r="U179" s="125"/>
      <c r="V179" s="125"/>
    </row>
    <row r="180" spans="16:22" ht="20" customHeight="1" x14ac:dyDescent="0.35">
      <c r="P180" s="70"/>
      <c r="Q180" s="71"/>
      <c r="R180" s="72" t="str">
        <f>IF(AND(NOT(ISBLANK(Q180)), Dashboard!$P175&gt;0), Q180/Dashboard!$P175, "")</f>
        <v/>
      </c>
      <c r="S180" s="124"/>
      <c r="T180" s="125"/>
      <c r="U180" s="125"/>
      <c r="V180" s="125"/>
    </row>
    <row r="181" spans="16:22" ht="20" customHeight="1" x14ac:dyDescent="0.35">
      <c r="P181" s="70"/>
      <c r="Q181" s="71"/>
      <c r="R181" s="72" t="str">
        <f>IF(AND(NOT(ISBLANK(Q181)), Dashboard!$P175&gt;0), Q181/Dashboard!$P175, "")</f>
        <v/>
      </c>
      <c r="S181" s="124"/>
      <c r="T181" s="125"/>
      <c r="U181" s="125"/>
      <c r="V181" s="125"/>
    </row>
    <row r="182" spans="16:22" ht="20" customHeight="1" x14ac:dyDescent="0.35">
      <c r="P182" s="70"/>
      <c r="Q182" s="71"/>
      <c r="R182" s="72" t="str">
        <f>IF(AND(NOT(ISBLANK(Q182)), Dashboard!$P175&gt;0), Q182/Dashboard!$P175, "")</f>
        <v/>
      </c>
      <c r="S182" s="124"/>
      <c r="T182" s="125"/>
      <c r="U182" s="125"/>
      <c r="V182" s="125"/>
    </row>
    <row r="183" spans="16:22" ht="20" customHeight="1" x14ac:dyDescent="0.35">
      <c r="P183" s="70"/>
      <c r="Q183" s="71"/>
      <c r="R183" s="72" t="str">
        <f>IF(AND(NOT(ISBLANK(Q183)), Dashboard!$P175&gt;0), Q183/Dashboard!$P175, "")</f>
        <v/>
      </c>
      <c r="S183" s="124"/>
      <c r="T183" s="125"/>
      <c r="U183" s="125"/>
      <c r="V183" s="125"/>
    </row>
    <row r="184" spans="16:22" ht="20" customHeight="1" x14ac:dyDescent="0.35">
      <c r="P184" s="70"/>
      <c r="Q184" s="71"/>
      <c r="R184" s="72" t="str">
        <f>IF(AND(NOT(ISBLANK(Q184)), Dashboard!$P175&gt;0), Q184/Dashboard!$P175, "")</f>
        <v/>
      </c>
      <c r="S184" s="124"/>
      <c r="T184" s="125"/>
      <c r="U184" s="125"/>
      <c r="V184" s="125"/>
    </row>
    <row r="185" spans="16:22" ht="20" customHeight="1" x14ac:dyDescent="0.35">
      <c r="P185" s="70"/>
      <c r="Q185" s="71"/>
      <c r="R185" s="72" t="str">
        <f>IF(AND(NOT(ISBLANK(Q185)), Dashboard!$P175&gt;0), Q185/Dashboard!$P175, "")</f>
        <v/>
      </c>
      <c r="S185" s="124"/>
      <c r="T185" s="125"/>
      <c r="U185" s="125"/>
      <c r="V185" s="125"/>
    </row>
    <row r="186" spans="16:22" ht="20" customHeight="1" x14ac:dyDescent="0.35">
      <c r="P186" s="70"/>
      <c r="Q186" s="71"/>
      <c r="R186" s="72" t="str">
        <f>IF(AND(NOT(ISBLANK(Q186)), Dashboard!$P175&gt;0), Q186/Dashboard!$P175, "")</f>
        <v/>
      </c>
      <c r="S186" s="124"/>
      <c r="T186" s="125"/>
      <c r="U186" s="125"/>
      <c r="V186" s="125"/>
    </row>
    <row r="187" spans="16:22" ht="20" customHeight="1" x14ac:dyDescent="0.35">
      <c r="P187" s="70"/>
      <c r="Q187" s="71"/>
      <c r="R187" s="72" t="str">
        <f>IF(AND(NOT(ISBLANK(Q187)), Dashboard!$P175&gt;0), Q187/Dashboard!$P175, "")</f>
        <v/>
      </c>
      <c r="S187" s="124"/>
      <c r="T187" s="125"/>
      <c r="U187" s="125"/>
      <c r="V187" s="125"/>
    </row>
    <row r="188" spans="16:22" ht="20" customHeight="1" x14ac:dyDescent="0.35">
      <c r="P188" s="70"/>
      <c r="Q188" s="71"/>
      <c r="R188" s="72" t="str">
        <f>IF(AND(NOT(ISBLANK(Q188)), Dashboard!$P175&gt;0), Q188/Dashboard!$P175, "")</f>
        <v/>
      </c>
      <c r="S188" s="124"/>
      <c r="T188" s="125"/>
      <c r="U188" s="125"/>
      <c r="V188" s="125"/>
    </row>
    <row r="189" spans="16:22" ht="20" customHeight="1" x14ac:dyDescent="0.35">
      <c r="P189" s="70"/>
      <c r="Q189" s="71"/>
      <c r="R189" s="72" t="str">
        <f>IF(AND(NOT(ISBLANK(Q189)), Dashboard!$P175&gt;0), Q189/Dashboard!$P175, "")</f>
        <v/>
      </c>
      <c r="S189" s="124"/>
      <c r="T189" s="125"/>
      <c r="U189" s="125"/>
      <c r="V189" s="125"/>
    </row>
    <row r="190" spans="16:22" ht="20" customHeight="1" x14ac:dyDescent="0.35">
      <c r="P190" s="70"/>
      <c r="Q190" s="71"/>
      <c r="R190" s="72" t="str">
        <f>IF(AND(NOT(ISBLANK(Q190)), Dashboard!$P175&gt;0), Q190/Dashboard!$P175, "")</f>
        <v/>
      </c>
      <c r="S190" s="124"/>
      <c r="T190" s="125"/>
      <c r="U190" s="125"/>
      <c r="V190" s="125"/>
    </row>
    <row r="191" spans="16:22" ht="20" customHeight="1" x14ac:dyDescent="0.35">
      <c r="P191" s="70"/>
      <c r="Q191" s="71"/>
      <c r="R191" s="72" t="str">
        <f>IF(AND(NOT(ISBLANK(Q191)), Dashboard!$P175&gt;0), Q191/Dashboard!$P175, "")</f>
        <v/>
      </c>
      <c r="S191" s="124"/>
      <c r="T191" s="125"/>
      <c r="U191" s="125"/>
      <c r="V191" s="125"/>
    </row>
    <row r="192" spans="16:22" ht="20" customHeight="1" x14ac:dyDescent="0.35">
      <c r="P192" s="70"/>
      <c r="Q192" s="71"/>
      <c r="R192" s="72" t="str">
        <f>IF(AND(NOT(ISBLANK(Q192)), Dashboard!$P175&gt;0), Q192/Dashboard!$P175, "")</f>
        <v/>
      </c>
      <c r="S192" s="124"/>
      <c r="T192" s="125"/>
      <c r="U192" s="125"/>
      <c r="V192" s="125"/>
    </row>
    <row r="193" spans="2:22" ht="20" customHeight="1" x14ac:dyDescent="0.35">
      <c r="P193" s="70"/>
      <c r="Q193" s="71"/>
      <c r="R193" s="72" t="str">
        <f>IF(AND(NOT(ISBLANK(Q193)), Dashboard!$P175&gt;0), Q193/Dashboard!$P175, "")</f>
        <v/>
      </c>
      <c r="S193" s="124"/>
      <c r="T193" s="125"/>
      <c r="U193" s="125"/>
      <c r="V193" s="125"/>
    </row>
    <row r="194" spans="2:22" ht="20" customHeight="1" x14ac:dyDescent="0.35">
      <c r="P194" s="70"/>
      <c r="Q194" s="71"/>
      <c r="R194" s="72" t="str">
        <f>IF(AND(NOT(ISBLANK(Q194)), Dashboard!$P175&gt;0), Q194/Dashboard!$P175, "")</f>
        <v/>
      </c>
      <c r="S194" s="124"/>
      <c r="T194" s="125"/>
      <c r="U194" s="125"/>
      <c r="V194" s="125"/>
    </row>
    <row r="195" spans="2:22" ht="20" customHeight="1" x14ac:dyDescent="0.35">
      <c r="P195" s="70"/>
      <c r="Q195" s="71"/>
      <c r="R195" s="72" t="str">
        <f>IF(AND(NOT(ISBLANK(Q195)), Dashboard!$P175&gt;0), Q195/Dashboard!$P175, "")</f>
        <v/>
      </c>
      <c r="S195" s="124"/>
      <c r="T195" s="125"/>
      <c r="U195" s="125"/>
      <c r="V195" s="125"/>
    </row>
    <row r="196" spans="2:22" ht="20" customHeight="1" x14ac:dyDescent="0.35">
      <c r="P196" s="70"/>
      <c r="Q196" s="71"/>
      <c r="R196" s="72" t="str">
        <f>IF(AND(NOT(ISBLANK(Q196)), Dashboard!$P175&gt;0), Q196/Dashboard!$P175, "")</f>
        <v/>
      </c>
      <c r="S196" s="124"/>
      <c r="T196" s="125"/>
      <c r="U196" s="125"/>
      <c r="V196" s="125"/>
    </row>
    <row r="197" spans="2:22" ht="20" customHeight="1" x14ac:dyDescent="0.35">
      <c r="P197" s="70"/>
      <c r="Q197" s="71"/>
      <c r="R197" s="72" t="str">
        <f>IF(AND(NOT(ISBLANK(Q197)), Dashboard!$P175&gt;0), Q197/Dashboard!$P175, "")</f>
        <v/>
      </c>
      <c r="S197" s="124"/>
      <c r="T197" s="125"/>
      <c r="U197" s="125"/>
      <c r="V197" s="125"/>
    </row>
    <row r="198" spans="2:22" ht="20" customHeight="1" x14ac:dyDescent="0.35">
      <c r="P198" s="70"/>
      <c r="Q198" s="71"/>
      <c r="R198" s="72" t="str">
        <f>IF(AND(NOT(ISBLANK(Q198)), Dashboard!$P175&gt;0), Q198/Dashboard!$P175, "")</f>
        <v/>
      </c>
      <c r="S198" s="124"/>
      <c r="T198" s="125"/>
      <c r="U198" s="125"/>
      <c r="V198" s="125"/>
    </row>
    <row r="202" spans="2:22" ht="32" customHeight="1" x14ac:dyDescent="0.35">
      <c r="B202" s="109" t="s">
        <v>206</v>
      </c>
      <c r="C202" s="109"/>
      <c r="D202" s="109"/>
      <c r="E202" s="109"/>
      <c r="F202" s="109"/>
      <c r="G202" s="109"/>
      <c r="H202" s="109"/>
      <c r="I202" s="109"/>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41" priority="1" operator="greaterThanOrEqual">
      <formula>0.9</formula>
    </cfRule>
    <cfRule type="cellIs" dxfId="40" priority="2" operator="greaterThanOrEqual">
      <formula>0.5</formula>
    </cfRule>
    <cfRule type="cellIs" dxfId="39" priority="3" operator="lessThan">
      <formula>0.5</formula>
    </cfRule>
  </conditionalFormatting>
  <conditionalFormatting sqref="G118:H123">
    <cfRule type="expression" dxfId="38" priority="4">
      <formula>$G118&gt;=0.8</formula>
    </cfRule>
    <cfRule type="expression" dxfId="37" priority="5">
      <formula>AND($G118&gt;=0.5,$G118&lt;0.8)</formula>
    </cfRule>
    <cfRule type="expression" dxfId="36" priority="6">
      <formula>$G118&lt;0.5</formula>
    </cfRule>
  </conditionalFormatting>
  <conditionalFormatting sqref="K118:K123">
    <cfRule type="cellIs" dxfId="35" priority="7" operator="greaterThan">
      <formula>0</formula>
    </cfRule>
  </conditionalFormatting>
  <conditionalFormatting sqref="L118:L123">
    <cfRule type="cellIs" dxfId="34" priority="8" operator="greaterThan">
      <formula>0</formula>
    </cfRule>
  </conditionalFormatting>
  <conditionalFormatting sqref="M118:M123">
    <cfRule type="cellIs" dxfId="33" priority="9" operator="greaterThan">
      <formula>0</formula>
    </cfRule>
  </conditionalFormatting>
  <conditionalFormatting sqref="N118:N123">
    <cfRule type="cellIs" dxfId="32"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2"/>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38"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16</v>
      </c>
      <c r="D9" s="3" t="s">
        <v>17</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16</v>
      </c>
      <c r="D10" s="3" t="s">
        <v>17</v>
      </c>
      <c r="E10" s="4" t="s">
        <v>18</v>
      </c>
      <c r="F10" s="4" t="s">
        <v>19</v>
      </c>
      <c r="G10" s="4" t="s">
        <v>20</v>
      </c>
      <c r="H10" s="4" t="s">
        <v>21</v>
      </c>
      <c r="I10" s="5" t="s">
        <v>21</v>
      </c>
      <c r="J10" s="1" t="s">
        <v>62</v>
      </c>
      <c r="K10" s="1" t="s">
        <v>63</v>
      </c>
      <c r="L10" s="1" t="s">
        <v>64</v>
      </c>
      <c r="M10" s="4" t="str">
        <f t="shared" si="0"/>
        <v>Outstanding</v>
      </c>
      <c r="N10" s="13" t="s">
        <v>21</v>
      </c>
    </row>
    <row r="11" spans="1:14" ht="60" customHeight="1" x14ac:dyDescent="0.35">
      <c r="A11" s="11" t="s">
        <v>65</v>
      </c>
      <c r="B11" s="1" t="s">
        <v>66</v>
      </c>
      <c r="C11" s="2" t="s">
        <v>16</v>
      </c>
      <c r="D11" s="3" t="s">
        <v>17</v>
      </c>
      <c r="E11" s="4" t="s">
        <v>18</v>
      </c>
      <c r="F11" s="4" t="s">
        <v>19</v>
      </c>
      <c r="G11" s="4" t="s">
        <v>20</v>
      </c>
      <c r="H11" s="4" t="s">
        <v>21</v>
      </c>
      <c r="I11" s="5" t="s">
        <v>21</v>
      </c>
      <c r="J11" s="1" t="s">
        <v>67</v>
      </c>
      <c r="K11" s="1" t="s">
        <v>68</v>
      </c>
      <c r="L11" s="1" t="s">
        <v>69</v>
      </c>
      <c r="M11" s="4" t="str">
        <f t="shared" si="0"/>
        <v>Outstanding</v>
      </c>
      <c r="N11" s="13" t="s">
        <v>21</v>
      </c>
    </row>
    <row r="12" spans="1:14" ht="60" customHeight="1" x14ac:dyDescent="0.35">
      <c r="A12" s="11" t="s">
        <v>70</v>
      </c>
      <c r="B12" s="1" t="s">
        <v>71</v>
      </c>
      <c r="C12" s="2" t="s">
        <v>16</v>
      </c>
      <c r="D12" s="3" t="s">
        <v>17</v>
      </c>
      <c r="E12" s="4" t="s">
        <v>18</v>
      </c>
      <c r="F12" s="4" t="s">
        <v>19</v>
      </c>
      <c r="G12" s="4" t="s">
        <v>20</v>
      </c>
      <c r="H12" s="4" t="s">
        <v>21</v>
      </c>
      <c r="I12" s="5" t="s">
        <v>21</v>
      </c>
      <c r="J12" s="1" t="s">
        <v>72</v>
      </c>
      <c r="K12" s="1" t="s">
        <v>73</v>
      </c>
      <c r="L12" s="1" t="s">
        <v>74</v>
      </c>
      <c r="M12" s="4" t="str">
        <f t="shared" si="0"/>
        <v>Outstanding</v>
      </c>
      <c r="N12" s="13" t="s">
        <v>21</v>
      </c>
    </row>
    <row r="13" spans="1:14" ht="60" customHeight="1" x14ac:dyDescent="0.35">
      <c r="A13" s="11" t="s">
        <v>75</v>
      </c>
      <c r="B13" s="1" t="s">
        <v>76</v>
      </c>
      <c r="C13" s="2" t="s">
        <v>16</v>
      </c>
      <c r="D13" s="3" t="s">
        <v>17</v>
      </c>
      <c r="E13" s="4" t="s">
        <v>18</v>
      </c>
      <c r="F13" s="4" t="s">
        <v>19</v>
      </c>
      <c r="G13" s="4" t="s">
        <v>20</v>
      </c>
      <c r="H13" s="4" t="s">
        <v>21</v>
      </c>
      <c r="I13" s="5" t="s">
        <v>21</v>
      </c>
      <c r="J13" s="1" t="s">
        <v>77</v>
      </c>
      <c r="K13" s="1" t="s">
        <v>78</v>
      </c>
      <c r="L13" s="1" t="s">
        <v>79</v>
      </c>
      <c r="M13" s="4" t="str">
        <f t="shared" si="0"/>
        <v>Outstanding</v>
      </c>
      <c r="N13" s="13" t="s">
        <v>21</v>
      </c>
    </row>
    <row r="14" spans="1:14" ht="60" customHeight="1" x14ac:dyDescent="0.35">
      <c r="A14" s="11" t="s">
        <v>80</v>
      </c>
      <c r="B14" s="1" t="s">
        <v>81</v>
      </c>
      <c r="C14" s="2" t="s">
        <v>16</v>
      </c>
      <c r="D14" s="3" t="s">
        <v>17</v>
      </c>
      <c r="E14" s="4" t="s">
        <v>18</v>
      </c>
      <c r="F14" s="4" t="s">
        <v>19</v>
      </c>
      <c r="G14" s="4" t="s">
        <v>20</v>
      </c>
      <c r="H14" s="4" t="s">
        <v>21</v>
      </c>
      <c r="I14" s="5" t="s">
        <v>21</v>
      </c>
      <c r="J14" s="1" t="s">
        <v>82</v>
      </c>
      <c r="K14" s="1" t="s">
        <v>83</v>
      </c>
      <c r="L14" s="1" t="s">
        <v>84</v>
      </c>
      <c r="M14" s="4" t="str">
        <f t="shared" si="0"/>
        <v>Outstanding</v>
      </c>
      <c r="N14" s="13" t="s">
        <v>21</v>
      </c>
    </row>
    <row r="15" spans="1:14" ht="60" customHeight="1" x14ac:dyDescent="0.35">
      <c r="A15" s="11" t="s">
        <v>85</v>
      </c>
      <c r="B15" s="1" t="s">
        <v>86</v>
      </c>
      <c r="C15" s="2" t="s">
        <v>16</v>
      </c>
      <c r="D15" s="3" t="s">
        <v>17</v>
      </c>
      <c r="E15" s="4" t="s">
        <v>18</v>
      </c>
      <c r="F15" s="4" t="s">
        <v>19</v>
      </c>
      <c r="G15" s="4" t="s">
        <v>20</v>
      </c>
      <c r="H15" s="4" t="s">
        <v>21</v>
      </c>
      <c r="I15" s="5" t="s">
        <v>21</v>
      </c>
      <c r="J15" s="1" t="s">
        <v>87</v>
      </c>
      <c r="K15" s="1" t="s">
        <v>88</v>
      </c>
      <c r="L15" s="1" t="s">
        <v>89</v>
      </c>
      <c r="M15" s="4" t="str">
        <f t="shared" si="0"/>
        <v>Outstanding</v>
      </c>
      <c r="N15" s="13" t="s">
        <v>21</v>
      </c>
    </row>
    <row r="16" spans="1:14" ht="60" customHeight="1" x14ac:dyDescent="0.35">
      <c r="A16" s="11" t="s">
        <v>90</v>
      </c>
      <c r="B16" s="1" t="s">
        <v>91</v>
      </c>
      <c r="C16" s="2" t="s">
        <v>16</v>
      </c>
      <c r="D16" s="3" t="s">
        <v>92</v>
      </c>
      <c r="E16" s="4" t="s">
        <v>18</v>
      </c>
      <c r="F16" s="4" t="s">
        <v>19</v>
      </c>
      <c r="G16" s="4" t="s">
        <v>20</v>
      </c>
      <c r="H16" s="4" t="s">
        <v>21</v>
      </c>
      <c r="I16" s="5" t="s">
        <v>21</v>
      </c>
      <c r="J16" s="1" t="s">
        <v>93</v>
      </c>
      <c r="K16" s="1" t="s">
        <v>94</v>
      </c>
      <c r="L16" s="1" t="s">
        <v>95</v>
      </c>
      <c r="M16" s="4" t="str">
        <f t="shared" si="0"/>
        <v>Outstanding</v>
      </c>
      <c r="N16" s="13" t="s">
        <v>21</v>
      </c>
    </row>
    <row r="17" spans="1:14" ht="60" customHeight="1" x14ac:dyDescent="0.35">
      <c r="A17" s="11" t="s">
        <v>96</v>
      </c>
      <c r="B17" s="1" t="s">
        <v>97</v>
      </c>
      <c r="C17" s="2" t="s">
        <v>16</v>
      </c>
      <c r="D17" s="3" t="s">
        <v>92</v>
      </c>
      <c r="E17" s="4" t="s">
        <v>18</v>
      </c>
      <c r="F17" s="4" t="s">
        <v>19</v>
      </c>
      <c r="G17" s="4" t="s">
        <v>20</v>
      </c>
      <c r="H17" s="4" t="s">
        <v>21</v>
      </c>
      <c r="I17" s="5" t="s">
        <v>21</v>
      </c>
      <c r="J17" s="1" t="s">
        <v>98</v>
      </c>
      <c r="K17" s="1" t="s">
        <v>99</v>
      </c>
      <c r="L17" s="1" t="s">
        <v>100</v>
      </c>
      <c r="M17" s="4" t="str">
        <f t="shared" si="0"/>
        <v>Outstanding</v>
      </c>
      <c r="N17" s="13" t="s">
        <v>21</v>
      </c>
    </row>
    <row r="18" spans="1:14" ht="60" customHeight="1" x14ac:dyDescent="0.35">
      <c r="A18" s="11" t="s">
        <v>101</v>
      </c>
      <c r="B18" s="1" t="s">
        <v>102</v>
      </c>
      <c r="C18" s="2" t="s">
        <v>16</v>
      </c>
      <c r="D18" s="3" t="s">
        <v>92</v>
      </c>
      <c r="E18" s="4" t="s">
        <v>18</v>
      </c>
      <c r="F18" s="4" t="s">
        <v>19</v>
      </c>
      <c r="G18" s="4" t="s">
        <v>20</v>
      </c>
      <c r="H18" s="4" t="s">
        <v>21</v>
      </c>
      <c r="I18" s="5" t="s">
        <v>21</v>
      </c>
      <c r="J18" s="1" t="s">
        <v>103</v>
      </c>
      <c r="K18" s="1" t="s">
        <v>104</v>
      </c>
      <c r="L18" s="1" t="s">
        <v>105</v>
      </c>
      <c r="M18" s="4" t="str">
        <f t="shared" si="0"/>
        <v>Outstanding</v>
      </c>
      <c r="N18" s="13" t="s">
        <v>21</v>
      </c>
    </row>
    <row r="19" spans="1:14" ht="60" customHeight="1" x14ac:dyDescent="0.35">
      <c r="A19" s="11" t="s">
        <v>106</v>
      </c>
      <c r="B19" s="1" t="s">
        <v>107</v>
      </c>
      <c r="C19" s="2" t="s">
        <v>16</v>
      </c>
      <c r="D19" s="3" t="s">
        <v>92</v>
      </c>
      <c r="E19" s="4" t="s">
        <v>18</v>
      </c>
      <c r="F19" s="4" t="s">
        <v>19</v>
      </c>
      <c r="G19" s="4" t="s">
        <v>20</v>
      </c>
      <c r="H19" s="4" t="s">
        <v>21</v>
      </c>
      <c r="I19" s="5" t="s">
        <v>21</v>
      </c>
      <c r="J19" s="1" t="s">
        <v>108</v>
      </c>
      <c r="K19" s="1" t="s">
        <v>109</v>
      </c>
      <c r="L19" s="1" t="s">
        <v>110</v>
      </c>
      <c r="M19" s="4" t="str">
        <f t="shared" si="0"/>
        <v>Outstanding</v>
      </c>
      <c r="N19" s="13" t="s">
        <v>21</v>
      </c>
    </row>
    <row r="20" spans="1:14" ht="60" customHeight="1" x14ac:dyDescent="0.35">
      <c r="A20" s="11" t="s">
        <v>111</v>
      </c>
      <c r="B20" s="1" t="s">
        <v>112</v>
      </c>
      <c r="C20" s="2" t="s">
        <v>16</v>
      </c>
      <c r="D20" s="3" t="s">
        <v>92</v>
      </c>
      <c r="E20" s="4" t="s">
        <v>18</v>
      </c>
      <c r="F20" s="4" t="s">
        <v>19</v>
      </c>
      <c r="G20" s="4" t="s">
        <v>20</v>
      </c>
      <c r="H20" s="4" t="s">
        <v>21</v>
      </c>
      <c r="I20" s="5" t="s">
        <v>21</v>
      </c>
      <c r="J20" s="1" t="s">
        <v>113</v>
      </c>
      <c r="K20" s="1" t="s">
        <v>114</v>
      </c>
      <c r="L20" s="1" t="s">
        <v>115</v>
      </c>
      <c r="M20" s="4" t="str">
        <f t="shared" si="0"/>
        <v>Outstanding</v>
      </c>
      <c r="N20" s="13" t="s">
        <v>21</v>
      </c>
    </row>
    <row r="21" spans="1:14" ht="60" customHeight="1" x14ac:dyDescent="0.35">
      <c r="A21" s="11" t="s">
        <v>116</v>
      </c>
      <c r="B21" s="1" t="s">
        <v>117</v>
      </c>
      <c r="C21" s="2" t="s">
        <v>16</v>
      </c>
      <c r="D21" s="3" t="s">
        <v>92</v>
      </c>
      <c r="E21" s="4" t="s">
        <v>18</v>
      </c>
      <c r="F21" s="4" t="s">
        <v>19</v>
      </c>
      <c r="G21" s="4" t="s">
        <v>20</v>
      </c>
      <c r="H21" s="4" t="s">
        <v>21</v>
      </c>
      <c r="I21" s="5" t="s">
        <v>21</v>
      </c>
      <c r="J21" s="1" t="s">
        <v>118</v>
      </c>
      <c r="K21" s="1" t="s">
        <v>119</v>
      </c>
      <c r="L21" s="1" t="s">
        <v>120</v>
      </c>
      <c r="M21" s="4" t="str">
        <f t="shared" si="0"/>
        <v>Outstanding</v>
      </c>
      <c r="N21" s="13" t="s">
        <v>21</v>
      </c>
    </row>
    <row r="22" spans="1:14" ht="60" customHeight="1" x14ac:dyDescent="0.35">
      <c r="A22" s="11" t="s">
        <v>121</v>
      </c>
      <c r="B22" s="1" t="s">
        <v>122</v>
      </c>
      <c r="C22" s="2" t="s">
        <v>16</v>
      </c>
      <c r="D22" s="3" t="s">
        <v>92</v>
      </c>
      <c r="E22" s="4" t="s">
        <v>18</v>
      </c>
      <c r="F22" s="4" t="s">
        <v>19</v>
      </c>
      <c r="G22" s="4" t="s">
        <v>20</v>
      </c>
      <c r="H22" s="4" t="s">
        <v>21</v>
      </c>
      <c r="I22" s="5" t="s">
        <v>21</v>
      </c>
      <c r="J22" s="1" t="s">
        <v>123</v>
      </c>
      <c r="K22" s="1" t="s">
        <v>124</v>
      </c>
      <c r="L22" s="1" t="s">
        <v>125</v>
      </c>
      <c r="M22" s="4" t="str">
        <f t="shared" si="0"/>
        <v>Outstanding</v>
      </c>
      <c r="N22" s="13" t="s">
        <v>21</v>
      </c>
    </row>
    <row r="23" spans="1:14" ht="60" customHeight="1" x14ac:dyDescent="0.35">
      <c r="A23" s="11" t="s">
        <v>126</v>
      </c>
      <c r="B23" s="1" t="s">
        <v>127</v>
      </c>
      <c r="C23" s="2" t="s">
        <v>16</v>
      </c>
      <c r="D23" s="3" t="s">
        <v>92</v>
      </c>
      <c r="E23" s="4" t="s">
        <v>18</v>
      </c>
      <c r="F23" s="4" t="s">
        <v>19</v>
      </c>
      <c r="G23" s="4" t="s">
        <v>20</v>
      </c>
      <c r="H23" s="4" t="s">
        <v>21</v>
      </c>
      <c r="I23" s="5" t="s">
        <v>21</v>
      </c>
      <c r="J23" s="1" t="s">
        <v>128</v>
      </c>
      <c r="K23" s="1" t="s">
        <v>129</v>
      </c>
      <c r="L23" s="1" t="s">
        <v>130</v>
      </c>
      <c r="M23" s="4" t="str">
        <f t="shared" si="0"/>
        <v>Outstanding</v>
      </c>
      <c r="N23" s="13" t="s">
        <v>21</v>
      </c>
    </row>
    <row r="24" spans="1:14" ht="60" customHeight="1" x14ac:dyDescent="0.35">
      <c r="A24" s="11" t="s">
        <v>131</v>
      </c>
      <c r="B24" s="1" t="s">
        <v>132</v>
      </c>
      <c r="C24" s="2" t="s">
        <v>16</v>
      </c>
      <c r="D24" s="3" t="s">
        <v>92</v>
      </c>
      <c r="E24" s="4" t="s">
        <v>18</v>
      </c>
      <c r="F24" s="4" t="s">
        <v>19</v>
      </c>
      <c r="G24" s="4" t="s">
        <v>20</v>
      </c>
      <c r="H24" s="4" t="s">
        <v>21</v>
      </c>
      <c r="I24" s="5" t="s">
        <v>21</v>
      </c>
      <c r="J24" s="1" t="s">
        <v>133</v>
      </c>
      <c r="K24" s="1" t="s">
        <v>134</v>
      </c>
      <c r="L24" s="1" t="s">
        <v>135</v>
      </c>
      <c r="M24" s="4" t="str">
        <f t="shared" si="0"/>
        <v>Outstanding</v>
      </c>
      <c r="N24" s="13" t="s">
        <v>21</v>
      </c>
    </row>
    <row r="25" spans="1:14" ht="60" customHeight="1" x14ac:dyDescent="0.35">
      <c r="A25" s="11" t="s">
        <v>136</v>
      </c>
      <c r="B25" s="1" t="s">
        <v>137</v>
      </c>
      <c r="C25" s="2" t="s">
        <v>16</v>
      </c>
      <c r="D25" s="3" t="s">
        <v>92</v>
      </c>
      <c r="E25" s="4" t="s">
        <v>18</v>
      </c>
      <c r="F25" s="4" t="s">
        <v>19</v>
      </c>
      <c r="G25" s="4" t="s">
        <v>20</v>
      </c>
      <c r="H25" s="4" t="s">
        <v>21</v>
      </c>
      <c r="I25" s="5" t="s">
        <v>21</v>
      </c>
      <c r="J25" s="1" t="s">
        <v>138</v>
      </c>
      <c r="K25" s="1" t="s">
        <v>139</v>
      </c>
      <c r="L25" s="1" t="s">
        <v>140</v>
      </c>
      <c r="M25" s="4" t="str">
        <f t="shared" si="0"/>
        <v>Outstanding</v>
      </c>
      <c r="N25" s="13" t="s">
        <v>21</v>
      </c>
    </row>
    <row r="26" spans="1:14" ht="60" customHeight="1" x14ac:dyDescent="0.35">
      <c r="A26" s="11" t="s">
        <v>141</v>
      </c>
      <c r="B26" s="1" t="s">
        <v>142</v>
      </c>
      <c r="C26" s="2" t="s">
        <v>16</v>
      </c>
      <c r="D26" s="3" t="s">
        <v>92</v>
      </c>
      <c r="E26" s="4" t="s">
        <v>18</v>
      </c>
      <c r="F26" s="4" t="s">
        <v>19</v>
      </c>
      <c r="G26" s="4" t="s">
        <v>20</v>
      </c>
      <c r="H26" s="4" t="s">
        <v>21</v>
      </c>
      <c r="I26" s="5" t="s">
        <v>21</v>
      </c>
      <c r="J26" s="1" t="s">
        <v>143</v>
      </c>
      <c r="K26" s="1" t="s">
        <v>144</v>
      </c>
      <c r="L26" s="1" t="s">
        <v>145</v>
      </c>
      <c r="M26" s="4" t="str">
        <f t="shared" si="0"/>
        <v>Outstanding</v>
      </c>
      <c r="N26" s="13" t="s">
        <v>21</v>
      </c>
    </row>
    <row r="27" spans="1:14" ht="60" customHeight="1" x14ac:dyDescent="0.35">
      <c r="A27" s="11" t="s">
        <v>146</v>
      </c>
      <c r="B27" s="1" t="s">
        <v>147</v>
      </c>
      <c r="C27" s="2" t="s">
        <v>16</v>
      </c>
      <c r="D27" s="3" t="s">
        <v>92</v>
      </c>
      <c r="E27" s="4" t="s">
        <v>18</v>
      </c>
      <c r="F27" s="4" t="s">
        <v>19</v>
      </c>
      <c r="G27" s="4" t="s">
        <v>20</v>
      </c>
      <c r="H27" s="4" t="s">
        <v>21</v>
      </c>
      <c r="I27" s="5" t="s">
        <v>21</v>
      </c>
      <c r="J27" s="1" t="s">
        <v>148</v>
      </c>
      <c r="K27" s="1" t="s">
        <v>149</v>
      </c>
      <c r="L27" s="1" t="s">
        <v>150</v>
      </c>
      <c r="M27" s="4" t="str">
        <f t="shared" si="0"/>
        <v>Outstanding</v>
      </c>
      <c r="N27" s="13" t="s">
        <v>21</v>
      </c>
    </row>
    <row r="28" spans="1:14" ht="60" customHeight="1" x14ac:dyDescent="0.35">
      <c r="A28" s="11" t="s">
        <v>151</v>
      </c>
      <c r="B28" s="1" t="s">
        <v>152</v>
      </c>
      <c r="C28" s="2" t="s">
        <v>16</v>
      </c>
      <c r="D28" s="3" t="s">
        <v>92</v>
      </c>
      <c r="E28" s="4" t="s">
        <v>18</v>
      </c>
      <c r="F28" s="4" t="s">
        <v>19</v>
      </c>
      <c r="G28" s="4" t="s">
        <v>20</v>
      </c>
      <c r="H28" s="4" t="s">
        <v>21</v>
      </c>
      <c r="I28" s="5" t="s">
        <v>21</v>
      </c>
      <c r="J28" s="1" t="s">
        <v>153</v>
      </c>
      <c r="K28" s="1" t="s">
        <v>154</v>
      </c>
      <c r="L28" s="1" t="s">
        <v>155</v>
      </c>
      <c r="M28" s="4" t="str">
        <f t="shared" si="0"/>
        <v>Outstanding</v>
      </c>
      <c r="N28" s="13" t="s">
        <v>21</v>
      </c>
    </row>
    <row r="29" spans="1:14" ht="60" customHeight="1" x14ac:dyDescent="0.35">
      <c r="A29" s="11" t="s">
        <v>156</v>
      </c>
      <c r="B29" s="1" t="s">
        <v>157</v>
      </c>
      <c r="C29" s="2" t="s">
        <v>16</v>
      </c>
      <c r="D29" s="3" t="s">
        <v>92</v>
      </c>
      <c r="E29" s="4" t="s">
        <v>18</v>
      </c>
      <c r="F29" s="4" t="s">
        <v>19</v>
      </c>
      <c r="G29" s="4" t="s">
        <v>20</v>
      </c>
      <c r="H29" s="4" t="s">
        <v>21</v>
      </c>
      <c r="I29" s="5" t="s">
        <v>21</v>
      </c>
      <c r="J29" s="1" t="s">
        <v>158</v>
      </c>
      <c r="K29" s="1" t="s">
        <v>159</v>
      </c>
      <c r="L29" s="1" t="s">
        <v>160</v>
      </c>
      <c r="M29" s="4" t="str">
        <f t="shared" si="0"/>
        <v>Outstanding</v>
      </c>
      <c r="N29" s="13" t="s">
        <v>21</v>
      </c>
    </row>
    <row r="30" spans="1:14" ht="60" customHeight="1" x14ac:dyDescent="0.35">
      <c r="A30" s="11" t="s">
        <v>161</v>
      </c>
      <c r="B30" s="1" t="s">
        <v>162</v>
      </c>
      <c r="C30" s="2" t="s">
        <v>16</v>
      </c>
      <c r="D30" s="3" t="s">
        <v>92</v>
      </c>
      <c r="E30" s="4" t="s">
        <v>18</v>
      </c>
      <c r="F30" s="4" t="s">
        <v>19</v>
      </c>
      <c r="G30" s="4" t="s">
        <v>20</v>
      </c>
      <c r="H30" s="4" t="s">
        <v>21</v>
      </c>
      <c r="I30" s="5" t="s">
        <v>21</v>
      </c>
      <c r="J30" s="1" t="s">
        <v>163</v>
      </c>
      <c r="K30" s="1" t="s">
        <v>164</v>
      </c>
      <c r="L30" s="1" t="s">
        <v>165</v>
      </c>
      <c r="M30" s="4" t="str">
        <f t="shared" si="0"/>
        <v>Outstanding</v>
      </c>
      <c r="N30" s="13" t="s">
        <v>21</v>
      </c>
    </row>
    <row r="31" spans="1:14" ht="60" customHeight="1" x14ac:dyDescent="0.35">
      <c r="A31" s="11" t="s">
        <v>166</v>
      </c>
      <c r="B31" s="1" t="s">
        <v>167</v>
      </c>
      <c r="C31" s="2" t="s">
        <v>16</v>
      </c>
      <c r="D31" s="3" t="s">
        <v>92</v>
      </c>
      <c r="E31" s="4" t="s">
        <v>18</v>
      </c>
      <c r="F31" s="4" t="s">
        <v>19</v>
      </c>
      <c r="G31" s="4" t="s">
        <v>20</v>
      </c>
      <c r="H31" s="4" t="s">
        <v>21</v>
      </c>
      <c r="I31" s="5" t="s">
        <v>21</v>
      </c>
      <c r="J31" s="1" t="s">
        <v>168</v>
      </c>
      <c r="K31" s="1" t="s">
        <v>169</v>
      </c>
      <c r="L31" s="1" t="s">
        <v>170</v>
      </c>
      <c r="M31" s="4" t="str">
        <f t="shared" si="0"/>
        <v>Outstanding</v>
      </c>
      <c r="N31" s="13" t="s">
        <v>21</v>
      </c>
    </row>
    <row r="32" spans="1:14" ht="60" customHeight="1" x14ac:dyDescent="0.35">
      <c r="A32" s="11" t="s">
        <v>171</v>
      </c>
      <c r="B32" s="1" t="s">
        <v>172</v>
      </c>
      <c r="C32" s="2" t="s">
        <v>16</v>
      </c>
      <c r="D32" s="3" t="s">
        <v>92</v>
      </c>
      <c r="E32" s="4" t="s">
        <v>18</v>
      </c>
      <c r="F32" s="4" t="s">
        <v>19</v>
      </c>
      <c r="G32" s="4" t="s">
        <v>20</v>
      </c>
      <c r="H32" s="4" t="s">
        <v>21</v>
      </c>
      <c r="I32" s="5" t="s">
        <v>21</v>
      </c>
      <c r="J32" s="1" t="s">
        <v>173</v>
      </c>
      <c r="K32" s="1" t="s">
        <v>174</v>
      </c>
      <c r="L32" s="1" t="s">
        <v>175</v>
      </c>
      <c r="M32" s="4" t="str">
        <f t="shared" si="0"/>
        <v>Outstanding</v>
      </c>
      <c r="N32" s="13" t="s">
        <v>21</v>
      </c>
    </row>
    <row r="33" spans="1:14" ht="60" customHeight="1" x14ac:dyDescent="0.35">
      <c r="A33" s="11" t="s">
        <v>176</v>
      </c>
      <c r="B33" s="1" t="s">
        <v>177</v>
      </c>
      <c r="C33" s="2" t="s">
        <v>16</v>
      </c>
      <c r="D33" s="3" t="s">
        <v>92</v>
      </c>
      <c r="E33" s="4" t="s">
        <v>18</v>
      </c>
      <c r="F33" s="4" t="s">
        <v>19</v>
      </c>
      <c r="G33" s="4" t="s">
        <v>20</v>
      </c>
      <c r="H33" s="4" t="s">
        <v>21</v>
      </c>
      <c r="I33" s="5" t="s">
        <v>21</v>
      </c>
      <c r="J33" s="1" t="s">
        <v>178</v>
      </c>
      <c r="K33" s="1" t="s">
        <v>179</v>
      </c>
      <c r="L33" s="1" t="s">
        <v>180</v>
      </c>
      <c r="M33" s="4" t="str">
        <f t="shared" si="0"/>
        <v>Outstanding</v>
      </c>
      <c r="N33" s="13" t="s">
        <v>21</v>
      </c>
    </row>
    <row r="34" spans="1:14" ht="60" customHeight="1" x14ac:dyDescent="0.35">
      <c r="A34" s="11" t="s">
        <v>181</v>
      </c>
      <c r="B34" s="1" t="s">
        <v>182</v>
      </c>
      <c r="C34" s="2" t="s">
        <v>16</v>
      </c>
      <c r="D34" s="3" t="s">
        <v>92</v>
      </c>
      <c r="E34" s="4" t="s">
        <v>18</v>
      </c>
      <c r="F34" s="4" t="s">
        <v>19</v>
      </c>
      <c r="G34" s="4" t="s">
        <v>20</v>
      </c>
      <c r="H34" s="4" t="s">
        <v>21</v>
      </c>
      <c r="I34" s="5" t="s">
        <v>21</v>
      </c>
      <c r="J34" s="1" t="s">
        <v>183</v>
      </c>
      <c r="K34" s="1" t="s">
        <v>184</v>
      </c>
      <c r="L34" s="1" t="s">
        <v>185</v>
      </c>
      <c r="M34" s="4" t="str">
        <f t="shared" si="0"/>
        <v>Outstanding</v>
      </c>
      <c r="N34" s="13" t="s">
        <v>21</v>
      </c>
    </row>
    <row r="35" spans="1:14" ht="60" customHeight="1" x14ac:dyDescent="0.35">
      <c r="A35" s="11" t="s">
        <v>186</v>
      </c>
      <c r="B35" s="1" t="s">
        <v>187</v>
      </c>
      <c r="C35" s="2" t="s">
        <v>16</v>
      </c>
      <c r="D35" s="3" t="s">
        <v>92</v>
      </c>
      <c r="E35" s="4" t="s">
        <v>18</v>
      </c>
      <c r="F35" s="4" t="s">
        <v>19</v>
      </c>
      <c r="G35" s="4" t="s">
        <v>20</v>
      </c>
      <c r="H35" s="4" t="s">
        <v>21</v>
      </c>
      <c r="I35" s="5" t="s">
        <v>21</v>
      </c>
      <c r="J35" s="1" t="s">
        <v>188</v>
      </c>
      <c r="K35" s="1" t="s">
        <v>189</v>
      </c>
      <c r="L35" s="1" t="s">
        <v>190</v>
      </c>
      <c r="M35" s="4" t="str">
        <f t="shared" si="0"/>
        <v>Outstanding</v>
      </c>
      <c r="N35" s="13" t="s">
        <v>21</v>
      </c>
    </row>
    <row r="36" spans="1:14" ht="60" customHeight="1" x14ac:dyDescent="0.35">
      <c r="A36" s="11" t="s">
        <v>191</v>
      </c>
      <c r="B36" s="1" t="s">
        <v>192</v>
      </c>
      <c r="C36" s="2" t="s">
        <v>16</v>
      </c>
      <c r="D36" s="3" t="s">
        <v>92</v>
      </c>
      <c r="E36" s="4" t="s">
        <v>18</v>
      </c>
      <c r="F36" s="4" t="s">
        <v>19</v>
      </c>
      <c r="G36" s="4" t="s">
        <v>20</v>
      </c>
      <c r="H36" s="4" t="s">
        <v>21</v>
      </c>
      <c r="I36" s="5" t="s">
        <v>21</v>
      </c>
      <c r="J36" s="1" t="s">
        <v>193</v>
      </c>
      <c r="K36" s="1" t="s">
        <v>194</v>
      </c>
      <c r="L36" s="1" t="s">
        <v>195</v>
      </c>
      <c r="M36" s="4" t="str">
        <f t="shared" si="0"/>
        <v>Outstanding</v>
      </c>
      <c r="N36" s="13" t="s">
        <v>21</v>
      </c>
    </row>
    <row r="37" spans="1:14" ht="60" customHeight="1" x14ac:dyDescent="0.35">
      <c r="A37" s="11" t="s">
        <v>196</v>
      </c>
      <c r="B37" s="1" t="s">
        <v>197</v>
      </c>
      <c r="C37" s="2" t="s">
        <v>16</v>
      </c>
      <c r="D37" s="3" t="s">
        <v>92</v>
      </c>
      <c r="E37" s="4" t="s">
        <v>18</v>
      </c>
      <c r="F37" s="4" t="s">
        <v>19</v>
      </c>
      <c r="G37" s="4" t="s">
        <v>20</v>
      </c>
      <c r="H37" s="4" t="s">
        <v>21</v>
      </c>
      <c r="I37" s="5" t="s">
        <v>21</v>
      </c>
      <c r="J37" s="1" t="s">
        <v>198</v>
      </c>
      <c r="K37" s="1" t="s">
        <v>199</v>
      </c>
      <c r="L37" s="1" t="s">
        <v>200</v>
      </c>
      <c r="M37" s="4" t="str">
        <f t="shared" si="0"/>
        <v>Outstanding</v>
      </c>
      <c r="N37" s="13" t="s">
        <v>21</v>
      </c>
    </row>
    <row r="38" spans="1:14" ht="60" customHeight="1" x14ac:dyDescent="0.35">
      <c r="A38" s="12" t="s">
        <v>201</v>
      </c>
      <c r="B38" s="6" t="s">
        <v>202</v>
      </c>
      <c r="C38" s="7" t="s">
        <v>16</v>
      </c>
      <c r="D38" s="8" t="s">
        <v>92</v>
      </c>
      <c r="E38" s="9" t="s">
        <v>18</v>
      </c>
      <c r="F38" s="9" t="s">
        <v>19</v>
      </c>
      <c r="G38" s="9" t="s">
        <v>20</v>
      </c>
      <c r="H38" s="9" t="s">
        <v>21</v>
      </c>
      <c r="I38" s="10" t="s">
        <v>21</v>
      </c>
      <c r="J38" s="6" t="s">
        <v>203</v>
      </c>
      <c r="K38" s="6" t="s">
        <v>204</v>
      </c>
      <c r="L38" s="6" t="s">
        <v>205</v>
      </c>
      <c r="M38" s="9" t="str">
        <f t="shared" si="0"/>
        <v>Outstanding</v>
      </c>
      <c r="N38" s="14" t="s">
        <v>21</v>
      </c>
    </row>
    <row r="42" spans="1:14" ht="32" customHeight="1" x14ac:dyDescent="0.35">
      <c r="A42" s="109" t="s">
        <v>206</v>
      </c>
      <c r="B42" s="109"/>
      <c r="C42" s="109"/>
      <c r="D42" s="109"/>
    </row>
  </sheetData>
  <mergeCells count="1">
    <mergeCell ref="A42:D42"/>
  </mergeCells>
  <conditionalFormatting sqref="C2:C38">
    <cfRule type="expression" dxfId="31" priority="14">
      <formula>LEFT($C2,7)="CAT III"</formula>
    </cfRule>
    <cfRule type="expression" dxfId="30" priority="15">
      <formula>LEFT($C2,6)="CAT II"</formula>
    </cfRule>
    <cfRule type="expression" dxfId="29" priority="16">
      <formula>LEFT($C2,5)="CAT I"</formula>
    </cfRule>
  </conditionalFormatting>
  <conditionalFormatting sqref="E2:E38">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F2:F38">
    <cfRule type="cellIs" dxfId="24" priority="5" operator="equal">
      <formula>"Low"</formula>
    </cfRule>
    <cfRule type="cellIs" dxfId="23" priority="6" operator="equal">
      <formula>"Medium"</formula>
    </cfRule>
    <cfRule type="cellIs" dxfId="22" priority="7" operator="equal">
      <formula>"High"</formula>
    </cfRule>
  </conditionalFormatting>
  <conditionalFormatting sqref="H2:H38">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E2:E38" xr:uid="{00000000-0002-0000-0200-000000000000}">
      <formula1>"Must,Should,Could,Won't,Unassigned"</formula1>
    </dataValidation>
    <dataValidation type="list" showErrorMessage="1" errorTitle="Invalid Value" error="Please select a value from the list: Low, Medium, High, Unassessed." sqref="F2:F38" xr:uid="{00000000-0002-0000-0200-000001000000}">
      <formula1>"Low,Medium,High,Unassessed"</formula1>
    </dataValidation>
    <dataValidation type="list" showErrorMessage="1" errorTitle="Invalid Value" error="Please select a value from the list: Phase1, Phase2, Phase3, Phase4, Phase5, Pending." sqref="G2:G3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38" xr:uid="{00000000-0002-0000-0200-000003000000}">
      <formula1>"Implemented,Testing,Failed,Compensated,Risk Accepted,N/A"</formula1>
    </dataValidation>
  </dataValidations>
  <hyperlinks>
    <hyperlink ref="A4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6" t="s">
        <v>340</v>
      </c>
      <c r="C2" s="126" t="s">
        <v>340</v>
      </c>
      <c r="D2" s="126" t="s">
        <v>340</v>
      </c>
      <c r="E2" s="126" t="s">
        <v>340</v>
      </c>
      <c r="F2" s="126" t="s">
        <v>340</v>
      </c>
      <c r="G2" s="126" t="s">
        <v>340</v>
      </c>
      <c r="H2" s="130" t="s">
        <v>341</v>
      </c>
      <c r="I2" s="130" t="s">
        <v>341</v>
      </c>
      <c r="J2" s="130" t="s">
        <v>341</v>
      </c>
      <c r="K2" s="130" t="s">
        <v>341</v>
      </c>
      <c r="L2" s="130" t="s">
        <v>341</v>
      </c>
      <c r="M2" s="129" t="s">
        <v>342</v>
      </c>
      <c r="N2" s="129" t="s">
        <v>342</v>
      </c>
      <c r="O2" s="131" t="s">
        <v>343</v>
      </c>
      <c r="P2" s="131" t="s">
        <v>343</v>
      </c>
      <c r="Q2" s="127" t="s">
        <v>12</v>
      </c>
      <c r="R2" s="127" t="s">
        <v>12</v>
      </c>
      <c r="S2" s="127" t="s">
        <v>12</v>
      </c>
      <c r="T2" s="128" t="s">
        <v>344</v>
      </c>
    </row>
    <row r="3" spans="2:20" ht="35" customHeight="1" x14ac:dyDescent="0.35">
      <c r="B3" s="73" t="s">
        <v>345</v>
      </c>
      <c r="C3" s="73" t="s">
        <v>346</v>
      </c>
      <c r="D3" s="73" t="s">
        <v>347</v>
      </c>
      <c r="E3" s="73" t="s">
        <v>348</v>
      </c>
      <c r="F3" s="73" t="s">
        <v>349</v>
      </c>
      <c r="G3" s="73" t="s">
        <v>10</v>
      </c>
      <c r="H3" s="74" t="s">
        <v>350</v>
      </c>
      <c r="I3" s="74" t="s">
        <v>351</v>
      </c>
      <c r="J3" s="74" t="s">
        <v>352</v>
      </c>
      <c r="K3" s="74" t="s">
        <v>353</v>
      </c>
      <c r="L3" s="74" t="s">
        <v>284</v>
      </c>
      <c r="M3" s="75" t="s">
        <v>354</v>
      </c>
      <c r="N3" s="75" t="s">
        <v>355</v>
      </c>
      <c r="O3" s="76" t="s">
        <v>356</v>
      </c>
      <c r="P3" s="76" t="s">
        <v>357</v>
      </c>
      <c r="Q3" s="77" t="s">
        <v>12</v>
      </c>
      <c r="R3" s="77" t="s">
        <v>358</v>
      </c>
      <c r="S3" s="77" t="s">
        <v>359</v>
      </c>
      <c r="T3" s="78" t="s">
        <v>360</v>
      </c>
    </row>
    <row r="4" spans="2:20" ht="60" customHeight="1" x14ac:dyDescent="0.35">
      <c r="B4" s="79" t="s">
        <v>361</v>
      </c>
      <c r="C4" s="79" t="s">
        <v>362</v>
      </c>
      <c r="D4" s="79" t="s">
        <v>363</v>
      </c>
      <c r="E4" s="79" t="s">
        <v>364</v>
      </c>
      <c r="F4" s="79" t="s">
        <v>365</v>
      </c>
      <c r="G4" s="79" t="s">
        <v>366</v>
      </c>
      <c r="H4" s="79" t="s">
        <v>367</v>
      </c>
      <c r="I4" s="79" t="s">
        <v>368</v>
      </c>
      <c r="J4" s="79" t="s">
        <v>369</v>
      </c>
      <c r="K4" s="79" t="s">
        <v>370</v>
      </c>
      <c r="L4" s="79" t="s">
        <v>371</v>
      </c>
      <c r="M4" s="79" t="s">
        <v>372</v>
      </c>
      <c r="N4" s="79" t="s">
        <v>373</v>
      </c>
      <c r="O4" s="79" t="s">
        <v>374</v>
      </c>
      <c r="P4" s="79" t="s">
        <v>375</v>
      </c>
      <c r="Q4" s="79" t="s">
        <v>376</v>
      </c>
      <c r="R4" s="79" t="s">
        <v>377</v>
      </c>
      <c r="S4" s="79" t="s">
        <v>378</v>
      </c>
      <c r="T4" s="79" t="s">
        <v>379</v>
      </c>
    </row>
    <row r="5" spans="2:20" ht="60" customHeight="1" x14ac:dyDescent="0.35">
      <c r="B5" s="41" t="s">
        <v>380</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381</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382</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383</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384</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385</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386</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387</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388</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389</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390</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391</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392</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393</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394</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395</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396</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397</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398</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399</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400</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401</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402</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403</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404</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405</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406</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407</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408</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409</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410</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411</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412</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413</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414</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415</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416</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417</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418</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419</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420</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421</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422</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423</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424</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425</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426</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427</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428</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429</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109" t="s">
        <v>206</v>
      </c>
      <c r="C58" s="109"/>
      <c r="D58" s="109"/>
      <c r="E58" s="109"/>
      <c r="F58" s="109"/>
      <c r="G58" s="109"/>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430</v>
      </c>
      <c r="B1" s="107" t="s">
        <v>0</v>
      </c>
      <c r="C1" s="107" t="s">
        <v>431</v>
      </c>
      <c r="D1" s="107" t="s">
        <v>10</v>
      </c>
      <c r="E1" s="107" t="s">
        <v>432</v>
      </c>
      <c r="F1" s="107" t="s">
        <v>433</v>
      </c>
      <c r="G1" s="107" t="s">
        <v>434</v>
      </c>
      <c r="H1" s="107" t="s">
        <v>435</v>
      </c>
      <c r="I1" s="107" t="s">
        <v>436</v>
      </c>
      <c r="J1" s="107" t="s">
        <v>437</v>
      </c>
      <c r="K1" s="107" t="s">
        <v>438</v>
      </c>
      <c r="L1" s="107" t="s">
        <v>439</v>
      </c>
      <c r="M1" s="107" t="s">
        <v>440</v>
      </c>
      <c r="N1" s="107" t="s">
        <v>441</v>
      </c>
      <c r="O1" s="107" t="s">
        <v>442</v>
      </c>
      <c r="P1" s="107" t="s">
        <v>443</v>
      </c>
      <c r="Q1" s="107" t="s">
        <v>444</v>
      </c>
      <c r="R1" s="107" t="s">
        <v>445</v>
      </c>
      <c r="S1" s="107" t="s">
        <v>446</v>
      </c>
      <c r="T1" s="107" t="s">
        <v>447</v>
      </c>
      <c r="U1" s="107" t="s">
        <v>448</v>
      </c>
      <c r="V1" s="107" t="s">
        <v>449</v>
      </c>
      <c r="W1" s="107" t="s">
        <v>450</v>
      </c>
      <c r="X1" s="107" t="s">
        <v>451</v>
      </c>
      <c r="Y1" s="107" t="s">
        <v>452</v>
      </c>
      <c r="Z1" s="107" t="s">
        <v>453</v>
      </c>
      <c r="AA1" s="107" t="s">
        <v>454</v>
      </c>
      <c r="AB1" s="107" t="s">
        <v>455</v>
      </c>
      <c r="AC1" s="107" t="s">
        <v>456</v>
      </c>
      <c r="AD1" s="107" t="s">
        <v>457</v>
      </c>
      <c r="AE1" s="107" t="s">
        <v>458</v>
      </c>
      <c r="AF1" s="107" t="s">
        <v>459</v>
      </c>
      <c r="AG1" s="107" t="s">
        <v>460</v>
      </c>
      <c r="AH1" s="107" t="s">
        <v>461</v>
      </c>
      <c r="AI1" s="107" t="s">
        <v>462</v>
      </c>
      <c r="AJ1" s="107" t="s">
        <v>463</v>
      </c>
      <c r="AK1" s="107" t="s">
        <v>464</v>
      </c>
      <c r="AL1" s="107" t="s">
        <v>465</v>
      </c>
      <c r="AM1" s="107" t="s">
        <v>466</v>
      </c>
      <c r="AN1" s="107" t="s">
        <v>467</v>
      </c>
      <c r="AO1" s="107" t="s">
        <v>468</v>
      </c>
      <c r="AP1" s="107" t="s">
        <v>469</v>
      </c>
      <c r="AQ1" s="107" t="s">
        <v>470</v>
      </c>
      <c r="AR1" s="107" t="s">
        <v>471</v>
      </c>
      <c r="AS1" s="107" t="s">
        <v>472</v>
      </c>
      <c r="AT1" s="107" t="s">
        <v>473</v>
      </c>
      <c r="AU1" s="107" t="s">
        <v>474</v>
      </c>
      <c r="AV1" s="107" t="s">
        <v>475</v>
      </c>
      <c r="AW1" s="108" t="s">
        <v>476</v>
      </c>
    </row>
    <row r="2" spans="1:49" ht="60" customHeight="1" outlineLevel="1" x14ac:dyDescent="0.35">
      <c r="A2" s="100" t="s">
        <v>477</v>
      </c>
      <c r="B2" s="83">
        <v>1</v>
      </c>
      <c r="C2" s="85" t="s">
        <v>21</v>
      </c>
      <c r="D2" s="87" t="s">
        <v>478</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477</v>
      </c>
      <c r="B3" s="84" t="s">
        <v>479</v>
      </c>
      <c r="C3" s="86" t="s">
        <v>480</v>
      </c>
      <c r="D3" s="88" t="s">
        <v>481</v>
      </c>
      <c r="E3" s="88" t="s">
        <v>482</v>
      </c>
      <c r="F3" s="89" t="s">
        <v>483</v>
      </c>
      <c r="G3" s="89" t="s">
        <v>484</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477</v>
      </c>
      <c r="B4" s="84" t="s">
        <v>485</v>
      </c>
      <c r="C4" s="86" t="s">
        <v>486</v>
      </c>
      <c r="D4" s="88" t="s">
        <v>487</v>
      </c>
      <c r="E4" s="88" t="s">
        <v>488</v>
      </c>
      <c r="F4" s="89" t="s">
        <v>483</v>
      </c>
      <c r="G4" s="89" t="s">
        <v>489</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477</v>
      </c>
      <c r="B5" s="84" t="s">
        <v>490</v>
      </c>
      <c r="C5" s="86" t="s">
        <v>491</v>
      </c>
      <c r="D5" s="88" t="s">
        <v>492</v>
      </c>
      <c r="E5" s="88" t="s">
        <v>493</v>
      </c>
      <c r="F5" s="89" t="s">
        <v>483</v>
      </c>
      <c r="G5" s="89" t="s">
        <v>494</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477</v>
      </c>
      <c r="B6" s="84" t="s">
        <v>495</v>
      </c>
      <c r="C6" s="86" t="s">
        <v>496</v>
      </c>
      <c r="D6" s="88" t="s">
        <v>497</v>
      </c>
      <c r="E6" s="88" t="s">
        <v>498</v>
      </c>
      <c r="F6" s="89" t="s">
        <v>483</v>
      </c>
      <c r="G6" s="89" t="s">
        <v>484</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477</v>
      </c>
      <c r="B7" s="84" t="s">
        <v>499</v>
      </c>
      <c r="C7" s="86" t="s">
        <v>500</v>
      </c>
      <c r="D7" s="88" t="s">
        <v>501</v>
      </c>
      <c r="E7" s="88" t="s">
        <v>502</v>
      </c>
      <c r="F7" s="89" t="s">
        <v>483</v>
      </c>
      <c r="G7" s="89" t="s">
        <v>494</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503</v>
      </c>
      <c r="B8" s="83">
        <v>2</v>
      </c>
      <c r="C8" s="85" t="s">
        <v>21</v>
      </c>
      <c r="D8" s="87" t="s">
        <v>504</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503</v>
      </c>
      <c r="B9" s="84" t="s">
        <v>505</v>
      </c>
      <c r="C9" s="86" t="s">
        <v>506</v>
      </c>
      <c r="D9" s="88" t="s">
        <v>507</v>
      </c>
      <c r="E9" s="88" t="s">
        <v>508</v>
      </c>
      <c r="F9" s="89" t="s">
        <v>509</v>
      </c>
      <c r="G9" s="89" t="s">
        <v>484</v>
      </c>
      <c r="H9" s="89">
        <v>1</v>
      </c>
      <c r="I9" s="91">
        <f>IF(COUNTIF(J9:AW9,"&lt;&gt;")=0,"",SUMPRODUCT(((Recommendations[ImplStatus]="Implemented")+(Recommendations[ImplStatus]="Compensated"))*ISNUMBER(MATCH(Recommendations[Id],J9:AW9,0)))/COUNTIF(J9:AW9,"&lt;&gt;"))</f>
        <v>0</v>
      </c>
      <c r="J9" s="93" t="s">
        <v>126</v>
      </c>
      <c r="K9" s="93" t="s">
        <v>166</v>
      </c>
      <c r="L9" s="93" t="s">
        <v>171</v>
      </c>
      <c r="M9" s="93" t="s">
        <v>191</v>
      </c>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503</v>
      </c>
      <c r="B10" s="84" t="s">
        <v>510</v>
      </c>
      <c r="C10" s="86" t="s">
        <v>511</v>
      </c>
      <c r="D10" s="88" t="s">
        <v>512</v>
      </c>
      <c r="E10" s="88" t="s">
        <v>513</v>
      </c>
      <c r="F10" s="89" t="s">
        <v>509</v>
      </c>
      <c r="G10" s="89" t="s">
        <v>484</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503</v>
      </c>
      <c r="B11" s="84" t="s">
        <v>514</v>
      </c>
      <c r="C11" s="86" t="s">
        <v>515</v>
      </c>
      <c r="D11" s="88" t="s">
        <v>516</v>
      </c>
      <c r="E11" s="88" t="s">
        <v>517</v>
      </c>
      <c r="F11" s="89" t="s">
        <v>509</v>
      </c>
      <c r="G11" s="89" t="s">
        <v>489</v>
      </c>
      <c r="H11" s="89">
        <v>1</v>
      </c>
      <c r="I11" s="91">
        <f>IF(COUNTIF(J11:AW11,"&lt;&gt;")=0,"",SUMPRODUCT(((Recommendations[ImplStatus]="Implemented")+(Recommendations[ImplStatus]="Compensated"))*ISNUMBER(MATCH(Recommendations[Id],J11:AW11,0)))/COUNTIF(J11:AW11,"&lt;&gt;"))</f>
        <v>0</v>
      </c>
      <c r="J11" s="93" t="s">
        <v>146</v>
      </c>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503</v>
      </c>
      <c r="B12" s="84" t="s">
        <v>518</v>
      </c>
      <c r="C12" s="86" t="s">
        <v>519</v>
      </c>
      <c r="D12" s="88" t="s">
        <v>520</v>
      </c>
      <c r="E12" s="88" t="s">
        <v>521</v>
      </c>
      <c r="F12" s="89" t="s">
        <v>509</v>
      </c>
      <c r="G12" s="89" t="s">
        <v>494</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503</v>
      </c>
      <c r="B13" s="84" t="s">
        <v>522</v>
      </c>
      <c r="C13" s="86" t="s">
        <v>523</v>
      </c>
      <c r="D13" s="88" t="s">
        <v>524</v>
      </c>
      <c r="E13" s="88" t="s">
        <v>525</v>
      </c>
      <c r="F13" s="89" t="s">
        <v>509</v>
      </c>
      <c r="G13" s="89" t="s">
        <v>526</v>
      </c>
      <c r="H13" s="89">
        <v>2</v>
      </c>
      <c r="I13" s="91">
        <f>IF(COUNTIF(J13:AW13,"&lt;&gt;")=0,"",SUMPRODUCT(((Recommendations[ImplStatus]="Implemented")+(Recommendations[ImplStatus]="Compensated"))*ISNUMBER(MATCH(Recommendations[Id],J13:AW13,0)))/COUNTIF(J13:AW13,"&lt;&gt;"))</f>
        <v>0</v>
      </c>
      <c r="J13" s="93" t="s">
        <v>111</v>
      </c>
      <c r="K13" s="93" t="s">
        <v>116</v>
      </c>
      <c r="L13" s="93" t="s">
        <v>161</v>
      </c>
      <c r="M13" s="93" t="s">
        <v>176</v>
      </c>
      <c r="N13" s="93" t="s">
        <v>181</v>
      </c>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503</v>
      </c>
      <c r="B14" s="84" t="s">
        <v>527</v>
      </c>
      <c r="C14" s="86" t="s">
        <v>528</v>
      </c>
      <c r="D14" s="88" t="s">
        <v>529</v>
      </c>
      <c r="E14" s="88" t="s">
        <v>530</v>
      </c>
      <c r="F14" s="89" t="s">
        <v>509</v>
      </c>
      <c r="G14" s="89" t="s">
        <v>526</v>
      </c>
      <c r="H14" s="89">
        <v>2</v>
      </c>
      <c r="I14" s="91">
        <f>IF(COUNTIF(J14:AW14,"&lt;&gt;")=0,"",SUMPRODUCT(((Recommendations[ImplStatus]="Implemented")+(Recommendations[ImplStatus]="Compensated"))*ISNUMBER(MATCH(Recommendations[Id],J14:AW14,0)))/COUNTIF(J14:AW14,"&lt;&gt;"))</f>
        <v>0</v>
      </c>
      <c r="J14" s="93" t="s">
        <v>111</v>
      </c>
      <c r="K14" s="93" t="s">
        <v>116</v>
      </c>
      <c r="L14" s="93" t="s">
        <v>161</v>
      </c>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503</v>
      </c>
      <c r="B15" s="84" t="s">
        <v>531</v>
      </c>
      <c r="C15" s="86" t="s">
        <v>532</v>
      </c>
      <c r="D15" s="88" t="s">
        <v>533</v>
      </c>
      <c r="E15" s="88" t="s">
        <v>534</v>
      </c>
      <c r="F15" s="89" t="s">
        <v>509</v>
      </c>
      <c r="G15" s="89" t="s">
        <v>526</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535</v>
      </c>
      <c r="B16" s="83">
        <v>3</v>
      </c>
      <c r="C16" s="85" t="s">
        <v>21</v>
      </c>
      <c r="D16" s="87" t="s">
        <v>536</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535</v>
      </c>
      <c r="B17" s="84" t="s">
        <v>537</v>
      </c>
      <c r="C17" s="86" t="s">
        <v>538</v>
      </c>
      <c r="D17" s="88" t="s">
        <v>539</v>
      </c>
      <c r="E17" s="88" t="s">
        <v>540</v>
      </c>
      <c r="F17" s="89" t="s">
        <v>541</v>
      </c>
      <c r="G17" s="89" t="s">
        <v>542</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535</v>
      </c>
      <c r="B18" s="84" t="s">
        <v>543</v>
      </c>
      <c r="C18" s="86" t="s">
        <v>544</v>
      </c>
      <c r="D18" s="88" t="s">
        <v>545</v>
      </c>
      <c r="E18" s="88" t="s">
        <v>546</v>
      </c>
      <c r="F18" s="89" t="s">
        <v>541</v>
      </c>
      <c r="G18" s="89" t="s">
        <v>484</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535</v>
      </c>
      <c r="B19" s="84" t="s">
        <v>547</v>
      </c>
      <c r="C19" s="86" t="s">
        <v>548</v>
      </c>
      <c r="D19" s="88" t="s">
        <v>549</v>
      </c>
      <c r="E19" s="88" t="s">
        <v>550</v>
      </c>
      <c r="F19" s="89" t="s">
        <v>541</v>
      </c>
      <c r="G19" s="89" t="s">
        <v>526</v>
      </c>
      <c r="H19" s="89">
        <v>1</v>
      </c>
      <c r="I19" s="91" t="str">
        <f>IF(COUNTIF(J19:AW19,"&lt;&gt;")=0,"",SUMPRODUCT(((Recommendations[ImplStatus]="Implemented")+(Recommendations[ImplStatus]="Compensated"))*ISNUMBER(MATCH(Recommendations[Id],J19:AW19,0)))/COUNTIF(J19:AW19,"&lt;&gt;"))</f>
        <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535</v>
      </c>
      <c r="B20" s="84" t="s">
        <v>551</v>
      </c>
      <c r="C20" s="86" t="s">
        <v>552</v>
      </c>
      <c r="D20" s="88" t="s">
        <v>553</v>
      </c>
      <c r="E20" s="88" t="s">
        <v>554</v>
      </c>
      <c r="F20" s="89" t="s">
        <v>541</v>
      </c>
      <c r="G20" s="89" t="s">
        <v>526</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535</v>
      </c>
      <c r="B21" s="84" t="s">
        <v>555</v>
      </c>
      <c r="C21" s="86" t="s">
        <v>556</v>
      </c>
      <c r="D21" s="88" t="s">
        <v>557</v>
      </c>
      <c r="E21" s="88" t="s">
        <v>558</v>
      </c>
      <c r="F21" s="89" t="s">
        <v>541</v>
      </c>
      <c r="G21" s="89" t="s">
        <v>526</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535</v>
      </c>
      <c r="B22" s="84" t="s">
        <v>559</v>
      </c>
      <c r="C22" s="86" t="s">
        <v>560</v>
      </c>
      <c r="D22" s="88" t="s">
        <v>561</v>
      </c>
      <c r="E22" s="88" t="s">
        <v>562</v>
      </c>
      <c r="F22" s="89" t="s">
        <v>541</v>
      </c>
      <c r="G22" s="89" t="s">
        <v>526</v>
      </c>
      <c r="H22" s="89">
        <v>1</v>
      </c>
      <c r="I22" s="91">
        <f>IF(COUNTIF(J22:AW22,"&lt;&gt;")=0,"",SUMPRODUCT(((Recommendations[ImplStatus]="Implemented")+(Recommendations[ImplStatus]="Compensated"))*ISNUMBER(MATCH(Recommendations[Id],J22:AW22,0)))/COUNTIF(J22:AW22,"&lt;&gt;"))</f>
        <v>0</v>
      </c>
      <c r="J22" s="93" t="s">
        <v>121</v>
      </c>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535</v>
      </c>
      <c r="B23" s="84" t="s">
        <v>563</v>
      </c>
      <c r="C23" s="86" t="s">
        <v>564</v>
      </c>
      <c r="D23" s="88" t="s">
        <v>565</v>
      </c>
      <c r="E23" s="88" t="s">
        <v>566</v>
      </c>
      <c r="F23" s="89" t="s">
        <v>541</v>
      </c>
      <c r="G23" s="89" t="s">
        <v>484</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535</v>
      </c>
      <c r="B24" s="84" t="s">
        <v>567</v>
      </c>
      <c r="C24" s="86" t="s">
        <v>568</v>
      </c>
      <c r="D24" s="88" t="s">
        <v>569</v>
      </c>
      <c r="E24" s="88" t="s">
        <v>570</v>
      </c>
      <c r="F24" s="89" t="s">
        <v>541</v>
      </c>
      <c r="G24" s="89" t="s">
        <v>484</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535</v>
      </c>
      <c r="B25" s="84" t="s">
        <v>571</v>
      </c>
      <c r="C25" s="86" t="s">
        <v>572</v>
      </c>
      <c r="D25" s="88" t="s">
        <v>573</v>
      </c>
      <c r="E25" s="88" t="s">
        <v>574</v>
      </c>
      <c r="F25" s="89" t="s">
        <v>541</v>
      </c>
      <c r="G25" s="89" t="s">
        <v>526</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535</v>
      </c>
      <c r="B26" s="84" t="s">
        <v>575</v>
      </c>
      <c r="C26" s="86" t="s">
        <v>576</v>
      </c>
      <c r="D26" s="88" t="s">
        <v>577</v>
      </c>
      <c r="E26" s="88" t="s">
        <v>578</v>
      </c>
      <c r="F26" s="89" t="s">
        <v>541</v>
      </c>
      <c r="G26" s="89" t="s">
        <v>526</v>
      </c>
      <c r="H26" s="89">
        <v>2</v>
      </c>
      <c r="I26" s="91">
        <f>IF(COUNTIF(J26:AW26,"&lt;&gt;")=0,"",SUMPRODUCT(((Recommendations[ImplStatus]="Implemented")+(Recommendations[ImplStatus]="Compensated"))*ISNUMBER(MATCH(Recommendations[Id],J26:AW26,0)))/COUNTIF(J26:AW26,"&lt;&gt;"))</f>
        <v>0</v>
      </c>
      <c r="J26" s="93" t="s">
        <v>156</v>
      </c>
      <c r="K26" s="93" t="s">
        <v>196</v>
      </c>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535</v>
      </c>
      <c r="B27" s="84" t="s">
        <v>579</v>
      </c>
      <c r="C27" s="86" t="s">
        <v>580</v>
      </c>
      <c r="D27" s="88" t="s">
        <v>581</v>
      </c>
      <c r="E27" s="88" t="s">
        <v>582</v>
      </c>
      <c r="F27" s="89" t="s">
        <v>541</v>
      </c>
      <c r="G27" s="89" t="s">
        <v>526</v>
      </c>
      <c r="H27" s="89">
        <v>2</v>
      </c>
      <c r="I27" s="91">
        <f>IF(COUNTIF(J27:AW27,"&lt;&gt;")=0,"",SUMPRODUCT(((Recommendations[ImplStatus]="Implemented")+(Recommendations[ImplStatus]="Compensated"))*ISNUMBER(MATCH(Recommendations[Id],J27:AW27,0)))/COUNTIF(J27:AW27,"&lt;&gt;"))</f>
        <v>0</v>
      </c>
      <c r="J27" s="93" t="s">
        <v>121</v>
      </c>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535</v>
      </c>
      <c r="B28" s="84" t="s">
        <v>583</v>
      </c>
      <c r="C28" s="86" t="s">
        <v>584</v>
      </c>
      <c r="D28" s="88" t="s">
        <v>585</v>
      </c>
      <c r="E28" s="88" t="s">
        <v>586</v>
      </c>
      <c r="F28" s="89" t="s">
        <v>541</v>
      </c>
      <c r="G28" s="89" t="s">
        <v>526</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535</v>
      </c>
      <c r="B29" s="84" t="s">
        <v>587</v>
      </c>
      <c r="C29" s="86" t="s">
        <v>588</v>
      </c>
      <c r="D29" s="88" t="s">
        <v>589</v>
      </c>
      <c r="E29" s="88" t="s">
        <v>590</v>
      </c>
      <c r="F29" s="89" t="s">
        <v>541</v>
      </c>
      <c r="G29" s="89" t="s">
        <v>526</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535</v>
      </c>
      <c r="B30" s="84" t="s">
        <v>591</v>
      </c>
      <c r="C30" s="86" t="s">
        <v>592</v>
      </c>
      <c r="D30" s="88" t="s">
        <v>593</v>
      </c>
      <c r="E30" s="88" t="s">
        <v>594</v>
      </c>
      <c r="F30" s="89" t="s">
        <v>541</v>
      </c>
      <c r="G30" s="89" t="s">
        <v>494</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595</v>
      </c>
      <c r="B31" s="83">
        <v>4</v>
      </c>
      <c r="C31" s="85" t="s">
        <v>21</v>
      </c>
      <c r="D31" s="87" t="s">
        <v>596</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595</v>
      </c>
      <c r="B32" s="84" t="s">
        <v>597</v>
      </c>
      <c r="C32" s="86" t="s">
        <v>598</v>
      </c>
      <c r="D32" s="88" t="s">
        <v>599</v>
      </c>
      <c r="E32" s="88" t="s">
        <v>600</v>
      </c>
      <c r="F32" s="89" t="s">
        <v>601</v>
      </c>
      <c r="G32" s="89" t="s">
        <v>542</v>
      </c>
      <c r="H32" s="89">
        <v>1</v>
      </c>
      <c r="I32" s="91">
        <f>IF(COUNTIF(J32:AW32,"&lt;&gt;")=0,"",SUMPRODUCT(((Recommendations[ImplStatus]="Implemented")+(Recommendations[ImplStatus]="Compensated"))*ISNUMBER(MATCH(Recommendations[Id],J32:AW32,0)))/COUNTIF(J32:AW32,"&lt;&gt;"))</f>
        <v>0</v>
      </c>
      <c r="J32" s="93" t="s">
        <v>14</v>
      </c>
      <c r="K32" s="93" t="s">
        <v>25</v>
      </c>
      <c r="L32" s="93" t="s">
        <v>40</v>
      </c>
      <c r="M32" s="93" t="s">
        <v>65</v>
      </c>
      <c r="N32" s="93" t="s">
        <v>75</v>
      </c>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595</v>
      </c>
      <c r="B33" s="84" t="s">
        <v>602</v>
      </c>
      <c r="C33" s="86" t="s">
        <v>603</v>
      </c>
      <c r="D33" s="88" t="s">
        <v>604</v>
      </c>
      <c r="E33" s="88" t="s">
        <v>605</v>
      </c>
      <c r="F33" s="89" t="s">
        <v>601</v>
      </c>
      <c r="G33" s="89" t="s">
        <v>542</v>
      </c>
      <c r="H33" s="89">
        <v>1</v>
      </c>
      <c r="I33" s="91">
        <f>IF(COUNTIF(J33:AW33,"&lt;&gt;")=0,"",SUMPRODUCT(((Recommendations[ImplStatus]="Implemented")+(Recommendations[ImplStatus]="Compensated"))*ISNUMBER(MATCH(Recommendations[Id],J33:AW33,0)))/COUNTIF(J33:AW33,"&lt;&gt;"))</f>
        <v>0</v>
      </c>
      <c r="J33" s="93" t="s">
        <v>14</v>
      </c>
      <c r="K33" s="93" t="s">
        <v>25</v>
      </c>
      <c r="L33" s="93" t="s">
        <v>40</v>
      </c>
      <c r="M33" s="93" t="s">
        <v>65</v>
      </c>
      <c r="N33" s="93" t="s">
        <v>75</v>
      </c>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595</v>
      </c>
      <c r="B34" s="84" t="s">
        <v>606</v>
      </c>
      <c r="C34" s="86" t="s">
        <v>607</v>
      </c>
      <c r="D34" s="88" t="s">
        <v>608</v>
      </c>
      <c r="E34" s="88" t="s">
        <v>609</v>
      </c>
      <c r="F34" s="89" t="s">
        <v>483</v>
      </c>
      <c r="G34" s="89" t="s">
        <v>526</v>
      </c>
      <c r="H34" s="89">
        <v>1</v>
      </c>
      <c r="I34" s="91">
        <f>IF(COUNTIF(J34:AW34,"&lt;&gt;")=0,"",SUMPRODUCT(((Recommendations[ImplStatus]="Implemented")+(Recommendations[ImplStatus]="Compensated"))*ISNUMBER(MATCH(Recommendations[Id],J34:AW34,0)))/COUNTIF(J34:AW34,"&lt;&gt;"))</f>
        <v>0</v>
      </c>
      <c r="J34" s="93" t="s">
        <v>101</v>
      </c>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595</v>
      </c>
      <c r="B35" s="84" t="s">
        <v>610</v>
      </c>
      <c r="C35" s="86" t="s">
        <v>611</v>
      </c>
      <c r="D35" s="88" t="s">
        <v>612</v>
      </c>
      <c r="E35" s="88" t="s">
        <v>613</v>
      </c>
      <c r="F35" s="89" t="s">
        <v>483</v>
      </c>
      <c r="G35" s="89" t="s">
        <v>526</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595</v>
      </c>
      <c r="B36" s="84" t="s">
        <v>614</v>
      </c>
      <c r="C36" s="86" t="s">
        <v>615</v>
      </c>
      <c r="D36" s="88" t="s">
        <v>616</v>
      </c>
      <c r="E36" s="88" t="s">
        <v>617</v>
      </c>
      <c r="F36" s="89" t="s">
        <v>483</v>
      </c>
      <c r="G36" s="89" t="s">
        <v>526</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595</v>
      </c>
      <c r="B37" s="84" t="s">
        <v>618</v>
      </c>
      <c r="C37" s="86" t="s">
        <v>619</v>
      </c>
      <c r="D37" s="88" t="s">
        <v>620</v>
      </c>
      <c r="E37" s="88" t="s">
        <v>621</v>
      </c>
      <c r="F37" s="89" t="s">
        <v>483</v>
      </c>
      <c r="G37" s="89" t="s">
        <v>526</v>
      </c>
      <c r="H37" s="89">
        <v>1</v>
      </c>
      <c r="I37" s="91">
        <f>IF(COUNTIF(J37:AW37,"&lt;&gt;")=0,"",SUMPRODUCT(((Recommendations[ImplStatus]="Implemented")+(Recommendations[ImplStatus]="Compensated"))*ISNUMBER(MATCH(Recommendations[Id],J37:AW37,0)))/COUNTIF(J37:AW37,"&lt;&gt;"))</f>
        <v>0</v>
      </c>
      <c r="J37" s="93" t="s">
        <v>126</v>
      </c>
      <c r="K37" s="93" t="s">
        <v>166</v>
      </c>
      <c r="L37" s="93" t="s">
        <v>171</v>
      </c>
      <c r="M37" s="93" t="s">
        <v>191</v>
      </c>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595</v>
      </c>
      <c r="B38" s="84" t="s">
        <v>622</v>
      </c>
      <c r="C38" s="86" t="s">
        <v>623</v>
      </c>
      <c r="D38" s="88" t="s">
        <v>624</v>
      </c>
      <c r="E38" s="88" t="s">
        <v>625</v>
      </c>
      <c r="F38" s="89" t="s">
        <v>626</v>
      </c>
      <c r="G38" s="89" t="s">
        <v>526</v>
      </c>
      <c r="H38" s="89">
        <v>1</v>
      </c>
      <c r="I38" s="91">
        <f>IF(COUNTIF(J38:AW38,"&lt;&gt;")=0,"",SUMPRODUCT(((Recommendations[ImplStatus]="Implemented")+(Recommendations[ImplStatus]="Compensated"))*ISNUMBER(MATCH(Recommendations[Id],J38:AW38,0)))/COUNTIF(J38:AW38,"&lt;&gt;"))</f>
        <v>0</v>
      </c>
      <c r="J38" s="93" t="s">
        <v>96</v>
      </c>
      <c r="K38" s="93" t="s">
        <v>136</v>
      </c>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595</v>
      </c>
      <c r="B39" s="84" t="s">
        <v>627</v>
      </c>
      <c r="C39" s="86" t="s">
        <v>628</v>
      </c>
      <c r="D39" s="88" t="s">
        <v>629</v>
      </c>
      <c r="E39" s="88" t="s">
        <v>630</v>
      </c>
      <c r="F39" s="89" t="s">
        <v>483</v>
      </c>
      <c r="G39" s="89" t="s">
        <v>526</v>
      </c>
      <c r="H39" s="89">
        <v>2</v>
      </c>
      <c r="I39" s="91">
        <f>IF(COUNTIF(J39:AW39,"&lt;&gt;")=0,"",SUMPRODUCT(((Recommendations[ImplStatus]="Implemented")+(Recommendations[ImplStatus]="Compensated"))*ISNUMBER(MATCH(Recommendations[Id],J39:AW39,0)))/COUNTIF(J39:AW39,"&lt;&gt;"))</f>
        <v>0</v>
      </c>
      <c r="J39" s="93" t="s">
        <v>80</v>
      </c>
      <c r="K39" s="93" t="s">
        <v>131</v>
      </c>
      <c r="L39" s="93" t="s">
        <v>146</v>
      </c>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595</v>
      </c>
      <c r="B40" s="84" t="s">
        <v>631</v>
      </c>
      <c r="C40" s="86" t="s">
        <v>632</v>
      </c>
      <c r="D40" s="88" t="s">
        <v>633</v>
      </c>
      <c r="E40" s="88" t="s">
        <v>634</v>
      </c>
      <c r="F40" s="89" t="s">
        <v>483</v>
      </c>
      <c r="G40" s="89" t="s">
        <v>526</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595</v>
      </c>
      <c r="B41" s="84" t="s">
        <v>635</v>
      </c>
      <c r="C41" s="86" t="s">
        <v>636</v>
      </c>
      <c r="D41" s="88" t="s">
        <v>637</v>
      </c>
      <c r="E41" s="88" t="s">
        <v>638</v>
      </c>
      <c r="F41" s="89" t="s">
        <v>483</v>
      </c>
      <c r="G41" s="89" t="s">
        <v>526</v>
      </c>
      <c r="H41" s="89">
        <v>2</v>
      </c>
      <c r="I41" s="91">
        <f>IF(COUNTIF(J41:AW41,"&lt;&gt;")=0,"",SUMPRODUCT(((Recommendations[ImplStatus]="Implemented")+(Recommendations[ImplStatus]="Compensated"))*ISNUMBER(MATCH(Recommendations[Id],J41:AW41,0)))/COUNTIF(J41:AW41,"&lt;&gt;"))</f>
        <v>0</v>
      </c>
      <c r="J41" s="93" t="s">
        <v>45</v>
      </c>
      <c r="K41" s="93" t="s">
        <v>50</v>
      </c>
      <c r="L41" s="93" t="s">
        <v>101</v>
      </c>
      <c r="M41" s="93" t="s">
        <v>106</v>
      </c>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595</v>
      </c>
      <c r="B42" s="84" t="s">
        <v>639</v>
      </c>
      <c r="C42" s="86" t="s">
        <v>640</v>
      </c>
      <c r="D42" s="88" t="s">
        <v>641</v>
      </c>
      <c r="E42" s="88" t="s">
        <v>642</v>
      </c>
      <c r="F42" s="89" t="s">
        <v>541</v>
      </c>
      <c r="G42" s="89" t="s">
        <v>526</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595</v>
      </c>
      <c r="B43" s="84" t="s">
        <v>643</v>
      </c>
      <c r="C43" s="86" t="s">
        <v>644</v>
      </c>
      <c r="D43" s="88" t="s">
        <v>645</v>
      </c>
      <c r="E43" s="88" t="s">
        <v>646</v>
      </c>
      <c r="F43" s="89" t="s">
        <v>541</v>
      </c>
      <c r="G43" s="89" t="s">
        <v>526</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647</v>
      </c>
      <c r="B44" s="83">
        <v>5</v>
      </c>
      <c r="C44" s="85" t="s">
        <v>21</v>
      </c>
      <c r="D44" s="87" t="s">
        <v>648</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647</v>
      </c>
      <c r="B45" s="84" t="s">
        <v>649</v>
      </c>
      <c r="C45" s="86" t="s">
        <v>650</v>
      </c>
      <c r="D45" s="88" t="s">
        <v>651</v>
      </c>
      <c r="E45" s="88" t="s">
        <v>652</v>
      </c>
      <c r="F45" s="89" t="s">
        <v>626</v>
      </c>
      <c r="G45" s="89" t="s">
        <v>484</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647</v>
      </c>
      <c r="B46" s="84" t="s">
        <v>653</v>
      </c>
      <c r="C46" s="86" t="s">
        <v>654</v>
      </c>
      <c r="D46" s="88" t="s">
        <v>655</v>
      </c>
      <c r="E46" s="88" t="s">
        <v>656</v>
      </c>
      <c r="F46" s="89" t="s">
        <v>626</v>
      </c>
      <c r="G46" s="89" t="s">
        <v>526</v>
      </c>
      <c r="H46" s="89">
        <v>1</v>
      </c>
      <c r="I46" s="91">
        <f>IF(COUNTIF(J46:AW46,"&lt;&gt;")=0,"",SUMPRODUCT(((Recommendations[ImplStatus]="Implemented")+(Recommendations[ImplStatus]="Compensated"))*ISNUMBER(MATCH(Recommendations[Id],J46:AW46,0)))/COUNTIF(J46:AW46,"&lt;&gt;"))</f>
        <v>0</v>
      </c>
      <c r="J46" s="93" t="s">
        <v>45</v>
      </c>
      <c r="K46" s="93" t="s">
        <v>50</v>
      </c>
      <c r="L46" s="93" t="s">
        <v>96</v>
      </c>
      <c r="M46" s="93" t="s">
        <v>106</v>
      </c>
      <c r="N46" s="93" t="s">
        <v>136</v>
      </c>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647</v>
      </c>
      <c r="B47" s="84" t="s">
        <v>657</v>
      </c>
      <c r="C47" s="86" t="s">
        <v>658</v>
      </c>
      <c r="D47" s="88" t="s">
        <v>659</v>
      </c>
      <c r="E47" s="88" t="s">
        <v>660</v>
      </c>
      <c r="F47" s="89" t="s">
        <v>626</v>
      </c>
      <c r="G47" s="89" t="s">
        <v>526</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647</v>
      </c>
      <c r="B48" s="84" t="s">
        <v>661</v>
      </c>
      <c r="C48" s="86" t="s">
        <v>662</v>
      </c>
      <c r="D48" s="88" t="s">
        <v>663</v>
      </c>
      <c r="E48" s="88" t="s">
        <v>664</v>
      </c>
      <c r="F48" s="89" t="s">
        <v>626</v>
      </c>
      <c r="G48" s="89" t="s">
        <v>526</v>
      </c>
      <c r="H48" s="89">
        <v>1</v>
      </c>
      <c r="I48" s="91" t="str">
        <f>IF(COUNTIF(J48:AW48,"&lt;&gt;")=0,"",SUMPRODUCT(((Recommendations[ImplStatus]="Implemented")+(Recommendations[ImplStatus]="Compensated"))*ISNUMBER(MATCH(Recommendations[Id],J48:AW48,0)))/COUNTIF(J48:AW48,"&lt;&gt;"))</f>
        <v/>
      </c>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647</v>
      </c>
      <c r="B49" s="84" t="s">
        <v>665</v>
      </c>
      <c r="C49" s="86" t="s">
        <v>666</v>
      </c>
      <c r="D49" s="88" t="s">
        <v>667</v>
      </c>
      <c r="E49" s="88" t="s">
        <v>668</v>
      </c>
      <c r="F49" s="89" t="s">
        <v>626</v>
      </c>
      <c r="G49" s="89" t="s">
        <v>484</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647</v>
      </c>
      <c r="B50" s="84" t="s">
        <v>669</v>
      </c>
      <c r="C50" s="86" t="s">
        <v>670</v>
      </c>
      <c r="D50" s="88" t="s">
        <v>671</v>
      </c>
      <c r="E50" s="88" t="s">
        <v>672</v>
      </c>
      <c r="F50" s="89" t="s">
        <v>626</v>
      </c>
      <c r="G50" s="89" t="s">
        <v>542</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673</v>
      </c>
      <c r="B51" s="83">
        <v>6</v>
      </c>
      <c r="C51" s="85" t="s">
        <v>21</v>
      </c>
      <c r="D51" s="87" t="s">
        <v>674</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673</v>
      </c>
      <c r="B52" s="84" t="s">
        <v>675</v>
      </c>
      <c r="C52" s="86" t="s">
        <v>676</v>
      </c>
      <c r="D52" s="88" t="s">
        <v>677</v>
      </c>
      <c r="E52" s="88" t="s">
        <v>678</v>
      </c>
      <c r="F52" s="89" t="s">
        <v>601</v>
      </c>
      <c r="G52" s="89" t="s">
        <v>542</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673</v>
      </c>
      <c r="B53" s="84" t="s">
        <v>679</v>
      </c>
      <c r="C53" s="86" t="s">
        <v>680</v>
      </c>
      <c r="D53" s="88" t="s">
        <v>681</v>
      </c>
      <c r="E53" s="88" t="s">
        <v>682</v>
      </c>
      <c r="F53" s="89" t="s">
        <v>601</v>
      </c>
      <c r="G53" s="89" t="s">
        <v>542</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673</v>
      </c>
      <c r="B54" s="84" t="s">
        <v>683</v>
      </c>
      <c r="C54" s="86" t="s">
        <v>684</v>
      </c>
      <c r="D54" s="88" t="s">
        <v>685</v>
      </c>
      <c r="E54" s="88" t="s">
        <v>686</v>
      </c>
      <c r="F54" s="89" t="s">
        <v>626</v>
      </c>
      <c r="G54" s="89" t="s">
        <v>526</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673</v>
      </c>
      <c r="B55" s="84" t="s">
        <v>687</v>
      </c>
      <c r="C55" s="86" t="s">
        <v>688</v>
      </c>
      <c r="D55" s="88" t="s">
        <v>689</v>
      </c>
      <c r="E55" s="88" t="s">
        <v>690</v>
      </c>
      <c r="F55" s="89" t="s">
        <v>626</v>
      </c>
      <c r="G55" s="89" t="s">
        <v>526</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673</v>
      </c>
      <c r="B56" s="84" t="s">
        <v>691</v>
      </c>
      <c r="C56" s="86" t="s">
        <v>692</v>
      </c>
      <c r="D56" s="88" t="s">
        <v>693</v>
      </c>
      <c r="E56" s="88" t="s">
        <v>694</v>
      </c>
      <c r="F56" s="89" t="s">
        <v>626</v>
      </c>
      <c r="G56" s="89" t="s">
        <v>526</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673</v>
      </c>
      <c r="B57" s="84" t="s">
        <v>695</v>
      </c>
      <c r="C57" s="86" t="s">
        <v>696</v>
      </c>
      <c r="D57" s="88" t="s">
        <v>697</v>
      </c>
      <c r="E57" s="88" t="s">
        <v>698</v>
      </c>
      <c r="F57" s="89" t="s">
        <v>509</v>
      </c>
      <c r="G57" s="89" t="s">
        <v>484</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673</v>
      </c>
      <c r="B58" s="84" t="s">
        <v>699</v>
      </c>
      <c r="C58" s="86" t="s">
        <v>700</v>
      </c>
      <c r="D58" s="88" t="s">
        <v>701</v>
      </c>
      <c r="E58" s="88" t="s">
        <v>702</v>
      </c>
      <c r="F58" s="89" t="s">
        <v>626</v>
      </c>
      <c r="G58" s="89" t="s">
        <v>526</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673</v>
      </c>
      <c r="B59" s="84" t="s">
        <v>703</v>
      </c>
      <c r="C59" s="86" t="s">
        <v>704</v>
      </c>
      <c r="D59" s="88" t="s">
        <v>705</v>
      </c>
      <c r="E59" s="88" t="s">
        <v>706</v>
      </c>
      <c r="F59" s="89" t="s">
        <v>626</v>
      </c>
      <c r="G59" s="89" t="s">
        <v>542</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707</v>
      </c>
      <c r="B60" s="83">
        <v>7</v>
      </c>
      <c r="C60" s="85" t="s">
        <v>21</v>
      </c>
      <c r="D60" s="87" t="s">
        <v>708</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707</v>
      </c>
      <c r="B61" s="84" t="s">
        <v>709</v>
      </c>
      <c r="C61" s="86" t="s">
        <v>710</v>
      </c>
      <c r="D61" s="88" t="s">
        <v>711</v>
      </c>
      <c r="E61" s="88" t="s">
        <v>712</v>
      </c>
      <c r="F61" s="89" t="s">
        <v>601</v>
      </c>
      <c r="G61" s="89" t="s">
        <v>542</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707</v>
      </c>
      <c r="B62" s="84" t="s">
        <v>713</v>
      </c>
      <c r="C62" s="86" t="s">
        <v>714</v>
      </c>
      <c r="D62" s="88" t="s">
        <v>715</v>
      </c>
      <c r="E62" s="88" t="s">
        <v>716</v>
      </c>
      <c r="F62" s="89" t="s">
        <v>601</v>
      </c>
      <c r="G62" s="89" t="s">
        <v>542</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707</v>
      </c>
      <c r="B63" s="84" t="s">
        <v>717</v>
      </c>
      <c r="C63" s="86" t="s">
        <v>718</v>
      </c>
      <c r="D63" s="88" t="s">
        <v>719</v>
      </c>
      <c r="E63" s="88" t="s">
        <v>720</v>
      </c>
      <c r="F63" s="89" t="s">
        <v>509</v>
      </c>
      <c r="G63" s="89" t="s">
        <v>526</v>
      </c>
      <c r="H63" s="89">
        <v>1</v>
      </c>
      <c r="I63" s="91">
        <f>IF(COUNTIF(J63:AW63,"&lt;&gt;")=0,"",SUMPRODUCT(((Recommendations[ImplStatus]="Implemented")+(Recommendations[ImplStatus]="Compensated"))*ISNUMBER(MATCH(Recommendations[Id],J63:AW63,0)))/COUNTIF(J63:AW63,"&lt;&gt;"))</f>
        <v>0</v>
      </c>
      <c r="J63" s="93" t="s">
        <v>55</v>
      </c>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707</v>
      </c>
      <c r="B64" s="84" t="s">
        <v>721</v>
      </c>
      <c r="C64" s="86" t="s">
        <v>722</v>
      </c>
      <c r="D64" s="88" t="s">
        <v>723</v>
      </c>
      <c r="E64" s="88" t="s">
        <v>724</v>
      </c>
      <c r="F64" s="89" t="s">
        <v>509</v>
      </c>
      <c r="G64" s="89" t="s">
        <v>526</v>
      </c>
      <c r="H64" s="89">
        <v>1</v>
      </c>
      <c r="I64" s="91">
        <f>IF(COUNTIF(J64:AW64,"&lt;&gt;")=0,"",SUMPRODUCT(((Recommendations[ImplStatus]="Implemented")+(Recommendations[ImplStatus]="Compensated"))*ISNUMBER(MATCH(Recommendations[Id],J64:AW64,0)))/COUNTIF(J64:AW64,"&lt;&gt;"))</f>
        <v>0</v>
      </c>
      <c r="J64" s="93" t="s">
        <v>55</v>
      </c>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707</v>
      </c>
      <c r="B65" s="84" t="s">
        <v>725</v>
      </c>
      <c r="C65" s="86" t="s">
        <v>726</v>
      </c>
      <c r="D65" s="88" t="s">
        <v>727</v>
      </c>
      <c r="E65" s="88" t="s">
        <v>728</v>
      </c>
      <c r="F65" s="89" t="s">
        <v>509</v>
      </c>
      <c r="G65" s="89" t="s">
        <v>484</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707</v>
      </c>
      <c r="B66" s="84" t="s">
        <v>729</v>
      </c>
      <c r="C66" s="86" t="s">
        <v>730</v>
      </c>
      <c r="D66" s="88" t="s">
        <v>731</v>
      </c>
      <c r="E66" s="88" t="s">
        <v>732</v>
      </c>
      <c r="F66" s="89" t="s">
        <v>509</v>
      </c>
      <c r="G66" s="89" t="s">
        <v>484</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707</v>
      </c>
      <c r="B67" s="84" t="s">
        <v>733</v>
      </c>
      <c r="C67" s="86" t="s">
        <v>734</v>
      </c>
      <c r="D67" s="88" t="s">
        <v>735</v>
      </c>
      <c r="E67" s="88" t="s">
        <v>736</v>
      </c>
      <c r="F67" s="89" t="s">
        <v>509</v>
      </c>
      <c r="G67" s="89" t="s">
        <v>489</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737</v>
      </c>
      <c r="B68" s="83">
        <v>8</v>
      </c>
      <c r="C68" s="85" t="s">
        <v>21</v>
      </c>
      <c r="D68" s="87" t="s">
        <v>738</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737</v>
      </c>
      <c r="B69" s="84" t="s">
        <v>739</v>
      </c>
      <c r="C69" s="86" t="s">
        <v>740</v>
      </c>
      <c r="D69" s="88" t="s">
        <v>741</v>
      </c>
      <c r="E69" s="88" t="s">
        <v>742</v>
      </c>
      <c r="F69" s="89" t="s">
        <v>601</v>
      </c>
      <c r="G69" s="89" t="s">
        <v>542</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737</v>
      </c>
      <c r="B70" s="84" t="s">
        <v>743</v>
      </c>
      <c r="C70" s="86" t="s">
        <v>744</v>
      </c>
      <c r="D70" s="88" t="s">
        <v>745</v>
      </c>
      <c r="E70" s="88" t="s">
        <v>746</v>
      </c>
      <c r="F70" s="89" t="s">
        <v>541</v>
      </c>
      <c r="G70" s="89" t="s">
        <v>494</v>
      </c>
      <c r="H70" s="89">
        <v>1</v>
      </c>
      <c r="I70" s="91">
        <f>IF(COUNTIF(J70:AW70,"&lt;&gt;")=0,"",SUMPRODUCT(((Recommendations[ImplStatus]="Implemented")+(Recommendations[ImplStatus]="Compensated"))*ISNUMBER(MATCH(Recommendations[Id],J70:AW70,0)))/COUNTIF(J70:AW70,"&lt;&gt;"))</f>
        <v>0</v>
      </c>
      <c r="J70" s="93" t="s">
        <v>30</v>
      </c>
      <c r="K70" s="93" t="s">
        <v>35</v>
      </c>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737</v>
      </c>
      <c r="B71" s="84" t="s">
        <v>747</v>
      </c>
      <c r="C71" s="86" t="s">
        <v>748</v>
      </c>
      <c r="D71" s="88" t="s">
        <v>749</v>
      </c>
      <c r="E71" s="88" t="s">
        <v>750</v>
      </c>
      <c r="F71" s="89" t="s">
        <v>541</v>
      </c>
      <c r="G71" s="89" t="s">
        <v>526</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737</v>
      </c>
      <c r="B72" s="84" t="s">
        <v>751</v>
      </c>
      <c r="C72" s="86" t="s">
        <v>752</v>
      </c>
      <c r="D72" s="88" t="s">
        <v>753</v>
      </c>
      <c r="E72" s="88" t="s">
        <v>754</v>
      </c>
      <c r="F72" s="89" t="s">
        <v>755</v>
      </c>
      <c r="G72" s="89" t="s">
        <v>526</v>
      </c>
      <c r="H72" s="89">
        <v>2</v>
      </c>
      <c r="I72" s="91" t="str">
        <f>IF(COUNTIF(J72:AW72,"&lt;&gt;")=0,"",SUMPRODUCT(((Recommendations[ImplStatus]="Implemented")+(Recommendations[ImplStatus]="Compensated"))*ISNUMBER(MATCH(Recommendations[Id],J72:AW72,0)))/COUNTIF(J72:AW72,"&lt;&gt;"))</f>
        <v/>
      </c>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737</v>
      </c>
      <c r="B73" s="84" t="s">
        <v>756</v>
      </c>
      <c r="C73" s="86" t="s">
        <v>757</v>
      </c>
      <c r="D73" s="88" t="s">
        <v>758</v>
      </c>
      <c r="E73" s="88" t="s">
        <v>759</v>
      </c>
      <c r="F73" s="89" t="s">
        <v>541</v>
      </c>
      <c r="G73" s="89" t="s">
        <v>494</v>
      </c>
      <c r="H73" s="89">
        <v>2</v>
      </c>
      <c r="I73" s="91">
        <f>IF(COUNTIF(J73:AW73,"&lt;&gt;")=0,"",SUMPRODUCT(((Recommendations[ImplStatus]="Implemented")+(Recommendations[ImplStatus]="Compensated"))*ISNUMBER(MATCH(Recommendations[Id],J73:AW73,0)))/COUNTIF(J73:AW73,"&lt;&gt;"))</f>
        <v>0</v>
      </c>
      <c r="J73" s="93" t="s">
        <v>30</v>
      </c>
      <c r="K73" s="93" t="s">
        <v>35</v>
      </c>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737</v>
      </c>
      <c r="B74" s="84" t="s">
        <v>760</v>
      </c>
      <c r="C74" s="86" t="s">
        <v>761</v>
      </c>
      <c r="D74" s="88" t="s">
        <v>762</v>
      </c>
      <c r="E74" s="88" t="s">
        <v>763</v>
      </c>
      <c r="F74" s="89" t="s">
        <v>541</v>
      </c>
      <c r="G74" s="89" t="s">
        <v>494</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737</v>
      </c>
      <c r="B75" s="84" t="s">
        <v>764</v>
      </c>
      <c r="C75" s="86" t="s">
        <v>765</v>
      </c>
      <c r="D75" s="88" t="s">
        <v>766</v>
      </c>
      <c r="E75" s="88" t="s">
        <v>767</v>
      </c>
      <c r="F75" s="89" t="s">
        <v>541</v>
      </c>
      <c r="G75" s="89" t="s">
        <v>494</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737</v>
      </c>
      <c r="B76" s="84" t="s">
        <v>768</v>
      </c>
      <c r="C76" s="86" t="s">
        <v>769</v>
      </c>
      <c r="D76" s="88" t="s">
        <v>770</v>
      </c>
      <c r="E76" s="88" t="s">
        <v>771</v>
      </c>
      <c r="F76" s="89" t="s">
        <v>541</v>
      </c>
      <c r="G76" s="89" t="s">
        <v>494</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737</v>
      </c>
      <c r="B77" s="84" t="s">
        <v>772</v>
      </c>
      <c r="C77" s="86" t="s">
        <v>773</v>
      </c>
      <c r="D77" s="88" t="s">
        <v>774</v>
      </c>
      <c r="E77" s="88" t="s">
        <v>775</v>
      </c>
      <c r="F77" s="89" t="s">
        <v>541</v>
      </c>
      <c r="G77" s="89" t="s">
        <v>494</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737</v>
      </c>
      <c r="B78" s="84" t="s">
        <v>776</v>
      </c>
      <c r="C78" s="86" t="s">
        <v>777</v>
      </c>
      <c r="D78" s="88" t="s">
        <v>778</v>
      </c>
      <c r="E78" s="88" t="s">
        <v>779</v>
      </c>
      <c r="F78" s="89" t="s">
        <v>541</v>
      </c>
      <c r="G78" s="89" t="s">
        <v>526</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737</v>
      </c>
      <c r="B79" s="84" t="s">
        <v>780</v>
      </c>
      <c r="C79" s="86" t="s">
        <v>781</v>
      </c>
      <c r="D79" s="88" t="s">
        <v>782</v>
      </c>
      <c r="E79" s="88" t="s">
        <v>783</v>
      </c>
      <c r="F79" s="89" t="s">
        <v>541</v>
      </c>
      <c r="G79" s="89" t="s">
        <v>494</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737</v>
      </c>
      <c r="B80" s="84" t="s">
        <v>784</v>
      </c>
      <c r="C80" s="86" t="s">
        <v>785</v>
      </c>
      <c r="D80" s="88" t="s">
        <v>786</v>
      </c>
      <c r="E80" s="88" t="s">
        <v>787</v>
      </c>
      <c r="F80" s="89" t="s">
        <v>541</v>
      </c>
      <c r="G80" s="89" t="s">
        <v>494</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788</v>
      </c>
      <c r="B81" s="83">
        <v>9</v>
      </c>
      <c r="C81" s="85" t="s">
        <v>21</v>
      </c>
      <c r="D81" s="87" t="s">
        <v>789</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788</v>
      </c>
      <c r="B82" s="84" t="s">
        <v>790</v>
      </c>
      <c r="C82" s="86" t="s">
        <v>791</v>
      </c>
      <c r="D82" s="88" t="s">
        <v>792</v>
      </c>
      <c r="E82" s="88" t="s">
        <v>793</v>
      </c>
      <c r="F82" s="89" t="s">
        <v>509</v>
      </c>
      <c r="G82" s="89" t="s">
        <v>526</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788</v>
      </c>
      <c r="B83" s="84" t="s">
        <v>794</v>
      </c>
      <c r="C83" s="86" t="s">
        <v>795</v>
      </c>
      <c r="D83" s="88" t="s">
        <v>796</v>
      </c>
      <c r="E83" s="88" t="s">
        <v>797</v>
      </c>
      <c r="F83" s="89" t="s">
        <v>483</v>
      </c>
      <c r="G83" s="89" t="s">
        <v>526</v>
      </c>
      <c r="H83" s="89">
        <v>1</v>
      </c>
      <c r="I83" s="91">
        <f>IF(COUNTIF(J83:AW83,"&lt;&gt;")=0,"",SUMPRODUCT(((Recommendations[ImplStatus]="Implemented")+(Recommendations[ImplStatus]="Compensated"))*ISNUMBER(MATCH(Recommendations[Id],J83:AW83,0)))/COUNTIF(J83:AW83,"&lt;&gt;"))</f>
        <v>0</v>
      </c>
      <c r="J83" s="93" t="s">
        <v>176</v>
      </c>
      <c r="K83" s="93" t="s">
        <v>181</v>
      </c>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788</v>
      </c>
      <c r="B84" s="84" t="s">
        <v>798</v>
      </c>
      <c r="C84" s="86" t="s">
        <v>799</v>
      </c>
      <c r="D84" s="88" t="s">
        <v>800</v>
      </c>
      <c r="E84" s="88" t="s">
        <v>801</v>
      </c>
      <c r="F84" s="89" t="s">
        <v>755</v>
      </c>
      <c r="G84" s="89" t="s">
        <v>526</v>
      </c>
      <c r="H84" s="89">
        <v>2</v>
      </c>
      <c r="I84" s="91">
        <f>IF(COUNTIF(J84:AW84,"&lt;&gt;")=0,"",SUMPRODUCT(((Recommendations[ImplStatus]="Implemented")+(Recommendations[ImplStatus]="Compensated"))*ISNUMBER(MATCH(Recommendations[Id],J84:AW84,0)))/COUNTIF(J84:AW84,"&lt;&gt;"))</f>
        <v>0</v>
      </c>
      <c r="J84" s="93" t="s">
        <v>176</v>
      </c>
      <c r="K84" s="93" t="s">
        <v>181</v>
      </c>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788</v>
      </c>
      <c r="B85" s="84" t="s">
        <v>802</v>
      </c>
      <c r="C85" s="86" t="s">
        <v>803</v>
      </c>
      <c r="D85" s="88" t="s">
        <v>804</v>
      </c>
      <c r="E85" s="88" t="s">
        <v>805</v>
      </c>
      <c r="F85" s="89" t="s">
        <v>509</v>
      </c>
      <c r="G85" s="89" t="s">
        <v>526</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788</v>
      </c>
      <c r="B86" s="84" t="s">
        <v>806</v>
      </c>
      <c r="C86" s="86" t="s">
        <v>807</v>
      </c>
      <c r="D86" s="88" t="s">
        <v>808</v>
      </c>
      <c r="E86" s="88" t="s">
        <v>809</v>
      </c>
      <c r="F86" s="89" t="s">
        <v>755</v>
      </c>
      <c r="G86" s="89" t="s">
        <v>526</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788</v>
      </c>
      <c r="B87" s="84" t="s">
        <v>810</v>
      </c>
      <c r="C87" s="86" t="s">
        <v>811</v>
      </c>
      <c r="D87" s="88" t="s">
        <v>812</v>
      </c>
      <c r="E87" s="88" t="s">
        <v>813</v>
      </c>
      <c r="F87" s="89" t="s">
        <v>755</v>
      </c>
      <c r="G87" s="89" t="s">
        <v>526</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788</v>
      </c>
      <c r="B88" s="84" t="s">
        <v>814</v>
      </c>
      <c r="C88" s="86" t="s">
        <v>815</v>
      </c>
      <c r="D88" s="88" t="s">
        <v>816</v>
      </c>
      <c r="E88" s="88" t="s">
        <v>817</v>
      </c>
      <c r="F88" s="89" t="s">
        <v>755</v>
      </c>
      <c r="G88" s="89" t="s">
        <v>526</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818</v>
      </c>
      <c r="B89" s="83">
        <v>10</v>
      </c>
      <c r="C89" s="85" t="s">
        <v>21</v>
      </c>
      <c r="D89" s="87" t="s">
        <v>819</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818</v>
      </c>
      <c r="B90" s="84" t="s">
        <v>820</v>
      </c>
      <c r="C90" s="86" t="s">
        <v>821</v>
      </c>
      <c r="D90" s="88" t="s">
        <v>822</v>
      </c>
      <c r="E90" s="88" t="s">
        <v>823</v>
      </c>
      <c r="F90" s="89" t="s">
        <v>483</v>
      </c>
      <c r="G90" s="89" t="s">
        <v>494</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818</v>
      </c>
      <c r="B91" s="84" t="s">
        <v>824</v>
      </c>
      <c r="C91" s="86" t="s">
        <v>825</v>
      </c>
      <c r="D91" s="88" t="s">
        <v>826</v>
      </c>
      <c r="E91" s="88" t="s">
        <v>827</v>
      </c>
      <c r="F91" s="89" t="s">
        <v>483</v>
      </c>
      <c r="G91" s="89" t="s">
        <v>526</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818</v>
      </c>
      <c r="B92" s="84" t="s">
        <v>828</v>
      </c>
      <c r="C92" s="86" t="s">
        <v>829</v>
      </c>
      <c r="D92" s="88" t="s">
        <v>830</v>
      </c>
      <c r="E92" s="88" t="s">
        <v>831</v>
      </c>
      <c r="F92" s="89" t="s">
        <v>483</v>
      </c>
      <c r="G92" s="89" t="s">
        <v>526</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818</v>
      </c>
      <c r="B93" s="84" t="s">
        <v>832</v>
      </c>
      <c r="C93" s="86" t="s">
        <v>833</v>
      </c>
      <c r="D93" s="88" t="s">
        <v>834</v>
      </c>
      <c r="E93" s="88" t="s">
        <v>835</v>
      </c>
      <c r="F93" s="89" t="s">
        <v>483</v>
      </c>
      <c r="G93" s="89" t="s">
        <v>494</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818</v>
      </c>
      <c r="B94" s="84" t="s">
        <v>836</v>
      </c>
      <c r="C94" s="86" t="s">
        <v>837</v>
      </c>
      <c r="D94" s="88" t="s">
        <v>838</v>
      </c>
      <c r="E94" s="88" t="s">
        <v>839</v>
      </c>
      <c r="F94" s="89" t="s">
        <v>483</v>
      </c>
      <c r="G94" s="89" t="s">
        <v>526</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818</v>
      </c>
      <c r="B95" s="84" t="s">
        <v>840</v>
      </c>
      <c r="C95" s="86" t="s">
        <v>841</v>
      </c>
      <c r="D95" s="88" t="s">
        <v>842</v>
      </c>
      <c r="E95" s="88" t="s">
        <v>843</v>
      </c>
      <c r="F95" s="89" t="s">
        <v>483</v>
      </c>
      <c r="G95" s="89" t="s">
        <v>526</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818</v>
      </c>
      <c r="B96" s="84" t="s">
        <v>844</v>
      </c>
      <c r="C96" s="86" t="s">
        <v>845</v>
      </c>
      <c r="D96" s="88" t="s">
        <v>846</v>
      </c>
      <c r="E96" s="88" t="s">
        <v>847</v>
      </c>
      <c r="F96" s="89" t="s">
        <v>483</v>
      </c>
      <c r="G96" s="89" t="s">
        <v>494</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848</v>
      </c>
      <c r="B97" s="83">
        <v>11</v>
      </c>
      <c r="C97" s="85" t="s">
        <v>21</v>
      </c>
      <c r="D97" s="87" t="s">
        <v>849</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848</v>
      </c>
      <c r="B98" s="84" t="s">
        <v>850</v>
      </c>
      <c r="C98" s="86" t="s">
        <v>851</v>
      </c>
      <c r="D98" s="88" t="s">
        <v>852</v>
      </c>
      <c r="E98" s="88" t="s">
        <v>853</v>
      </c>
      <c r="F98" s="89" t="s">
        <v>601</v>
      </c>
      <c r="G98" s="89" t="s">
        <v>542</v>
      </c>
      <c r="H98" s="89">
        <v>1</v>
      </c>
      <c r="I98" s="91">
        <f>IF(COUNTIF(J98:AW98,"&lt;&gt;")=0,"",SUMPRODUCT(((Recommendations[ImplStatus]="Implemented")+(Recommendations[ImplStatus]="Compensated"))*ISNUMBER(MATCH(Recommendations[Id],J98:AW98,0)))/COUNTIF(J98:AW98,"&lt;&gt;"))</f>
        <v>0</v>
      </c>
      <c r="J98" s="93" t="s">
        <v>141</v>
      </c>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848</v>
      </c>
      <c r="B99" s="84" t="s">
        <v>854</v>
      </c>
      <c r="C99" s="86" t="s">
        <v>855</v>
      </c>
      <c r="D99" s="88" t="s">
        <v>856</v>
      </c>
      <c r="E99" s="88" t="s">
        <v>857</v>
      </c>
      <c r="F99" s="89" t="s">
        <v>541</v>
      </c>
      <c r="G99" s="89" t="s">
        <v>858</v>
      </c>
      <c r="H99" s="89">
        <v>1</v>
      </c>
      <c r="I99" s="91">
        <f>IF(COUNTIF(J99:AW99,"&lt;&gt;")=0,"",SUMPRODUCT(((Recommendations[ImplStatus]="Implemented")+(Recommendations[ImplStatus]="Compensated"))*ISNUMBER(MATCH(Recommendations[Id],J99:AW99,0)))/COUNTIF(J99:AW99,"&lt;&gt;"))</f>
        <v>0</v>
      </c>
      <c r="J99" s="93" t="s">
        <v>141</v>
      </c>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848</v>
      </c>
      <c r="B100" s="84" t="s">
        <v>859</v>
      </c>
      <c r="C100" s="86" t="s">
        <v>860</v>
      </c>
      <c r="D100" s="88" t="s">
        <v>861</v>
      </c>
      <c r="E100" s="88" t="s">
        <v>862</v>
      </c>
      <c r="F100" s="89" t="s">
        <v>541</v>
      </c>
      <c r="G100" s="89" t="s">
        <v>526</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848</v>
      </c>
      <c r="B101" s="84" t="s">
        <v>863</v>
      </c>
      <c r="C101" s="86" t="s">
        <v>864</v>
      </c>
      <c r="D101" s="88" t="s">
        <v>865</v>
      </c>
      <c r="E101" s="88" t="s">
        <v>866</v>
      </c>
      <c r="F101" s="89" t="s">
        <v>541</v>
      </c>
      <c r="G101" s="89" t="s">
        <v>858</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848</v>
      </c>
      <c r="B102" s="84" t="s">
        <v>867</v>
      </c>
      <c r="C102" s="86" t="s">
        <v>868</v>
      </c>
      <c r="D102" s="88" t="s">
        <v>869</v>
      </c>
      <c r="E102" s="88" t="s">
        <v>870</v>
      </c>
      <c r="F102" s="89" t="s">
        <v>541</v>
      </c>
      <c r="G102" s="89" t="s">
        <v>858</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871</v>
      </c>
      <c r="B103" s="83">
        <v>12</v>
      </c>
      <c r="C103" s="85" t="s">
        <v>21</v>
      </c>
      <c r="D103" s="87" t="s">
        <v>872</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871</v>
      </c>
      <c r="B104" s="84" t="s">
        <v>873</v>
      </c>
      <c r="C104" s="86" t="s">
        <v>874</v>
      </c>
      <c r="D104" s="88" t="s">
        <v>875</v>
      </c>
      <c r="E104" s="88" t="s">
        <v>876</v>
      </c>
      <c r="F104" s="89" t="s">
        <v>755</v>
      </c>
      <c r="G104" s="89" t="s">
        <v>526</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871</v>
      </c>
      <c r="B105" s="84" t="s">
        <v>877</v>
      </c>
      <c r="C105" s="86" t="s">
        <v>878</v>
      </c>
      <c r="D105" s="88" t="s">
        <v>879</v>
      </c>
      <c r="E105" s="88" t="s">
        <v>880</v>
      </c>
      <c r="F105" s="89" t="s">
        <v>755</v>
      </c>
      <c r="G105" s="89" t="s">
        <v>526</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871</v>
      </c>
      <c r="B106" s="84" t="s">
        <v>881</v>
      </c>
      <c r="C106" s="86" t="s">
        <v>882</v>
      </c>
      <c r="D106" s="88" t="s">
        <v>883</v>
      </c>
      <c r="E106" s="88" t="s">
        <v>884</v>
      </c>
      <c r="F106" s="89" t="s">
        <v>755</v>
      </c>
      <c r="G106" s="89" t="s">
        <v>526</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871</v>
      </c>
      <c r="B107" s="84" t="s">
        <v>885</v>
      </c>
      <c r="C107" s="86" t="s">
        <v>886</v>
      </c>
      <c r="D107" s="88" t="s">
        <v>887</v>
      </c>
      <c r="E107" s="88" t="s">
        <v>888</v>
      </c>
      <c r="F107" s="89" t="s">
        <v>601</v>
      </c>
      <c r="G107" s="89" t="s">
        <v>542</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871</v>
      </c>
      <c r="B108" s="84" t="s">
        <v>889</v>
      </c>
      <c r="C108" s="86" t="s">
        <v>890</v>
      </c>
      <c r="D108" s="88" t="s">
        <v>891</v>
      </c>
      <c r="E108" s="88" t="s">
        <v>892</v>
      </c>
      <c r="F108" s="89" t="s">
        <v>755</v>
      </c>
      <c r="G108" s="89" t="s">
        <v>526</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871</v>
      </c>
      <c r="B109" s="84" t="s">
        <v>893</v>
      </c>
      <c r="C109" s="86" t="s">
        <v>894</v>
      </c>
      <c r="D109" s="88" t="s">
        <v>895</v>
      </c>
      <c r="E109" s="88" t="s">
        <v>896</v>
      </c>
      <c r="F109" s="89" t="s">
        <v>755</v>
      </c>
      <c r="G109" s="89" t="s">
        <v>526</v>
      </c>
      <c r="H109" s="89">
        <v>2</v>
      </c>
      <c r="I109" s="91">
        <f>IF(COUNTIF(J109:AW109,"&lt;&gt;")=0,"",SUMPRODUCT(((Recommendations[ImplStatus]="Implemented")+(Recommendations[ImplStatus]="Compensated"))*ISNUMBER(MATCH(Recommendations[Id],J109:AW109,0)))/COUNTIF(J109:AW109,"&lt;&gt;"))</f>
        <v>0</v>
      </c>
      <c r="J109" s="93" t="s">
        <v>90</v>
      </c>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871</v>
      </c>
      <c r="B110" s="84" t="s">
        <v>897</v>
      </c>
      <c r="C110" s="86" t="s">
        <v>898</v>
      </c>
      <c r="D110" s="88" t="s">
        <v>899</v>
      </c>
      <c r="E110" s="88" t="s">
        <v>900</v>
      </c>
      <c r="F110" s="89" t="s">
        <v>483</v>
      </c>
      <c r="G110" s="89" t="s">
        <v>526</v>
      </c>
      <c r="H110" s="89">
        <v>2</v>
      </c>
      <c r="I110" s="91">
        <f>IF(COUNTIF(J110:AW110,"&lt;&gt;")=0,"",SUMPRODUCT(((Recommendations[ImplStatus]="Implemented")+(Recommendations[ImplStatus]="Compensated"))*ISNUMBER(MATCH(Recommendations[Id],J110:AW110,0)))/COUNTIF(J110:AW110,"&lt;&gt;"))</f>
        <v>0</v>
      </c>
      <c r="J110" s="93" t="s">
        <v>90</v>
      </c>
      <c r="K110" s="93" t="s">
        <v>131</v>
      </c>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871</v>
      </c>
      <c r="B111" s="84" t="s">
        <v>901</v>
      </c>
      <c r="C111" s="86" t="s">
        <v>902</v>
      </c>
      <c r="D111" s="88" t="s">
        <v>903</v>
      </c>
      <c r="E111" s="88" t="s">
        <v>904</v>
      </c>
      <c r="F111" s="89" t="s">
        <v>483</v>
      </c>
      <c r="G111" s="89" t="s">
        <v>526</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905</v>
      </c>
      <c r="B112" s="83">
        <v>13</v>
      </c>
      <c r="C112" s="85" t="s">
        <v>21</v>
      </c>
      <c r="D112" s="87" t="s">
        <v>906</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905</v>
      </c>
      <c r="B113" s="84" t="s">
        <v>907</v>
      </c>
      <c r="C113" s="86" t="s">
        <v>908</v>
      </c>
      <c r="D113" s="88" t="s">
        <v>909</v>
      </c>
      <c r="E113" s="88" t="s">
        <v>910</v>
      </c>
      <c r="F113" s="89" t="s">
        <v>755</v>
      </c>
      <c r="G113" s="89" t="s">
        <v>494</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905</v>
      </c>
      <c r="B114" s="84" t="s">
        <v>911</v>
      </c>
      <c r="C114" s="86" t="s">
        <v>912</v>
      </c>
      <c r="D114" s="88" t="s">
        <v>913</v>
      </c>
      <c r="E114" s="88" t="s">
        <v>914</v>
      </c>
      <c r="F114" s="89" t="s">
        <v>483</v>
      </c>
      <c r="G114" s="89" t="s">
        <v>494</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905</v>
      </c>
      <c r="B115" s="84" t="s">
        <v>915</v>
      </c>
      <c r="C115" s="86" t="s">
        <v>916</v>
      </c>
      <c r="D115" s="88" t="s">
        <v>917</v>
      </c>
      <c r="E115" s="88" t="s">
        <v>918</v>
      </c>
      <c r="F115" s="89" t="s">
        <v>755</v>
      </c>
      <c r="G115" s="89" t="s">
        <v>494</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905</v>
      </c>
      <c r="B116" s="84" t="s">
        <v>919</v>
      </c>
      <c r="C116" s="86" t="s">
        <v>920</v>
      </c>
      <c r="D116" s="88" t="s">
        <v>921</v>
      </c>
      <c r="E116" s="88" t="s">
        <v>922</v>
      </c>
      <c r="F116" s="89" t="s">
        <v>755</v>
      </c>
      <c r="G116" s="89" t="s">
        <v>526</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905</v>
      </c>
      <c r="B117" s="84" t="s">
        <v>923</v>
      </c>
      <c r="C117" s="86" t="s">
        <v>924</v>
      </c>
      <c r="D117" s="88" t="s">
        <v>925</v>
      </c>
      <c r="E117" s="88" t="s">
        <v>926</v>
      </c>
      <c r="F117" s="89" t="s">
        <v>483</v>
      </c>
      <c r="G117" s="89" t="s">
        <v>526</v>
      </c>
      <c r="H117" s="89">
        <v>2</v>
      </c>
      <c r="I117" s="91">
        <f>IF(COUNTIF(J117:AW117,"&lt;&gt;")=0,"",SUMPRODUCT(((Recommendations[ImplStatus]="Implemented")+(Recommendations[ImplStatus]="Compensated"))*ISNUMBER(MATCH(Recommendations[Id],J117:AW117,0)))/COUNTIF(J117:AW117,"&lt;&gt;"))</f>
        <v>0</v>
      </c>
      <c r="J117" s="93" t="s">
        <v>156</v>
      </c>
      <c r="K117" s="93" t="s">
        <v>196</v>
      </c>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905</v>
      </c>
      <c r="B118" s="84" t="s">
        <v>927</v>
      </c>
      <c r="C118" s="86" t="s">
        <v>928</v>
      </c>
      <c r="D118" s="88" t="s">
        <v>929</v>
      </c>
      <c r="E118" s="88" t="s">
        <v>930</v>
      </c>
      <c r="F118" s="89" t="s">
        <v>755</v>
      </c>
      <c r="G118" s="89" t="s">
        <v>494</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905</v>
      </c>
      <c r="B119" s="84" t="s">
        <v>931</v>
      </c>
      <c r="C119" s="86" t="s">
        <v>932</v>
      </c>
      <c r="D119" s="88" t="s">
        <v>933</v>
      </c>
      <c r="E119" s="88" t="s">
        <v>934</v>
      </c>
      <c r="F119" s="89" t="s">
        <v>483</v>
      </c>
      <c r="G119" s="89" t="s">
        <v>526</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905</v>
      </c>
      <c r="B120" s="84" t="s">
        <v>935</v>
      </c>
      <c r="C120" s="86" t="s">
        <v>936</v>
      </c>
      <c r="D120" s="88" t="s">
        <v>937</v>
      </c>
      <c r="E120" s="88" t="s">
        <v>938</v>
      </c>
      <c r="F120" s="89" t="s">
        <v>755</v>
      </c>
      <c r="G120" s="89" t="s">
        <v>526</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905</v>
      </c>
      <c r="B121" s="84" t="s">
        <v>939</v>
      </c>
      <c r="C121" s="86" t="s">
        <v>940</v>
      </c>
      <c r="D121" s="88" t="s">
        <v>941</v>
      </c>
      <c r="E121" s="88" t="s">
        <v>942</v>
      </c>
      <c r="F121" s="89" t="s">
        <v>755</v>
      </c>
      <c r="G121" s="89" t="s">
        <v>526</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905</v>
      </c>
      <c r="B122" s="84" t="s">
        <v>943</v>
      </c>
      <c r="C122" s="86" t="s">
        <v>944</v>
      </c>
      <c r="D122" s="88" t="s">
        <v>945</v>
      </c>
      <c r="E122" s="88" t="s">
        <v>946</v>
      </c>
      <c r="F122" s="89" t="s">
        <v>755</v>
      </c>
      <c r="G122" s="89" t="s">
        <v>526</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905</v>
      </c>
      <c r="B123" s="84" t="s">
        <v>947</v>
      </c>
      <c r="C123" s="86" t="s">
        <v>948</v>
      </c>
      <c r="D123" s="88" t="s">
        <v>949</v>
      </c>
      <c r="E123" s="88" t="s">
        <v>950</v>
      </c>
      <c r="F123" s="89" t="s">
        <v>755</v>
      </c>
      <c r="G123" s="89" t="s">
        <v>494</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951</v>
      </c>
      <c r="B124" s="83">
        <v>14</v>
      </c>
      <c r="C124" s="85" t="s">
        <v>21</v>
      </c>
      <c r="D124" s="87" t="s">
        <v>952</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951</v>
      </c>
      <c r="B125" s="84" t="s">
        <v>953</v>
      </c>
      <c r="C125" s="86" t="s">
        <v>954</v>
      </c>
      <c r="D125" s="88" t="s">
        <v>955</v>
      </c>
      <c r="E125" s="88" t="s">
        <v>956</v>
      </c>
      <c r="F125" s="89" t="s">
        <v>601</v>
      </c>
      <c r="G125" s="89" t="s">
        <v>542</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951</v>
      </c>
      <c r="B126" s="84" t="s">
        <v>957</v>
      </c>
      <c r="C126" s="86" t="s">
        <v>958</v>
      </c>
      <c r="D126" s="88" t="s">
        <v>959</v>
      </c>
      <c r="E126" s="88" t="s">
        <v>960</v>
      </c>
      <c r="F126" s="89" t="s">
        <v>626</v>
      </c>
      <c r="G126" s="89" t="s">
        <v>526</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951</v>
      </c>
      <c r="B127" s="84" t="s">
        <v>961</v>
      </c>
      <c r="C127" s="86" t="s">
        <v>962</v>
      </c>
      <c r="D127" s="88" t="s">
        <v>963</v>
      </c>
      <c r="E127" s="88" t="s">
        <v>964</v>
      </c>
      <c r="F127" s="89" t="s">
        <v>626</v>
      </c>
      <c r="G127" s="89" t="s">
        <v>526</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951</v>
      </c>
      <c r="B128" s="84" t="s">
        <v>965</v>
      </c>
      <c r="C128" s="86" t="s">
        <v>966</v>
      </c>
      <c r="D128" s="88" t="s">
        <v>967</v>
      </c>
      <c r="E128" s="88" t="s">
        <v>968</v>
      </c>
      <c r="F128" s="89" t="s">
        <v>626</v>
      </c>
      <c r="G128" s="89" t="s">
        <v>526</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951</v>
      </c>
      <c r="B129" s="84" t="s">
        <v>969</v>
      </c>
      <c r="C129" s="86" t="s">
        <v>970</v>
      </c>
      <c r="D129" s="88" t="s">
        <v>971</v>
      </c>
      <c r="E129" s="88" t="s">
        <v>972</v>
      </c>
      <c r="F129" s="89" t="s">
        <v>626</v>
      </c>
      <c r="G129" s="89" t="s">
        <v>526</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951</v>
      </c>
      <c r="B130" s="84" t="s">
        <v>973</v>
      </c>
      <c r="C130" s="86" t="s">
        <v>974</v>
      </c>
      <c r="D130" s="88" t="s">
        <v>975</v>
      </c>
      <c r="E130" s="88" t="s">
        <v>976</v>
      </c>
      <c r="F130" s="89" t="s">
        <v>626</v>
      </c>
      <c r="G130" s="89" t="s">
        <v>526</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951</v>
      </c>
      <c r="B131" s="84" t="s">
        <v>977</v>
      </c>
      <c r="C131" s="86" t="s">
        <v>978</v>
      </c>
      <c r="D131" s="88" t="s">
        <v>979</v>
      </c>
      <c r="E131" s="88" t="s">
        <v>980</v>
      </c>
      <c r="F131" s="89" t="s">
        <v>626</v>
      </c>
      <c r="G131" s="89" t="s">
        <v>526</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951</v>
      </c>
      <c r="B132" s="84" t="s">
        <v>981</v>
      </c>
      <c r="C132" s="86" t="s">
        <v>982</v>
      </c>
      <c r="D132" s="88" t="s">
        <v>983</v>
      </c>
      <c r="E132" s="88" t="s">
        <v>984</v>
      </c>
      <c r="F132" s="89" t="s">
        <v>626</v>
      </c>
      <c r="G132" s="89" t="s">
        <v>526</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951</v>
      </c>
      <c r="B133" s="84" t="s">
        <v>985</v>
      </c>
      <c r="C133" s="86" t="s">
        <v>986</v>
      </c>
      <c r="D133" s="88" t="s">
        <v>987</v>
      </c>
      <c r="E133" s="88" t="s">
        <v>988</v>
      </c>
      <c r="F133" s="89" t="s">
        <v>626</v>
      </c>
      <c r="G133" s="89" t="s">
        <v>526</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989</v>
      </c>
      <c r="B134" s="83">
        <v>15</v>
      </c>
      <c r="C134" s="85" t="s">
        <v>21</v>
      </c>
      <c r="D134" s="87" t="s">
        <v>990</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989</v>
      </c>
      <c r="B135" s="84" t="s">
        <v>991</v>
      </c>
      <c r="C135" s="86" t="s">
        <v>992</v>
      </c>
      <c r="D135" s="88" t="s">
        <v>993</v>
      </c>
      <c r="E135" s="88" t="s">
        <v>994</v>
      </c>
      <c r="F135" s="89" t="s">
        <v>626</v>
      </c>
      <c r="G135" s="89" t="s">
        <v>484</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989</v>
      </c>
      <c r="B136" s="84" t="s">
        <v>995</v>
      </c>
      <c r="C136" s="86" t="s">
        <v>996</v>
      </c>
      <c r="D136" s="88" t="s">
        <v>997</v>
      </c>
      <c r="E136" s="88" t="s">
        <v>998</v>
      </c>
      <c r="F136" s="89" t="s">
        <v>601</v>
      </c>
      <c r="G136" s="89" t="s">
        <v>542</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989</v>
      </c>
      <c r="B137" s="84" t="s">
        <v>999</v>
      </c>
      <c r="C137" s="86" t="s">
        <v>1000</v>
      </c>
      <c r="D137" s="88" t="s">
        <v>1001</v>
      </c>
      <c r="E137" s="88" t="s">
        <v>1002</v>
      </c>
      <c r="F137" s="89" t="s">
        <v>626</v>
      </c>
      <c r="G137" s="89" t="s">
        <v>542</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989</v>
      </c>
      <c r="B138" s="84" t="s">
        <v>1003</v>
      </c>
      <c r="C138" s="86" t="s">
        <v>1004</v>
      </c>
      <c r="D138" s="88" t="s">
        <v>1005</v>
      </c>
      <c r="E138" s="88" t="s">
        <v>1006</v>
      </c>
      <c r="F138" s="89" t="s">
        <v>601</v>
      </c>
      <c r="G138" s="89" t="s">
        <v>542</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989</v>
      </c>
      <c r="B139" s="84" t="s">
        <v>1007</v>
      </c>
      <c r="C139" s="86" t="s">
        <v>1008</v>
      </c>
      <c r="D139" s="88" t="s">
        <v>1009</v>
      </c>
      <c r="E139" s="88" t="s">
        <v>1010</v>
      </c>
      <c r="F139" s="89" t="s">
        <v>626</v>
      </c>
      <c r="G139" s="89" t="s">
        <v>542</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989</v>
      </c>
      <c r="B140" s="84" t="s">
        <v>1011</v>
      </c>
      <c r="C140" s="86" t="s">
        <v>1012</v>
      </c>
      <c r="D140" s="88" t="s">
        <v>1013</v>
      </c>
      <c r="E140" s="88" t="s">
        <v>1014</v>
      </c>
      <c r="F140" s="89" t="s">
        <v>541</v>
      </c>
      <c r="G140" s="89" t="s">
        <v>542</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989</v>
      </c>
      <c r="B141" s="84" t="s">
        <v>1015</v>
      </c>
      <c r="C141" s="86" t="s">
        <v>1016</v>
      </c>
      <c r="D141" s="88" t="s">
        <v>1017</v>
      </c>
      <c r="E141" s="88" t="s">
        <v>1018</v>
      </c>
      <c r="F141" s="89" t="s">
        <v>541</v>
      </c>
      <c r="G141" s="89" t="s">
        <v>526</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1019</v>
      </c>
      <c r="B142" s="83">
        <v>16</v>
      </c>
      <c r="C142" s="85" t="s">
        <v>21</v>
      </c>
      <c r="D142" s="87" t="s">
        <v>1020</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1019</v>
      </c>
      <c r="B143" s="84" t="s">
        <v>1021</v>
      </c>
      <c r="C143" s="86" t="s">
        <v>1022</v>
      </c>
      <c r="D143" s="88" t="s">
        <v>1023</v>
      </c>
      <c r="E143" s="88" t="s">
        <v>1024</v>
      </c>
      <c r="F143" s="89" t="s">
        <v>601</v>
      </c>
      <c r="G143" s="89" t="s">
        <v>542</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1019</v>
      </c>
      <c r="B144" s="84" t="s">
        <v>1025</v>
      </c>
      <c r="C144" s="86" t="s">
        <v>1026</v>
      </c>
      <c r="D144" s="88" t="s">
        <v>1027</v>
      </c>
      <c r="E144" s="88" t="s">
        <v>1028</v>
      </c>
      <c r="F144" s="89" t="s">
        <v>601</v>
      </c>
      <c r="G144" s="89" t="s">
        <v>542</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1019</v>
      </c>
      <c r="B145" s="84" t="s">
        <v>1029</v>
      </c>
      <c r="C145" s="86" t="s">
        <v>1030</v>
      </c>
      <c r="D145" s="88" t="s">
        <v>1031</v>
      </c>
      <c r="E145" s="88" t="s">
        <v>1032</v>
      </c>
      <c r="F145" s="89" t="s">
        <v>509</v>
      </c>
      <c r="G145" s="89" t="s">
        <v>494</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1019</v>
      </c>
      <c r="B146" s="84" t="s">
        <v>1033</v>
      </c>
      <c r="C146" s="86" t="s">
        <v>1034</v>
      </c>
      <c r="D146" s="88" t="s">
        <v>1035</v>
      </c>
      <c r="E146" s="88" t="s">
        <v>1036</v>
      </c>
      <c r="F146" s="89" t="s">
        <v>509</v>
      </c>
      <c r="G146" s="89" t="s">
        <v>484</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1019</v>
      </c>
      <c r="B147" s="84" t="s">
        <v>1037</v>
      </c>
      <c r="C147" s="86" t="s">
        <v>1038</v>
      </c>
      <c r="D147" s="88" t="s">
        <v>1039</v>
      </c>
      <c r="E147" s="88" t="s">
        <v>1040</v>
      </c>
      <c r="F147" s="89" t="s">
        <v>509</v>
      </c>
      <c r="G147" s="89" t="s">
        <v>526</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1019</v>
      </c>
      <c r="B148" s="84" t="s">
        <v>1041</v>
      </c>
      <c r="C148" s="86" t="s">
        <v>1042</v>
      </c>
      <c r="D148" s="88" t="s">
        <v>1043</v>
      </c>
      <c r="E148" s="88" t="s">
        <v>1044</v>
      </c>
      <c r="F148" s="89" t="s">
        <v>601</v>
      </c>
      <c r="G148" s="89" t="s">
        <v>542</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1019</v>
      </c>
      <c r="B149" s="84" t="s">
        <v>1045</v>
      </c>
      <c r="C149" s="86" t="s">
        <v>1046</v>
      </c>
      <c r="D149" s="88" t="s">
        <v>1047</v>
      </c>
      <c r="E149" s="88" t="s">
        <v>1048</v>
      </c>
      <c r="F149" s="89" t="s">
        <v>509</v>
      </c>
      <c r="G149" s="89" t="s">
        <v>526</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1019</v>
      </c>
      <c r="B150" s="84" t="s">
        <v>1049</v>
      </c>
      <c r="C150" s="86" t="s">
        <v>1050</v>
      </c>
      <c r="D150" s="88" t="s">
        <v>1051</v>
      </c>
      <c r="E150" s="88" t="s">
        <v>1052</v>
      </c>
      <c r="F150" s="89" t="s">
        <v>755</v>
      </c>
      <c r="G150" s="89" t="s">
        <v>526</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1019</v>
      </c>
      <c r="B151" s="84" t="s">
        <v>1053</v>
      </c>
      <c r="C151" s="86" t="s">
        <v>1054</v>
      </c>
      <c r="D151" s="88" t="s">
        <v>1055</v>
      </c>
      <c r="E151" s="88" t="s">
        <v>1056</v>
      </c>
      <c r="F151" s="89" t="s">
        <v>626</v>
      </c>
      <c r="G151" s="89" t="s">
        <v>526</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1019</v>
      </c>
      <c r="B152" s="84" t="s">
        <v>1057</v>
      </c>
      <c r="C152" s="86" t="s">
        <v>1058</v>
      </c>
      <c r="D152" s="88" t="s">
        <v>1059</v>
      </c>
      <c r="E152" s="88" t="s">
        <v>1060</v>
      </c>
      <c r="F152" s="89" t="s">
        <v>509</v>
      </c>
      <c r="G152" s="89" t="s">
        <v>526</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1019</v>
      </c>
      <c r="B153" s="84" t="s">
        <v>1061</v>
      </c>
      <c r="C153" s="86" t="s">
        <v>1062</v>
      </c>
      <c r="D153" s="88" t="s">
        <v>1063</v>
      </c>
      <c r="E153" s="88" t="s">
        <v>1064</v>
      </c>
      <c r="F153" s="89" t="s">
        <v>509</v>
      </c>
      <c r="G153" s="89" t="s">
        <v>526</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1019</v>
      </c>
      <c r="B154" s="84" t="s">
        <v>1065</v>
      </c>
      <c r="C154" s="86" t="s">
        <v>1066</v>
      </c>
      <c r="D154" s="88" t="s">
        <v>1067</v>
      </c>
      <c r="E154" s="88" t="s">
        <v>1068</v>
      </c>
      <c r="F154" s="89" t="s">
        <v>509</v>
      </c>
      <c r="G154" s="89" t="s">
        <v>526</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1019</v>
      </c>
      <c r="B155" s="84" t="s">
        <v>1069</v>
      </c>
      <c r="C155" s="86" t="s">
        <v>1070</v>
      </c>
      <c r="D155" s="88" t="s">
        <v>1071</v>
      </c>
      <c r="E155" s="88" t="s">
        <v>1072</v>
      </c>
      <c r="F155" s="89" t="s">
        <v>509</v>
      </c>
      <c r="G155" s="89" t="s">
        <v>494</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1019</v>
      </c>
      <c r="B156" s="84" t="s">
        <v>1073</v>
      </c>
      <c r="C156" s="86" t="s">
        <v>1074</v>
      </c>
      <c r="D156" s="88" t="s">
        <v>1075</v>
      </c>
      <c r="E156" s="88" t="s">
        <v>1076</v>
      </c>
      <c r="F156" s="89" t="s">
        <v>509</v>
      </c>
      <c r="G156" s="89" t="s">
        <v>526</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1077</v>
      </c>
      <c r="B157" s="83">
        <v>17</v>
      </c>
      <c r="C157" s="85" t="s">
        <v>21</v>
      </c>
      <c r="D157" s="87" t="s">
        <v>1078</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1077</v>
      </c>
      <c r="B158" s="84" t="s">
        <v>1079</v>
      </c>
      <c r="C158" s="86" t="s">
        <v>1080</v>
      </c>
      <c r="D158" s="88" t="s">
        <v>1081</v>
      </c>
      <c r="E158" s="88" t="s">
        <v>1082</v>
      </c>
      <c r="F158" s="89" t="s">
        <v>626</v>
      </c>
      <c r="G158" s="89" t="s">
        <v>489</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1077</v>
      </c>
      <c r="B159" s="84" t="s">
        <v>1083</v>
      </c>
      <c r="C159" s="86" t="s">
        <v>1084</v>
      </c>
      <c r="D159" s="88" t="s">
        <v>1085</v>
      </c>
      <c r="E159" s="88" t="s">
        <v>1086</v>
      </c>
      <c r="F159" s="89" t="s">
        <v>601</v>
      </c>
      <c r="G159" s="89" t="s">
        <v>542</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1077</v>
      </c>
      <c r="B160" s="84" t="s">
        <v>1087</v>
      </c>
      <c r="C160" s="86" t="s">
        <v>1088</v>
      </c>
      <c r="D160" s="88" t="s">
        <v>1089</v>
      </c>
      <c r="E160" s="88" t="s">
        <v>1090</v>
      </c>
      <c r="F160" s="89" t="s">
        <v>601</v>
      </c>
      <c r="G160" s="89" t="s">
        <v>542</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1077</v>
      </c>
      <c r="B161" s="84" t="s">
        <v>1091</v>
      </c>
      <c r="C161" s="86" t="s">
        <v>1092</v>
      </c>
      <c r="D161" s="88" t="s">
        <v>1093</v>
      </c>
      <c r="E161" s="88" t="s">
        <v>1094</v>
      </c>
      <c r="F161" s="89" t="s">
        <v>601</v>
      </c>
      <c r="G161" s="89" t="s">
        <v>542</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1077</v>
      </c>
      <c r="B162" s="84" t="s">
        <v>1095</v>
      </c>
      <c r="C162" s="86" t="s">
        <v>1096</v>
      </c>
      <c r="D162" s="88" t="s">
        <v>1097</v>
      </c>
      <c r="E162" s="88" t="s">
        <v>1098</v>
      </c>
      <c r="F162" s="89" t="s">
        <v>626</v>
      </c>
      <c r="G162" s="89" t="s">
        <v>489</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1077</v>
      </c>
      <c r="B163" s="84" t="s">
        <v>1099</v>
      </c>
      <c r="C163" s="86" t="s">
        <v>1100</v>
      </c>
      <c r="D163" s="88" t="s">
        <v>1101</v>
      </c>
      <c r="E163" s="88" t="s">
        <v>1102</v>
      </c>
      <c r="F163" s="89" t="s">
        <v>626</v>
      </c>
      <c r="G163" s="89" t="s">
        <v>489</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1077</v>
      </c>
      <c r="B164" s="84" t="s">
        <v>1103</v>
      </c>
      <c r="C164" s="86" t="s">
        <v>1104</v>
      </c>
      <c r="D164" s="88" t="s">
        <v>1105</v>
      </c>
      <c r="E164" s="88" t="s">
        <v>1106</v>
      </c>
      <c r="F164" s="89" t="s">
        <v>626</v>
      </c>
      <c r="G164" s="89" t="s">
        <v>858</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1077</v>
      </c>
      <c r="B165" s="84" t="s">
        <v>1107</v>
      </c>
      <c r="C165" s="86" t="s">
        <v>1108</v>
      </c>
      <c r="D165" s="88" t="s">
        <v>1109</v>
      </c>
      <c r="E165" s="88" t="s">
        <v>1110</v>
      </c>
      <c r="F165" s="89" t="s">
        <v>626</v>
      </c>
      <c r="G165" s="89" t="s">
        <v>858</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1077</v>
      </c>
      <c r="B166" s="84" t="s">
        <v>1111</v>
      </c>
      <c r="C166" s="86" t="s">
        <v>1112</v>
      </c>
      <c r="D166" s="88" t="s">
        <v>1113</v>
      </c>
      <c r="E166" s="88" t="s">
        <v>1114</v>
      </c>
      <c r="F166" s="89" t="s">
        <v>601</v>
      </c>
      <c r="G166" s="89" t="s">
        <v>858</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1115</v>
      </c>
      <c r="B167" s="83">
        <v>18</v>
      </c>
      <c r="C167" s="85" t="s">
        <v>21</v>
      </c>
      <c r="D167" s="87" t="s">
        <v>1116</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1115</v>
      </c>
      <c r="B168" s="84" t="s">
        <v>1117</v>
      </c>
      <c r="C168" s="86" t="s">
        <v>1118</v>
      </c>
      <c r="D168" s="88" t="s">
        <v>1119</v>
      </c>
      <c r="E168" s="88" t="s">
        <v>1120</v>
      </c>
      <c r="F168" s="89" t="s">
        <v>601</v>
      </c>
      <c r="G168" s="89" t="s">
        <v>542</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1115</v>
      </c>
      <c r="B169" s="84" t="s">
        <v>1121</v>
      </c>
      <c r="C169" s="86" t="s">
        <v>1122</v>
      </c>
      <c r="D169" s="88" t="s">
        <v>1123</v>
      </c>
      <c r="E169" s="88" t="s">
        <v>1124</v>
      </c>
      <c r="F169" s="89" t="s">
        <v>755</v>
      </c>
      <c r="G169" s="89" t="s">
        <v>494</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1115</v>
      </c>
      <c r="B170" s="84" t="s">
        <v>1125</v>
      </c>
      <c r="C170" s="86" t="s">
        <v>1126</v>
      </c>
      <c r="D170" s="88" t="s">
        <v>1127</v>
      </c>
      <c r="E170" s="88" t="s">
        <v>1128</v>
      </c>
      <c r="F170" s="89" t="s">
        <v>755</v>
      </c>
      <c r="G170" s="89" t="s">
        <v>526</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1115</v>
      </c>
      <c r="B171" s="84" t="s">
        <v>1129</v>
      </c>
      <c r="C171" s="86" t="s">
        <v>1130</v>
      </c>
      <c r="D171" s="88" t="s">
        <v>1131</v>
      </c>
      <c r="E171" s="88" t="s">
        <v>1132</v>
      </c>
      <c r="F171" s="89" t="s">
        <v>755</v>
      </c>
      <c r="G171" s="89" t="s">
        <v>526</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1115</v>
      </c>
      <c r="B172" s="94" t="s">
        <v>1133</v>
      </c>
      <c r="C172" s="95" t="s">
        <v>1134</v>
      </c>
      <c r="D172" s="96" t="s">
        <v>1135</v>
      </c>
      <c r="E172" s="96" t="s">
        <v>1136</v>
      </c>
      <c r="F172" s="97" t="s">
        <v>755</v>
      </c>
      <c r="G172" s="97" t="s">
        <v>494</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109" t="s">
        <v>206</v>
      </c>
      <c r="B176" s="109"/>
      <c r="C176" s="109"/>
      <c r="D176" s="109"/>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IFERROR(INDEX('Recommendations'!$H$2:$H$38, MATCH(J2,'Recommendations'!$A$2:$A$38,0))="Implemented", FALSE))</xm:f>
            <x14:dxf>
              <font>
                <color rgb="FF000000"/>
              </font>
              <fill>
                <patternFill>
                  <bgColor rgb="FF3C7D22"/>
                </patternFill>
              </fill>
            </x14:dxf>
          </x14:cfRule>
          <x14:cfRule type="expression" priority="2" id="{00000000-000E-0000-0400-000002000000}">
            <xm:f>AND(J2&lt;&gt;"", IFERROR(INDEX('Recommendations'!$H$2:$H$38, MATCH(J2,'Recommendations'!$A$2:$A$38,0))="Compensated", FALSE))</xm:f>
            <x14:dxf>
              <font>
                <color rgb="FF000000"/>
              </font>
              <fill>
                <patternFill>
                  <bgColor rgb="FFC6E0B4"/>
                </patternFill>
              </fill>
            </x14:dxf>
          </x14:cfRule>
          <x14:cfRule type="expression" priority="3" id="{00000000-000E-0000-0400-000003000000}">
            <xm:f>AND(J2&lt;&gt;"", IFERROR(INDEX('Recommendations'!$H$2:$H$38, MATCH(J2,'Recommendations'!$A$2:$A$38,0))="Testing", FALSE))</xm:f>
            <x14:dxf>
              <font>
                <color rgb="FF000000"/>
              </font>
              <fill>
                <patternFill>
                  <bgColor rgb="FFFFC000"/>
                </patternFill>
              </fill>
            </x14:dxf>
          </x14:cfRule>
          <x14:cfRule type="expression" priority="4" id="{00000000-000E-0000-0400-000004000000}">
            <xm:f>AND(J2&lt;&gt;"", IFERROR(INDEX('Recommendations'!$H$2:$H$38, MATCH(J2,'Recommendations'!$A$2:$A$38,0))="Failed", FALSE))</xm:f>
            <x14:dxf>
              <font>
                <color rgb="FF000000"/>
              </font>
              <fill>
                <patternFill>
                  <bgColor rgb="FFD82891"/>
                </patternFill>
              </fill>
            </x14:dxf>
          </x14:cfRule>
          <x14:cfRule type="expression" priority="5" id="{00000000-000E-0000-0400-000005000000}">
            <xm:f>AND(J2&lt;&gt;"", IFERROR(INDEX('Recommendations'!$H$2:$H$38, MATCH(J2,'Recommendations'!$A$2:$A$38,0))="Risk Accepted", FALSE))</xm:f>
            <x14:dxf>
              <font>
                <color rgb="FF000000"/>
              </font>
              <fill>
                <patternFill>
                  <bgColor rgb="FFD9D9D9"/>
                </patternFill>
              </fill>
            </x14:dxf>
          </x14:cfRule>
          <x14:cfRule type="expression" priority="6" id="{00000000-000E-0000-0400-000006000000}">
            <xm:f>AND(J2&lt;&gt;"", IFERROR(INDEX('Recommendations'!$H$2:$H$38, MATCH(J2,'Recommendations'!$A$2:$A$38,0))="N/A",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Google Android 14 BYOAD Security Technical Implementation Guide - SHGIR</dc:title>
  <dc:subject>Generated on: 2026-06-08 12:45:56</dc:subject>
  <dc:creator>Anicet Fopa Tchoffo</dc:creator>
  <cp:keywords>Baseline;Hardening;DISA;STIG</cp:keywords>
  <dc:description>Baseline Developed By: Google and Defense Information Systems Agency (DISA) for the US DoD</dc:description>
  <cp:lastModifiedBy>Anicet Fopa Tchoffo</cp:lastModifiedBy>
  <dcterms:modified xsi:type="dcterms:W3CDTF">2026-06-08T11:46:05Z</dcterms:modified>
  <cp:category>DISA-STIG</cp:category>
  <cp:contentStatus>Draft</cp:contentStatus>
</cp:coreProperties>
</file>