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6" documentId="11_313AF58C7BCC9B097D9BB1C99A1F8EB098BCAAB2" xr6:coauthVersionLast="47" xr6:coauthVersionMax="47" xr10:uidLastSave="{1124CBDA-BBAC-4F8A-A5F6-96F3C04C87BD}"/>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F133" i="3" s="1"/>
  <c r="R208" i="3"/>
  <c r="R207" i="3"/>
  <c r="R206" i="3"/>
  <c r="R205" i="3"/>
  <c r="R204" i="3"/>
  <c r="R203" i="3"/>
  <c r="R202" i="3"/>
  <c r="R201" i="3"/>
  <c r="R200" i="3"/>
  <c r="R199" i="3"/>
  <c r="R198" i="3"/>
  <c r="R197" i="3"/>
  <c r="R196" i="3"/>
  <c r="R195" i="3"/>
  <c r="R194" i="3"/>
  <c r="R193" i="3"/>
  <c r="R192" i="3"/>
  <c r="R191" i="3"/>
  <c r="R190" i="3"/>
  <c r="R189" i="3"/>
  <c r="O133" i="3"/>
  <c r="N133" i="3"/>
  <c r="M133" i="3"/>
  <c r="L133" i="3"/>
  <c r="K133" i="3"/>
  <c r="E133" i="3"/>
  <c r="O132" i="3"/>
  <c r="N132" i="3"/>
  <c r="M132" i="3"/>
  <c r="L132" i="3"/>
  <c r="K132" i="3"/>
  <c r="F132" i="3"/>
  <c r="E132" i="3"/>
  <c r="G132" i="3" s="1"/>
  <c r="O131" i="3"/>
  <c r="N131" i="3"/>
  <c r="M131" i="3"/>
  <c r="L131" i="3"/>
  <c r="K131" i="3"/>
  <c r="F131" i="3"/>
  <c r="E131" i="3"/>
  <c r="G131" i="3" s="1"/>
  <c r="O130" i="3"/>
  <c r="N130" i="3"/>
  <c r="M130" i="3"/>
  <c r="L130" i="3"/>
  <c r="K130" i="3"/>
  <c r="F130" i="3"/>
  <c r="E130" i="3"/>
  <c r="G130" i="3" s="1"/>
  <c r="O129" i="3"/>
  <c r="N129" i="3"/>
  <c r="M129" i="3"/>
  <c r="L129" i="3"/>
  <c r="K129" i="3"/>
  <c r="F129" i="3"/>
  <c r="E129" i="3"/>
  <c r="G129" i="3" s="1"/>
  <c r="O128" i="3"/>
  <c r="N128" i="3"/>
  <c r="M128" i="3"/>
  <c r="L128" i="3"/>
  <c r="K128" i="3"/>
  <c r="F128" i="3"/>
  <c r="E128" i="3"/>
  <c r="G128" i="3" s="1"/>
  <c r="C118" i="3"/>
  <c r="E114" i="3"/>
  <c r="D114" i="3"/>
  <c r="C114" i="3"/>
  <c r="F114" i="3" s="1"/>
  <c r="E113" i="3"/>
  <c r="D113" i="3"/>
  <c r="C113" i="3"/>
  <c r="F113" i="3" s="1"/>
  <c r="E112" i="3"/>
  <c r="D112" i="3"/>
  <c r="C112" i="3"/>
  <c r="F112" i="3" s="1"/>
  <c r="F111" i="3"/>
  <c r="E118" i="3" s="1"/>
  <c r="E111" i="3"/>
  <c r="D111" i="3"/>
  <c r="C111" i="3"/>
  <c r="C99" i="3"/>
  <c r="F94" i="3"/>
  <c r="E102" i="3" s="1"/>
  <c r="E94" i="3"/>
  <c r="D94" i="3"/>
  <c r="C94" i="3"/>
  <c r="E93" i="3"/>
  <c r="D93" i="3"/>
  <c r="F93" i="3" s="1"/>
  <c r="C93" i="3"/>
  <c r="E92" i="3"/>
  <c r="D92" i="3"/>
  <c r="C92" i="3"/>
  <c r="F92" i="3" s="1"/>
  <c r="F91" i="3"/>
  <c r="V174" i="3" s="1"/>
  <c r="E91" i="3"/>
  <c r="D91" i="3"/>
  <c r="C91" i="3"/>
  <c r="U144" i="3" s="1"/>
  <c r="F90" i="3"/>
  <c r="T174" i="3" s="1"/>
  <c r="E90" i="3"/>
  <c r="D90" i="3"/>
  <c r="C90" i="3"/>
  <c r="S144" i="3" s="1"/>
  <c r="E75" i="3"/>
  <c r="D75" i="3"/>
  <c r="C75" i="3"/>
  <c r="F75" i="3" s="1"/>
  <c r="E74" i="3"/>
  <c r="D74" i="3"/>
  <c r="C74" i="3"/>
  <c r="F74" i="3" s="1"/>
  <c r="E73" i="3"/>
  <c r="D73" i="3"/>
  <c r="C73" i="3"/>
  <c r="F73" i="3" s="1"/>
  <c r="E55" i="3"/>
  <c r="D55" i="3"/>
  <c r="F55" i="3" s="1"/>
  <c r="C55" i="3"/>
  <c r="E54" i="3"/>
  <c r="D54" i="3"/>
  <c r="C54" i="3"/>
  <c r="F54" i="3" s="1"/>
  <c r="E53" i="3"/>
  <c r="D53" i="3"/>
  <c r="C53" i="3"/>
  <c r="F53" i="3" s="1"/>
  <c r="E52" i="3"/>
  <c r="D52" i="3"/>
  <c r="C52" i="3"/>
  <c r="F52" i="3" s="1"/>
  <c r="E51" i="3"/>
  <c r="D51" i="3"/>
  <c r="C51" i="3"/>
  <c r="F51" i="3" s="1"/>
  <c r="E50" i="3"/>
  <c r="D50" i="3"/>
  <c r="C50" i="3"/>
  <c r="F50" i="3" s="1"/>
  <c r="E33" i="3"/>
  <c r="D33" i="3"/>
  <c r="C33" i="3"/>
  <c r="F33" i="3" s="1"/>
  <c r="E32" i="3"/>
  <c r="F32" i="3" s="1"/>
  <c r="D32" i="3"/>
  <c r="C32" i="3"/>
  <c r="E31" i="3"/>
  <c r="D31" i="3"/>
  <c r="C31" i="3"/>
  <c r="F31" i="3" s="1"/>
  <c r="E30" i="3"/>
  <c r="D30" i="3"/>
  <c r="C30" i="3"/>
  <c r="F30" i="3" s="1"/>
  <c r="E29" i="3"/>
  <c r="D29" i="3"/>
  <c r="C29" i="3"/>
  <c r="F29" i="3" s="1"/>
  <c r="F16" i="3"/>
  <c r="R175" i="3" s="1"/>
  <c r="E16" i="3"/>
  <c r="D16" i="3"/>
  <c r="C16" i="3"/>
  <c r="Q144" i="3" s="1"/>
  <c r="C9" i="3"/>
  <c r="D9" i="3" s="1"/>
  <c r="C8" i="3"/>
  <c r="D8" i="3" s="1"/>
  <c r="E41" i="3" l="1"/>
  <c r="D41" i="3"/>
  <c r="C41" i="3"/>
  <c r="G133" i="3"/>
  <c r="C79" i="3"/>
  <c r="E79" i="3"/>
  <c r="D79" i="3"/>
  <c r="E40" i="3"/>
  <c r="D40" i="3"/>
  <c r="C40" i="3"/>
  <c r="E101" i="3"/>
  <c r="D101" i="3"/>
  <c r="C101" i="3"/>
  <c r="D59" i="3"/>
  <c r="C59" i="3"/>
  <c r="E59" i="3"/>
  <c r="X174" i="3"/>
  <c r="X169" i="3"/>
  <c r="X164" i="3"/>
  <c r="X159" i="3"/>
  <c r="X154" i="3"/>
  <c r="X149" i="3"/>
  <c r="E100" i="3"/>
  <c r="X173" i="3"/>
  <c r="X168" i="3"/>
  <c r="X163" i="3"/>
  <c r="X158" i="3"/>
  <c r="X153" i="3"/>
  <c r="X148" i="3"/>
  <c r="C100" i="3"/>
  <c r="X172" i="3"/>
  <c r="X167" i="3"/>
  <c r="X162" i="3"/>
  <c r="X157" i="3"/>
  <c r="X152" i="3"/>
  <c r="X147" i="3"/>
  <c r="X176" i="3"/>
  <c r="X171" i="3"/>
  <c r="X166" i="3"/>
  <c r="X161" i="3"/>
  <c r="X156" i="3"/>
  <c r="X151" i="3"/>
  <c r="X146" i="3"/>
  <c r="X175" i="3"/>
  <c r="X170" i="3"/>
  <c r="X165" i="3"/>
  <c r="X160" i="3"/>
  <c r="X155" i="3"/>
  <c r="X150" i="3"/>
  <c r="D100" i="3"/>
  <c r="E60" i="3"/>
  <c r="D60" i="3"/>
  <c r="C60" i="3"/>
  <c r="E81" i="3"/>
  <c r="D81" i="3"/>
  <c r="C81" i="3"/>
  <c r="D37" i="3"/>
  <c r="E37" i="3"/>
  <c r="C37" i="3"/>
  <c r="E80" i="3"/>
  <c r="D80" i="3"/>
  <c r="C80" i="3"/>
  <c r="E64" i="3"/>
  <c r="D64" i="3"/>
  <c r="C64" i="3"/>
  <c r="E61" i="3"/>
  <c r="C61" i="3"/>
  <c r="D61" i="3"/>
  <c r="D62" i="3"/>
  <c r="C62" i="3"/>
  <c r="E62" i="3"/>
  <c r="E119" i="3"/>
  <c r="D119" i="3"/>
  <c r="C119" i="3"/>
  <c r="E39" i="3"/>
  <c r="D39" i="3"/>
  <c r="C39" i="3"/>
  <c r="E121" i="3"/>
  <c r="D121" i="3"/>
  <c r="C121" i="3"/>
  <c r="D38" i="3"/>
  <c r="E38" i="3"/>
  <c r="C38" i="3"/>
  <c r="E63" i="3"/>
  <c r="D63" i="3"/>
  <c r="C63" i="3"/>
  <c r="E120" i="3"/>
  <c r="D120" i="3"/>
  <c r="C120" i="3"/>
  <c r="C7" i="3"/>
  <c r="D7" i="3" s="1"/>
  <c r="C102" i="3"/>
  <c r="D118" i="3"/>
  <c r="T150" i="3"/>
  <c r="T155" i="3"/>
  <c r="T160" i="3"/>
  <c r="T165" i="3"/>
  <c r="T170" i="3"/>
  <c r="T175" i="3"/>
  <c r="D102" i="3"/>
  <c r="V150" i="3"/>
  <c r="V155" i="3"/>
  <c r="V160" i="3"/>
  <c r="V165" i="3"/>
  <c r="V170" i="3"/>
  <c r="V175" i="3"/>
  <c r="W144" i="3"/>
  <c r="R146" i="3"/>
  <c r="R151" i="3"/>
  <c r="R156" i="3"/>
  <c r="R161" i="3"/>
  <c r="R166" i="3"/>
  <c r="R171" i="3"/>
  <c r="R176" i="3"/>
  <c r="T146" i="3"/>
  <c r="T151" i="3"/>
  <c r="T156" i="3"/>
  <c r="T161" i="3"/>
  <c r="T166" i="3"/>
  <c r="T171" i="3"/>
  <c r="T176" i="3"/>
  <c r="C20" i="3"/>
  <c r="V146" i="3"/>
  <c r="V151" i="3"/>
  <c r="V156" i="3"/>
  <c r="V161" i="3"/>
  <c r="V166" i="3"/>
  <c r="V171" i="3"/>
  <c r="V176" i="3"/>
  <c r="R147" i="3"/>
  <c r="R152" i="3"/>
  <c r="R157" i="3"/>
  <c r="R162" i="3"/>
  <c r="R167" i="3"/>
  <c r="R172" i="3"/>
  <c r="D20" i="3"/>
  <c r="C98" i="3"/>
  <c r="T147" i="3"/>
  <c r="T152" i="3"/>
  <c r="T157" i="3"/>
  <c r="T162" i="3"/>
  <c r="T167" i="3"/>
  <c r="T172" i="3"/>
  <c r="E20" i="3"/>
  <c r="D98" i="3"/>
  <c r="V147" i="3"/>
  <c r="V152" i="3"/>
  <c r="V157" i="3"/>
  <c r="V162" i="3"/>
  <c r="V167" i="3"/>
  <c r="V172" i="3"/>
  <c r="E98" i="3"/>
  <c r="R148" i="3"/>
  <c r="R153" i="3"/>
  <c r="R158" i="3"/>
  <c r="R163" i="3"/>
  <c r="R168" i="3"/>
  <c r="R173" i="3"/>
  <c r="D99" i="3"/>
  <c r="T148" i="3"/>
  <c r="T153" i="3"/>
  <c r="T158" i="3"/>
  <c r="T163" i="3"/>
  <c r="T168" i="3"/>
  <c r="T173" i="3"/>
  <c r="E99" i="3"/>
  <c r="V148" i="3"/>
  <c r="V153" i="3"/>
  <c r="V158" i="3"/>
  <c r="V163" i="3"/>
  <c r="V168" i="3"/>
  <c r="V173" i="3"/>
  <c r="R149" i="3"/>
  <c r="R154" i="3"/>
  <c r="R159" i="3"/>
  <c r="R164" i="3"/>
  <c r="R169" i="3"/>
  <c r="R174" i="3"/>
  <c r="T149" i="3"/>
  <c r="T154" i="3"/>
  <c r="T159" i="3"/>
  <c r="T164" i="3"/>
  <c r="T169" i="3"/>
  <c r="V149" i="3"/>
  <c r="V154" i="3"/>
  <c r="V159" i="3"/>
  <c r="V164" i="3"/>
  <c r="V169" i="3"/>
  <c r="R150" i="3"/>
  <c r="R155" i="3"/>
  <c r="R160" i="3"/>
  <c r="R165" i="3"/>
  <c r="R17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The F5 BIG-IP appliance must be running an operating system release that is currently supported by the vendor.</t>
        </r>
      </text>
    </comment>
    <comment ref="J13" authorId="0" shapeId="0" xr:uid="{00000000-0006-0000-0400-000002000000}">
      <text>
        <r>
          <rPr>
            <sz val="11"/>
            <rFont val="Calibri"/>
          </rPr>
          <t>The F5 BIG-IP appliance must be configured to prevent the installation of patches, service packs, or application components without verification the software component has been digitally signed using a certificate that is recognized and approved by the organization.</t>
        </r>
      </text>
    </comment>
    <comment ref="J26" authorId="0" shapeId="0" xr:uid="{00000000-0006-0000-0400-000003000000}">
      <text>
        <r>
          <rPr>
            <sz val="11"/>
            <rFont val="Calibri"/>
          </rPr>
          <t>The F5 BIG-IP appliance providing intermediary services for remote access must use FIPS-validated cryptographic algorithms, including TLS 1.2 at a minimum.</t>
        </r>
      </text>
    </comment>
    <comment ref="K26" authorId="0" shapeId="0" xr:uid="{00000000-0006-0000-0400-000009000000}">
      <text>
        <r>
          <rPr>
            <sz val="11"/>
            <rFont val="Calibri"/>
          </rPr>
          <t>The F5 BIG-IP appliance must be configured to use cryptographic algorithms approved by NSA to protect NSS for remote access to a classified network.</t>
        </r>
      </text>
    </comment>
    <comment ref="L26" authorId="0" shapeId="0" xr:uid="{00000000-0006-0000-0400-000004000000}">
      <text>
        <r>
          <rPr>
            <sz val="11"/>
            <rFont val="Calibri"/>
          </rPr>
          <t>The F5 BIG-IP appliance must be configured to use a Diffie-Hellman (DH) Group of 16 or greater for Internet Key Exchange (IKE) Phase 1.</t>
        </r>
      </text>
    </comment>
    <comment ref="M26" authorId="0" shapeId="0" xr:uid="{00000000-0006-0000-0400-000005000000}">
      <text>
        <r>
          <rPr>
            <sz val="11"/>
            <rFont val="Calibri"/>
          </rPr>
          <t>The F5 BIG-IP appliance IPsec VPN Gateway must use AES256 or higher encryption for the Internet Key Exchange (IKE) proposal to protect confidentiality of remote access sessions.</t>
        </r>
      </text>
    </comment>
    <comment ref="N26" authorId="0" shapeId="0" xr:uid="{00000000-0006-0000-0400-000006000000}">
      <text>
        <r>
          <rPr>
            <sz val="11"/>
            <rFont val="Calibri"/>
          </rPr>
          <t>The F5 BIG-IP appliance IPsec VPN must use AES256 or greater encryption for the IPsec proposal.</t>
        </r>
      </text>
    </comment>
    <comment ref="O26" authorId="0" shapeId="0" xr:uid="{00000000-0006-0000-0400-000007000000}">
      <text>
        <r>
          <rPr>
            <sz val="11"/>
            <rFont val="Calibri"/>
          </rPr>
          <t>The F5 BIG-IP appliance IPsec VPN must use cryptographic algorithms approved by NSA to protect NSS when transporting classified traffic across an unclassified network.</t>
        </r>
      </text>
    </comment>
    <comment ref="P26" authorId="0" shapeId="0" xr:uid="{00000000-0006-0000-0400-000008000000}">
      <text>
        <r>
          <rPr>
            <sz val="11"/>
            <rFont val="Calibri"/>
          </rPr>
          <t>The F5 BIG-IP appliance IPsec VPN must be configured to use FIPS-validated SHA-2 or higher for Internet Key Exchange (IKE).</t>
        </r>
      </text>
    </comment>
    <comment ref="J32" authorId="0" shapeId="0" xr:uid="{00000000-0006-0000-0400-00000A000000}">
      <text>
        <r>
          <rPr>
            <sz val="11"/>
            <rFont val="Calibri"/>
          </rPr>
          <t>The F5 BIG-IP appliance must be configured to display the Standard Mandatory DOD Notice and Consent Banner upon access to the TMOS User Interface.</t>
        </r>
      </text>
    </comment>
    <comment ref="K32" authorId="0" shapeId="0" xr:uid="{00000000-0006-0000-0400-00000B000000}">
      <text>
        <r>
          <rPr>
            <sz val="11"/>
            <rFont val="Calibri"/>
          </rPr>
          <t>The F5 BIG-IP appliance must be configured to prevent the installation of patches, service packs, or application components without verification the software component has been digitally signed using a certificate that is recognized and approved by the organization.</t>
        </r>
      </text>
    </comment>
    <comment ref="L32" authorId="0" shapeId="0" xr:uid="{00000000-0006-0000-0400-00000C000000}">
      <text>
        <r>
          <rPr>
            <sz val="11"/>
            <rFont val="Calibri"/>
          </rPr>
          <t>The F5 BIG-IP appliance must be configured to display the Standard Mandatory DOD Notice and Consent Banner when accessing via SSH.</t>
        </r>
      </text>
    </comment>
    <comment ref="M32" authorId="0" shapeId="0" xr:uid="{00000000-0006-0000-0400-00000D000000}">
      <text>
        <r>
          <rPr>
            <sz val="11"/>
            <rFont val="Calibri"/>
          </rPr>
          <t>The F5 BIG-IP appliance providing user access control intermediary services must display the Standard Mandatory DOD-approved Notice and Consent Banner before granting access to the network.</t>
        </r>
      </text>
    </comment>
    <comment ref="J34" authorId="0" shapeId="0" xr:uid="{00000000-0006-0000-0400-00000E000000}">
      <text>
        <r>
          <rPr>
            <sz val="11"/>
            <rFont val="Calibri"/>
          </rPr>
          <t>The F5 BIG-IP appliance must be configured to limit the number of concurrent sessions to the Configuration Utility to 10 or an organization-defined number.</t>
        </r>
      </text>
    </comment>
    <comment ref="K34" authorId="0" shapeId="0" xr:uid="{00000000-0006-0000-0400-00000F000000}">
      <text>
        <r>
          <rPr>
            <sz val="11"/>
            <rFont val="Calibri"/>
          </rPr>
          <t>The F5 BIG-IP appliance must set the idle time before automatic logout to five minutes of inactivity except to fulfill documented and validated mission requirements.</t>
        </r>
      </text>
    </comment>
    <comment ref="L34" authorId="0" shapeId="0" xr:uid="{00000000-0006-0000-0400-000010000000}">
      <text>
        <r>
          <rPr>
            <sz val="11"/>
            <rFont val="Calibri"/>
          </rPr>
          <t>The F5 BIG-IP appliance providing user access control intermediary services must limit the number of concurrent sessions to one or an organization-defined number for each access profile.</t>
        </r>
      </text>
    </comment>
    <comment ref="M34" authorId="0" shapeId="0" xr:uid="{00000000-0006-0000-0400-000011000000}">
      <text>
        <r>
          <rPr>
            <sz val="11"/>
            <rFont val="Calibri"/>
          </rPr>
          <t>The F5 BIG-IP appliance must terminate all network connections associated with a communications session at the end of the session or after 15 minutes of inactivity.</t>
        </r>
      </text>
    </comment>
    <comment ref="N34" authorId="0" shapeId="0" xr:uid="{00000000-0006-0000-0400-000012000000}">
      <text>
        <r>
          <rPr>
            <sz val="11"/>
            <rFont val="Calibri"/>
          </rPr>
          <t>The F5 BIG-IP appliance must be configured to limit authenticated client sessions to initial session source IP.</t>
        </r>
      </text>
    </comment>
    <comment ref="O34" authorId="0" shapeId="0" xr:uid="{00000000-0006-0000-0400-000013000000}">
      <text>
        <r>
          <rPr>
            <sz val="11"/>
            <rFont val="Calibri"/>
          </rPr>
          <t xml:space="preserve">The F5 BIG-IP appliance must be configured to set the </t>
        </r>
        <r>
          <rPr>
            <sz val="11"/>
            <color rgb="FF000000"/>
            <rFont val="Calibri"/>
          </rPr>
          <t>"</t>
        </r>
        <r>
          <rPr>
            <b/>
            <sz val="11"/>
            <color rgb="FF000000"/>
            <rFont val="Calibri"/>
          </rPr>
          <t>Max In Progress Sessions per Client IP</t>
        </r>
        <r>
          <rPr>
            <sz val="11"/>
            <color rgb="FF000000"/>
            <rFont val="Calibri"/>
          </rPr>
          <t>"</t>
        </r>
        <r>
          <rPr>
            <sz val="11"/>
            <color rgb="FF000000"/>
            <rFont val="Calibri"/>
          </rPr>
          <t xml:space="preserve"> value to 10 or an organizational-defined number.</t>
        </r>
      </text>
    </comment>
    <comment ref="J35" authorId="0" shapeId="0" xr:uid="{00000000-0006-0000-0400-000014000000}">
      <text>
        <r>
          <rPr>
            <sz val="11"/>
            <rFont val="Calibri"/>
          </rPr>
          <t>Primary authoritative name servers must be configured to only receive zone transfer requests from specified secondary name servers.</t>
        </r>
      </text>
    </comment>
    <comment ref="K35" authorId="0" shapeId="0" xr:uid="{00000000-0006-0000-0400-000015000000}">
      <text>
        <r>
          <rPr>
            <sz val="11"/>
            <rFont val="Calibri"/>
          </rPr>
          <t>The F5 BIG-IP DNS server implementation must validate the binding of the other DNS server</t>
        </r>
        <r>
          <rPr>
            <sz val="11"/>
            <color rgb="FF000000"/>
            <rFont val="Calibri"/>
          </rPr>
          <t>'</t>
        </r>
        <r>
          <rPr>
            <sz val="11"/>
            <color rgb="FF000000"/>
            <rFont val="Calibri"/>
          </rPr>
          <t>s identity to the DNS information for a server-to-server transaction (e.g., zone transfer).</t>
        </r>
      </text>
    </comment>
    <comment ref="L35" authorId="0" shapeId="0" xr:uid="{00000000-0006-0000-0400-000016000000}">
      <text>
        <r>
          <rPr>
            <sz val="11"/>
            <rFont val="Calibri"/>
          </rPr>
          <t>The F5 BIG-IP DNS implementation must protect the authenticity of communications sessions for zone transfers.</t>
        </r>
      </text>
    </comment>
    <comment ref="M35" authorId="0" shapeId="0" xr:uid="{00000000-0006-0000-0400-000017000000}">
      <text>
        <r>
          <rPr>
            <sz val="11"/>
            <rFont val="Calibri"/>
          </rPr>
          <t>The F5 BIG-IP appliance that filters traffic from the VPN access points must be configured with organization-defined filtering rules that apply to the monitoring of remote access traffic.</t>
        </r>
      </text>
    </comment>
    <comment ref="N35" authorId="0" shapeId="0" xr:uid="{00000000-0006-0000-0400-000018000000}">
      <text>
        <r>
          <rPr>
            <sz val="11"/>
            <rFont val="Calibri"/>
          </rPr>
          <t>The F5 BIG-IP appliance must be configured to use filters that use packet headers and packet attributes, including source and destination IP addresses and ports, to prevent the flow of unauthorized or suspicious traffic between interconnected networks with different security policies, including perimeter firewalls and server VLANs.</t>
        </r>
      </text>
    </comment>
    <comment ref="O35" authorId="0" shapeId="0" xr:uid="{00000000-0006-0000-0400-000019000000}">
      <text>
        <r>
          <rPr>
            <sz val="11"/>
            <rFont val="Calibri"/>
          </rPr>
          <t>The F5 BIG-IP appliance must be configured to inspect all inbound and outbound traffic at the application layer.</t>
        </r>
      </text>
    </comment>
    <comment ref="P35" authorId="0" shapeId="0" xr:uid="{00000000-0006-0000-0400-00001A000000}">
      <text>
        <r>
          <rPr>
            <sz val="11"/>
            <rFont val="Calibri"/>
          </rPr>
          <t>The BIG-IP appliance perimeter firewall must be configured to filter traffic destined to the enclave in accordance with the specific traffic that is approved and registered in the Ports, Protocols, and Services Management (PPSM) Category Assurance List (CAL) and vulnerability assessments.</t>
        </r>
      </text>
    </comment>
    <comment ref="J38" authorId="0" shapeId="0" xr:uid="{00000000-0006-0000-0400-00001B000000}">
      <text>
        <r>
          <rPr>
            <sz val="11"/>
            <rFont val="Calibri"/>
          </rPr>
          <t>The F5 BIG-IP appliance must terminate shared/group account credentials when members leave the group.</t>
        </r>
      </text>
    </comment>
    <comment ref="K38" authorId="0" shapeId="0" xr:uid="{00000000-0006-0000-0400-00001C000000}">
      <text>
        <r>
          <rPr>
            <sz val="11"/>
            <rFont val="Calibri"/>
          </rPr>
          <t>The F5 BIG-IP appliance must be configured with only one local account to be used as the account of last resort in the event the authentication server is unavailable.</t>
        </r>
      </text>
    </comment>
    <comment ref="J39" authorId="0" shapeId="0" xr:uid="{00000000-0006-0000-0400-00001D000000}">
      <text>
        <r>
          <rPr>
            <sz val="11"/>
            <rFont val="Calibri"/>
          </rPr>
          <t>The F5 BIG-IP DNS implementation must prohibit recursion on authoritative name servers.</t>
        </r>
      </text>
    </comment>
    <comment ref="K39" authorId="0" shapeId="0" xr:uid="{00000000-0006-0000-0400-00001E000000}">
      <text>
        <r>
          <rPr>
            <sz val="11"/>
            <rFont val="Calibri"/>
          </rPr>
          <t>The F5 BIG-IP appliance must be configured to prohibit the use of all unnecessary and/or nonsecure functions, ports, protocols, and/or services.</t>
        </r>
      </text>
    </comment>
    <comment ref="L39" authorId="0" shapeId="0" xr:uid="{00000000-0006-0000-0400-00001F000000}">
      <text>
        <r>
          <rPr>
            <sz val="11"/>
            <rFont val="Calibri"/>
          </rPr>
          <t>The F5 BIG-IP appliance must be configured to prohibit or restrict the use of unnecessary or prohibited functions, ports, protocols, and/or services, including those defined in the PPSM CAL and vulnerability assessments.</t>
        </r>
      </text>
    </comment>
    <comment ref="J41" authorId="0" shapeId="0" xr:uid="{00000000-0006-0000-0400-000020000000}">
      <text>
        <r>
          <rPr>
            <sz val="11"/>
            <rFont val="Calibri"/>
          </rPr>
          <t>The F5 BIG-IP appliance must be configured to enforce the limit of three consecutive invalid logon attempts, after which time it must block any login attempt for at least 15 minutes.</t>
        </r>
      </text>
    </comment>
    <comment ref="J45" authorId="0" shapeId="0" xr:uid="{00000000-0006-0000-0400-000021000000}">
      <text>
        <r>
          <rPr>
            <sz val="11"/>
            <rFont val="Calibri"/>
          </rPr>
          <t>The F5 BIG-IP appliance must terminate shared/group account credentials when members leave the group.</t>
        </r>
      </text>
    </comment>
    <comment ref="J46" authorId="0" shapeId="0" xr:uid="{00000000-0006-0000-0400-000022000000}">
      <text>
        <r>
          <rPr>
            <sz val="11"/>
            <rFont val="Calibri"/>
          </rPr>
          <t>The F5 BIG-IP appliance must enforce a minimum 15-character password length.</t>
        </r>
      </text>
    </comment>
    <comment ref="K46" authorId="0" shapeId="0" xr:uid="{00000000-0006-0000-0400-000023000000}">
      <text>
        <r>
          <rPr>
            <sz val="11"/>
            <rFont val="Calibri"/>
          </rPr>
          <t>The F5 BIG-IP appliance must enforce password complexity by requiring that at least one uppercase character be used.</t>
        </r>
      </text>
    </comment>
    <comment ref="L46" authorId="0" shapeId="0" xr:uid="{00000000-0006-0000-0400-000024000000}">
      <text>
        <r>
          <rPr>
            <sz val="11"/>
            <rFont val="Calibri"/>
          </rPr>
          <t>The F5 BIG-IP appliance must enforce password complexity by requiring that at least one lowercase character be used.</t>
        </r>
      </text>
    </comment>
    <comment ref="M46" authorId="0" shapeId="0" xr:uid="{00000000-0006-0000-0400-000025000000}">
      <text>
        <r>
          <rPr>
            <sz val="11"/>
            <rFont val="Calibri"/>
          </rPr>
          <t>The F5 BIG-IP appliance must enforce password complexity by requiring that at least one numeric character be used.</t>
        </r>
      </text>
    </comment>
    <comment ref="N46" authorId="0" shapeId="0" xr:uid="{00000000-0006-0000-0400-000026000000}">
      <text>
        <r>
          <rPr>
            <sz val="11"/>
            <rFont val="Calibri"/>
          </rPr>
          <t>The F5 BIG-IP appliance must enforce password complexity by requiring that at least one special character be used.</t>
        </r>
      </text>
    </comment>
    <comment ref="O46" authorId="0" shapeId="0" xr:uid="{00000000-0006-0000-0400-000027000000}">
      <text>
        <r>
          <rPr>
            <sz val="11"/>
            <rFont val="Calibri"/>
          </rPr>
          <t>The F5 BIG-IP appliance must require that when a password is changed, the characters are changed in at least eight of the positions within the password.</t>
        </r>
      </text>
    </comment>
    <comment ref="P46" authorId="0" shapeId="0" xr:uid="{00000000-0006-0000-0400-000028000000}">
      <text>
        <r>
          <rPr>
            <sz val="11"/>
            <rFont val="Calibri"/>
          </rPr>
          <t>The F5 BIG-IP appliance must prohibit the use of cached authenticators after eight hours or less.</t>
        </r>
      </text>
    </comment>
    <comment ref="J47" authorId="0" shapeId="0" xr:uid="{00000000-0006-0000-0400-000029000000}">
      <text>
        <r>
          <rPr>
            <sz val="11"/>
            <rFont val="Calibri"/>
          </rPr>
          <t>The F5 BIG-IP appliance must be configured with only one local account to be used as the account of last resort in the event the authentication server is unavailable.</t>
        </r>
      </text>
    </comment>
    <comment ref="J48" authorId="0" shapeId="0" xr:uid="{00000000-0006-0000-0400-00002A000000}">
      <text>
        <r>
          <rPr>
            <sz val="11"/>
            <rFont val="Calibri"/>
          </rPr>
          <t>The F5 BIG-IP appliance must be configured to audit the execution of privileged functions such as accounts additions and changes.</t>
        </r>
      </text>
    </comment>
    <comment ref="K48" authorId="0" shapeId="0" xr:uid="{00000000-0006-0000-0400-00002B000000}">
      <text>
        <r>
          <rPr>
            <sz val="11"/>
            <rFont val="Calibri"/>
          </rPr>
          <t>The F5 BIG-IP appliance must not use the On-demand Cert Auth VPE agent as part of the APM Policy Profiles.</t>
        </r>
      </text>
    </comment>
    <comment ref="J54" authorId="0" shapeId="0" xr:uid="{00000000-0006-0000-0400-00002C000000}">
      <text>
        <r>
          <rPr>
            <sz val="11"/>
            <rFont val="Calibri"/>
          </rPr>
          <t>The F5 BIG-IP appliance must be configured to use multifactor authentication (MFA) for interactive logins.</t>
        </r>
      </text>
    </comment>
    <comment ref="K54" authorId="0" shapeId="0" xr:uid="{00000000-0006-0000-0400-00002D000000}">
      <text>
        <r>
          <rPr>
            <sz val="11"/>
            <rFont val="Calibri"/>
          </rPr>
          <t>The F5 BIG-IP appliance providing user authentication intermediary services must uniquely identify and authenticate users using redundant authentication servers and multifactor authentication (MFA).</t>
        </r>
      </text>
    </comment>
    <comment ref="J56" authorId="0" shapeId="0" xr:uid="{00000000-0006-0000-0400-00002E000000}">
      <text>
        <r>
          <rPr>
            <sz val="11"/>
            <rFont val="Calibri"/>
          </rPr>
          <t>The F5 BIG-IP appliance must be configured to use multifactor authentication (MFA) for interactive logins.</t>
        </r>
      </text>
    </comment>
    <comment ref="K56" authorId="0" shapeId="0" xr:uid="{00000000-0006-0000-0400-00002F000000}">
      <text>
        <r>
          <rPr>
            <sz val="11"/>
            <rFont val="Calibri"/>
          </rPr>
          <t>The F5 BIG-IP appliance providing user authentication intermediary services must uniquely identify and authenticate users using redundant authentication servers and multifactor authentication (MFA).</t>
        </r>
      </text>
    </comment>
    <comment ref="J59" authorId="0" shapeId="0" xr:uid="{00000000-0006-0000-0400-000030000000}">
      <text>
        <r>
          <rPr>
            <sz val="11"/>
            <rFont val="Calibri"/>
          </rPr>
          <t>The F5 BIG-IP appliance must be configured to assign appropriate user roles or access levels to authenticated users.</t>
        </r>
      </text>
    </comment>
    <comment ref="K59" authorId="0" shapeId="0" xr:uid="{00000000-0006-0000-0400-000031000000}">
      <text>
        <r>
          <rPr>
            <sz val="11"/>
            <rFont val="Calibri"/>
          </rPr>
          <t>The F5 BIG-IP appliance providing user access control intermediary services must enforce approved authorizations for logical access to information and system resources by employing identity-based, role-based, and/or attribute-based security policies.</t>
        </r>
      </text>
    </comment>
    <comment ref="J63" authorId="0" shapeId="0" xr:uid="{00000000-0006-0000-0400-000032000000}">
      <text>
        <r>
          <rPr>
            <sz val="11"/>
            <rFont val="Calibri"/>
          </rPr>
          <t>The F5 BIG-IP appliance must be running an operating system release that is currently supported by the vendor.</t>
        </r>
      </text>
    </comment>
    <comment ref="J70" authorId="0" shapeId="0" xr:uid="{00000000-0006-0000-0400-000033000000}">
      <text>
        <r>
          <rPr>
            <sz val="11"/>
            <rFont val="Calibri"/>
          </rPr>
          <t>The F5 BIG-IP appliance must generate audit records and send records to redundant central syslog servers that are separate from the appliance.</t>
        </r>
      </text>
    </comment>
    <comment ref="K70" authorId="0" shapeId="0" xr:uid="{00000000-0006-0000-0400-000034000000}">
      <text>
        <r>
          <rPr>
            <sz val="11"/>
            <rFont val="Calibri"/>
          </rPr>
          <t>The F5 BIG-IP appliance must generate traffic log entries containing information to establish the details of the event, including success or failure of the application of the firewall rule.</t>
        </r>
      </text>
    </comment>
    <comment ref="L70" authorId="0" shapeId="0" xr:uid="{00000000-0006-0000-0400-000035000000}">
      <text>
        <r>
          <rPr>
            <sz val="11"/>
            <rFont val="Calibri"/>
          </rPr>
          <t>In the event that communication with the central audit server is lost, the F5 BIG-IP appliance must continue to queue traffic log records locally.</t>
        </r>
      </text>
    </comment>
    <comment ref="M70" authorId="0" shapeId="0" xr:uid="{00000000-0006-0000-0400-000036000000}">
      <text>
        <r>
          <rPr>
            <sz val="11"/>
            <rFont val="Calibri"/>
          </rPr>
          <t>The F5 BIG-IP appliance must be configured to use TCP when sending log records to the central audit server.</t>
        </r>
      </text>
    </comment>
    <comment ref="J71" authorId="0" shapeId="0" xr:uid="{00000000-0006-0000-0400-000037000000}">
      <text>
        <r>
          <rPr>
            <sz val="11"/>
            <rFont val="Calibri"/>
          </rPr>
          <t>The F5 BIG-IP appliance must manage local audit storage capacity in accordance with organization-defined audit record storage requirements.</t>
        </r>
      </text>
    </comment>
    <comment ref="J72" authorId="0" shapeId="0" xr:uid="{00000000-0006-0000-0400-000038000000}">
      <text>
        <r>
          <rPr>
            <sz val="11"/>
            <rFont val="Calibri"/>
          </rPr>
          <t>The F5 BIG-IP appliance must record time stamps for audit records that can be mapped to Coordinated Universal Time (UTC).</t>
        </r>
      </text>
    </comment>
    <comment ref="K72" authorId="0" shapeId="0" xr:uid="{00000000-0006-0000-0400-000039000000}">
      <text>
        <r>
          <rPr>
            <sz val="11"/>
            <rFont val="Calibri"/>
          </rPr>
          <t>The F5 BIG-IP appliance must authenticate Network Time Protocol (NTP) sources using authentication that is cryptographically based.</t>
        </r>
      </text>
    </comment>
    <comment ref="J73" authorId="0" shapeId="0" xr:uid="{00000000-0006-0000-0400-00003A000000}">
      <text>
        <r>
          <rPr>
            <sz val="11"/>
            <rFont val="Calibri"/>
          </rPr>
          <t>The F5 BIG-IP appliance must be configured to audit the execution of privileged functions such as accounts additions and changes.</t>
        </r>
      </text>
    </comment>
    <comment ref="K73" authorId="0" shapeId="0" xr:uid="{00000000-0006-0000-0400-00003B000000}">
      <text>
        <r>
          <rPr>
            <sz val="11"/>
            <rFont val="Calibri"/>
          </rPr>
          <t>The F5 BIG-IP appliance must generate audit records and send records to redundant central syslog servers that are separate from the appliance.</t>
        </r>
      </text>
    </comment>
    <comment ref="L73" authorId="0" shapeId="0" xr:uid="{00000000-0006-0000-0400-00003C000000}">
      <text>
        <r>
          <rPr>
            <sz val="11"/>
            <rFont val="Calibri"/>
          </rPr>
          <t>The F5 BIG-IP appliance must generate traffic log entries containing information to establish the details of the event, including success or failure of the application of the firewall rule.</t>
        </r>
      </text>
    </comment>
    <comment ref="M73" authorId="0" shapeId="0" xr:uid="{00000000-0006-0000-0400-00003D000000}">
      <text>
        <r>
          <rPr>
            <sz val="11"/>
            <rFont val="Calibri"/>
          </rPr>
          <t>In the event that communication with the central audit server is lost, the F5 BIG-IP appliance must continue to queue traffic log records locally.</t>
        </r>
      </text>
    </comment>
    <comment ref="J77" authorId="0" shapeId="0" xr:uid="{00000000-0006-0000-0400-00003E000000}">
      <text>
        <r>
          <rPr>
            <sz val="11"/>
            <rFont val="Calibri"/>
          </rPr>
          <t>The F5 BIG-IP appliance must be configured to use TCP when sending log records to the central audit server.</t>
        </r>
      </text>
    </comment>
    <comment ref="J78" authorId="0" shapeId="0" xr:uid="{00000000-0006-0000-0400-00003F000000}">
      <text>
        <r>
          <rPr>
            <sz val="11"/>
            <rFont val="Calibri"/>
          </rPr>
          <t>The F5 BIG-IP appliance must manage local audit storage capacity in accordance with organization-defined audit record storage requirements.</t>
        </r>
      </text>
    </comment>
    <comment ref="J83" authorId="0" shapeId="0" xr:uid="{00000000-0006-0000-0400-000040000000}">
      <text>
        <r>
          <rPr>
            <sz val="11"/>
            <rFont val="Calibri"/>
          </rPr>
          <t>The validity period for the RRSIGs covering a zone</t>
        </r>
        <r>
          <rPr>
            <sz val="11"/>
            <color rgb="FF000000"/>
            <rFont val="Calibri"/>
          </rPr>
          <t>'</t>
        </r>
        <r>
          <rPr>
            <sz val="11"/>
            <color rgb="FF000000"/>
            <rFont val="Calibri"/>
          </rPr>
          <t>s DNSKEY RRSet must be no less than two days and no more than one week.</t>
        </r>
      </text>
    </comment>
    <comment ref="K83" authorId="0" shapeId="0" xr:uid="{00000000-0006-0000-0400-000041000000}">
      <text>
        <r>
          <rPr>
            <sz val="11"/>
            <rFont val="Calibri"/>
          </rPr>
          <t>An authoritative name server must be configured to enable DNSSEC Resource Records.</t>
        </r>
      </text>
    </comment>
    <comment ref="L83" authorId="0" shapeId="0" xr:uid="{00000000-0006-0000-0400-000042000000}">
      <text>
        <r>
          <rPr>
            <sz val="11"/>
            <rFont val="Calibri"/>
          </rPr>
          <t>The F5 BIG-IP DNS must use valid root name servers in the local root zone file.</t>
        </r>
      </text>
    </comment>
    <comment ref="M83" authorId="0" shapeId="0" xr:uid="{00000000-0006-0000-0400-000043000000}">
      <text>
        <r>
          <rPr>
            <sz val="11"/>
            <rFont val="Calibri"/>
          </rPr>
          <t>The platform on which the name server software is hosted must be configured to respond to DNS traffic only.</t>
        </r>
      </text>
    </comment>
    <comment ref="N83" authorId="0" shapeId="0" xr:uid="{00000000-0006-0000-0400-000044000000}">
      <text>
        <r>
          <rPr>
            <sz val="11"/>
            <rFont val="Calibri"/>
          </rPr>
          <t>The digital signature algorithm used for DNSSEC-enabled zones must be set to use RSA/SHA256 or RSA/SHA512.</t>
        </r>
      </text>
    </comment>
    <comment ref="O83" authorId="0" shapeId="0" xr:uid="{00000000-0006-0000-0400-000045000000}">
      <text>
        <r>
          <rPr>
            <sz val="11"/>
            <rFont val="Calibri"/>
          </rPr>
          <t>A BIG-IP DNS server implementation must provide additional data origin artifacts along with the authoritative data the system returns in response to external name/address resolution queries.</t>
        </r>
      </text>
    </comment>
    <comment ref="P83" authorId="0" shapeId="0" xr:uid="{00000000-0006-0000-0400-000046000000}">
      <text>
        <r>
          <rPr>
            <sz val="11"/>
            <rFont val="Calibri"/>
          </rPr>
          <t>The validity period for the RRSIGs covering the DS RR for a zones delegated children must be no less than two days and no more than one week.</t>
        </r>
      </text>
    </comment>
    <comment ref="J84" authorId="0" shapeId="0" xr:uid="{00000000-0006-0000-0400-000047000000}">
      <text>
        <r>
          <rPr>
            <sz val="11"/>
            <rFont val="Calibri"/>
          </rPr>
          <t>To protect against data mining, the F5 BIG-IP appliance providing content filtering must prevent code injection attacks from being launched against data storage objects, including, at a minimum, databases, database records, queries, and fields.</t>
        </r>
      </text>
    </comment>
    <comment ref="K84" authorId="0" shapeId="0" xr:uid="{00000000-0006-0000-0400-000048000000}">
      <text>
        <r>
          <rPr>
            <sz val="11"/>
            <rFont val="Calibri"/>
          </rPr>
          <t>To protect against data mining, the F5 BIG-IP appliance providing content filtering must prevent code injection attacks launched against application objects including, at a minimum, application URLs and application code.</t>
        </r>
      </text>
    </comment>
    <comment ref="L84" authorId="0" shapeId="0" xr:uid="{00000000-0006-0000-0400-000049000000}">
      <text>
        <r>
          <rPr>
            <sz val="11"/>
            <rFont val="Calibri"/>
          </rPr>
          <t>To protect against data mining, the F5 BIG-IP appliance providing content filtering must prevent SQL injection attacks launched against data storage objects, including, at a minimum, databases, database records, and database fields.</t>
        </r>
      </text>
    </comment>
    <comment ref="M84" authorId="0" shapeId="0" xr:uid="{00000000-0006-0000-0400-00004A000000}">
      <text>
        <r>
          <rPr>
            <sz val="11"/>
            <rFont val="Calibri"/>
          </rPr>
          <t>The F5 BIG-IP appliance that provides intermediary services for SMTP must inspect inbound and outbound SMTP and Extended SMTP communications traffic for protocol compliance and protocol anomalies.</t>
        </r>
      </text>
    </comment>
    <comment ref="N84" authorId="0" shapeId="0" xr:uid="{00000000-0006-0000-0400-00004B000000}">
      <text>
        <r>
          <rPr>
            <sz val="11"/>
            <rFont val="Calibri"/>
          </rPr>
          <t>The F5 BIG-IP appliance that intermediary services for FTP must inspect inbound and outbound FTP communications traffic for protocol compliance and protocol anomalies.</t>
        </r>
      </text>
    </comment>
    <comment ref="O84" authorId="0" shapeId="0" xr:uid="{00000000-0006-0000-0400-00004C000000}">
      <text>
        <r>
          <rPr>
            <sz val="11"/>
            <rFont val="Calibri"/>
          </rPr>
          <t>The F5 BIG-IP appliance that provides intermediary services for HTTP must inspect inbound and outbound HTTP traffic for protocol compliance and protocol anomalies.</t>
        </r>
      </text>
    </comment>
    <comment ref="J91" authorId="0" shapeId="0" xr:uid="{00000000-0006-0000-0400-00004D000000}">
      <text>
        <r>
          <rPr>
            <sz val="11"/>
            <rFont val="Calibri"/>
          </rPr>
          <t>The F5 BIG-IP appliance providing content filtering must automatically update malicious code protection mechanisms.</t>
        </r>
      </text>
    </comment>
    <comment ref="K91" authorId="0" shapeId="0" xr:uid="{00000000-0006-0000-0400-00004E000000}">
      <text>
        <r>
          <rPr>
            <sz val="11"/>
            <rFont val="Calibri"/>
          </rPr>
          <t>The F5 BIG-IP appliance providing content filtering must detect use of network services that have not been authorized or approved by the information system security manager (ISSM) and information system security officer (ISSO), at a minimum.</t>
        </r>
      </text>
    </comment>
    <comment ref="J99" authorId="0" shapeId="0" xr:uid="{00000000-0006-0000-0400-00004F000000}">
      <text>
        <r>
          <rPr>
            <sz val="11"/>
            <rFont val="Calibri"/>
          </rPr>
          <t>The F5 BIG-IP appliance must conduct backups of the configuration at a weekly or organization-defined frequency and store on a separate device.</t>
        </r>
      </text>
    </comment>
    <comment ref="J100" authorId="0" shapeId="0" xr:uid="{00000000-0006-0000-0400-000050000000}">
      <text>
        <r>
          <rPr>
            <sz val="11"/>
            <rFont val="Calibri"/>
          </rPr>
          <t>The F5 BIG-IP appliance must conduct backups of the configuration at a weekly or organization-defined frequency and store on a separate device.</t>
        </r>
      </text>
    </comment>
    <comment ref="J105" authorId="0" shapeId="0" xr:uid="{00000000-0006-0000-0400-000051000000}">
      <text>
        <r>
          <rPr>
            <sz val="11"/>
            <rFont val="Calibri"/>
          </rPr>
          <t>Primary authoritative name servers must be configured to only receive zone transfer requests from specified secondary name servers.</t>
        </r>
      </text>
    </comment>
    <comment ref="K105" authorId="0" shapeId="0" xr:uid="{00000000-0006-0000-0400-000052000000}">
      <text>
        <r>
          <rPr>
            <sz val="11"/>
            <rFont val="Calibri"/>
          </rPr>
          <t>The F5 BIG-IP DNS server implementation must validate the binding of the other DNS server</t>
        </r>
        <r>
          <rPr>
            <sz val="11"/>
            <color rgb="FF000000"/>
            <rFont val="Calibri"/>
          </rPr>
          <t>'</t>
        </r>
        <r>
          <rPr>
            <sz val="11"/>
            <color rgb="FF000000"/>
            <rFont val="Calibri"/>
          </rPr>
          <t>s identity to the DNS information for a server-to-server transaction (e.g., zone transfer).</t>
        </r>
      </text>
    </comment>
    <comment ref="L105" authorId="0" shapeId="0" xr:uid="{00000000-0006-0000-0400-000053000000}">
      <text>
        <r>
          <rPr>
            <sz val="11"/>
            <rFont val="Calibri"/>
          </rPr>
          <t>The F5 BIG-IP DNS implementation must protect the authenticity of communications sessions for zone transfers.</t>
        </r>
      </text>
    </comment>
    <comment ref="M105" authorId="0" shapeId="0" xr:uid="{00000000-0006-0000-0400-000054000000}">
      <text>
        <r>
          <rPr>
            <sz val="11"/>
            <rFont val="Calibri"/>
          </rPr>
          <t>The F5 BIG-IP DNS server implementation must manage excess capacity, bandwidth, or other redundancy to limit the effects of information flooding types of denial-of-service (DoS) attacks.</t>
        </r>
      </text>
    </comment>
    <comment ref="N105" authorId="0" shapeId="0" xr:uid="{00000000-0006-0000-0400-000055000000}">
      <text>
        <r>
          <rPr>
            <sz val="11"/>
            <rFont val="Calibri"/>
          </rPr>
          <t>The F5 BIG-IP appliance must be configured to restrict a consistent inbound IP for the entire management session.</t>
        </r>
      </text>
    </comment>
    <comment ref="O105" authorId="0" shapeId="0" xr:uid="{00000000-0006-0000-0400-000056000000}">
      <text>
        <r>
          <rPr>
            <sz val="11"/>
            <rFont val="Calibri"/>
          </rPr>
          <t>The F5 BIG-IP appliance must be configured to restrict a consistent inbound IP for the entire management session.</t>
        </r>
      </text>
    </comment>
    <comment ref="J106" authorId="0" shapeId="0" xr:uid="{00000000-0006-0000-0400-000057000000}">
      <text>
        <r>
          <rPr>
            <sz val="11"/>
            <rFont val="Calibri"/>
          </rPr>
          <t>The F5 BIG-IP appliance must be configured to block all outbound management traffic.</t>
        </r>
      </text>
    </comment>
    <comment ref="J109" authorId="0" shapeId="0" xr:uid="{00000000-0006-0000-0400-000058000000}">
      <text>
        <r>
          <rPr>
            <sz val="11"/>
            <rFont val="Calibri"/>
          </rPr>
          <t>The F5 BIG-IP appliance must obtain its public key certificates from an appropriate certificate policy through an approved service provider.</t>
        </r>
      </text>
    </comment>
    <comment ref="K109" authorId="0" shapeId="0" xr:uid="{00000000-0006-0000-0400-00005B000000}">
      <text>
        <r>
          <rPr>
            <sz val="11"/>
            <rFont val="Calibri"/>
          </rPr>
          <t>The F5 BIG-IP appliance must be configured to use DOD approved OCSP responders or CRLs to validate certificates used for PKI-based authentication.</t>
        </r>
      </text>
    </comment>
    <comment ref="L109" authorId="0" shapeId="0" xr:uid="{00000000-0006-0000-0400-00005C000000}">
      <text>
        <r>
          <rPr>
            <sz val="11"/>
            <rFont val="Calibri"/>
          </rPr>
          <t>The F5 BIG-IP appliance providing intermediary services for remote access must use FIPS-validated cryptographic algorithms, including TLS 1.2 at a minimum.</t>
        </r>
      </text>
    </comment>
    <comment ref="M109" authorId="0" shapeId="0" xr:uid="{00000000-0006-0000-0400-00005D000000}">
      <text>
        <r>
          <rPr>
            <sz val="11"/>
            <rFont val="Calibri"/>
          </rPr>
          <t>The F5 BIG-IP appliance must configure certification path validation to ensure revoked machine credentials are prohibited from establishing an allowed session.</t>
        </r>
      </text>
    </comment>
    <comment ref="N109" authorId="0" shapeId="0" xr:uid="{00000000-0006-0000-0400-00005E000000}">
      <text>
        <r>
          <rPr>
            <sz val="11"/>
            <rFont val="Calibri"/>
          </rPr>
          <t>The F5 BIG-IP appliance providing user authentication intermediary services using PKI-based user authentication must implement a local cache of revocation data to support path discovery and validation in case of the inability to access revocation information via the network.</t>
        </r>
      </text>
    </comment>
    <comment ref="O109" authorId="0" shapeId="0" xr:uid="{00000000-0006-0000-0400-00005F000000}">
      <text>
        <r>
          <rPr>
            <sz val="11"/>
            <rFont val="Calibri"/>
          </rPr>
          <t>The F5 BIG-IP appliance must configure certificate path validation to ensure revoked user credentials are prohibited from establishing an allowed session.</t>
        </r>
      </text>
    </comment>
    <comment ref="P109" authorId="0" shapeId="0" xr:uid="{00000000-0006-0000-0400-000060000000}">
      <text>
        <r>
          <rPr>
            <sz val="11"/>
            <rFont val="Calibri"/>
          </rPr>
          <t>The F5 BIG-IP appliance must be configured to use cryptographic algorithms approved by NSA to protect NSS for remote access to a classified network.</t>
        </r>
      </text>
    </comment>
    <comment ref="Q109" authorId="0" shapeId="0" xr:uid="{00000000-0006-0000-0400-000059000000}">
      <text>
        <r>
          <rPr>
            <sz val="11"/>
            <rFont val="Calibri"/>
          </rPr>
          <t>The F5 BIG-IP appliance IPsec VPN must use AES256 or greater encryption for the IPsec proposal.</t>
        </r>
      </text>
    </comment>
    <comment ref="R109" authorId="0" shapeId="0" xr:uid="{00000000-0006-0000-0400-00005A000000}">
      <text>
        <r>
          <rPr>
            <sz val="11"/>
            <rFont val="Calibri"/>
          </rPr>
          <t>The F5 BIG-IP appliance IPsec VPN must use cryptographic algorithms approved by NSA to protect NSS when transporting classified traffic across an unclassified network.</t>
        </r>
      </text>
    </comment>
    <comment ref="J110" authorId="0" shapeId="0" xr:uid="{00000000-0006-0000-0400-000061000000}">
      <text>
        <r>
          <rPr>
            <sz val="11"/>
            <rFont val="Calibri"/>
          </rPr>
          <t>The F5 BIG-IP appliance providing remote access intermediary services must disable split-tunneling for remote clients</t>
        </r>
        <r>
          <rPr>
            <sz val="11"/>
            <color rgb="FF000000"/>
            <rFont val="Calibri"/>
          </rPr>
          <t>'</t>
        </r>
        <r>
          <rPr>
            <sz val="11"/>
            <color rgb="FF000000"/>
            <rFont val="Calibri"/>
          </rPr>
          <t xml:space="preserve"> VPNs.</t>
        </r>
      </text>
    </comment>
    <comment ref="K110" authorId="0" shapeId="0" xr:uid="{00000000-0006-0000-0400-000063000000}">
      <text>
        <r>
          <rPr>
            <sz val="11"/>
            <rFont val="Calibri"/>
          </rPr>
          <t>The F5 BIG-IP appliance providing remote access intermediary services must be configured to route sessions to an IDPS for inspection.</t>
        </r>
      </text>
    </comment>
    <comment ref="L110" authorId="0" shapeId="0" xr:uid="{00000000-0006-0000-0400-000064000000}">
      <text>
        <r>
          <rPr>
            <sz val="11"/>
            <rFont val="Calibri"/>
          </rPr>
          <t>The VPN Gateway must use Always On VPN connections for remote computing.</t>
        </r>
      </text>
    </comment>
    <comment ref="M110" authorId="0" shapeId="0" xr:uid="{00000000-0006-0000-0400-000065000000}">
      <text>
        <r>
          <rPr>
            <sz val="11"/>
            <rFont val="Calibri"/>
          </rPr>
          <t>The F5 BIG-IP appliance IPsec VPN must ensure inbound and outbound traffic is configured with a security policy.</t>
        </r>
      </text>
    </comment>
    <comment ref="N110" authorId="0" shapeId="0" xr:uid="{00000000-0006-0000-0400-000066000000}">
      <text>
        <r>
          <rPr>
            <sz val="11"/>
            <rFont val="Calibri"/>
          </rPr>
          <t>The F5 BIG-IP appliance IPsec VPN Gateway must use Internet Key Exchange (IKE) for IPsec VPN Security Associations (SAs).</t>
        </r>
      </text>
    </comment>
    <comment ref="O110" authorId="0" shapeId="0" xr:uid="{00000000-0006-0000-0400-000067000000}">
      <text>
        <r>
          <rPr>
            <sz val="11"/>
            <rFont val="Calibri"/>
          </rPr>
          <t>The IPsec BIG-IP appliance must use IKEv2 for IPsec VPN security associations.</t>
        </r>
      </text>
    </comment>
    <comment ref="P110" authorId="0" shapeId="0" xr:uid="{00000000-0006-0000-0400-000068000000}">
      <text>
        <r>
          <rPr>
            <sz val="11"/>
            <rFont val="Calibri"/>
          </rPr>
          <t>The F5 BIG-IP appliance IPsec VPN Gateway must renegotiate the IPsec Phase 1 security association after eight hours or less.</t>
        </r>
      </text>
    </comment>
    <comment ref="Q110" authorId="0" shapeId="0" xr:uid="{00000000-0006-0000-0400-000069000000}">
      <text>
        <r>
          <rPr>
            <sz val="11"/>
            <rFont val="Calibri"/>
          </rPr>
          <t>The F5 BIG-IP appliance IPsec VPN must renegotiate the IKE Phase 2 security association after eight hours or less.</t>
        </r>
      </text>
    </comment>
    <comment ref="R110" authorId="0" shapeId="0" xr:uid="{00000000-0006-0000-0400-00006A000000}">
      <text>
        <r>
          <rPr>
            <sz val="11"/>
            <rFont val="Calibri"/>
          </rPr>
          <t>For accounts using password authentication, the F5 BIG-IP appliance site-to-site IPsec VPN Gateway must use SHA-2 or later protocol to protect the integrity of the password authentication process.</t>
        </r>
      </text>
    </comment>
    <comment ref="S110" authorId="0" shapeId="0" xr:uid="{00000000-0006-0000-0400-000062000000}">
      <text>
        <r>
          <rPr>
            <sz val="11"/>
            <rFont val="Calibri"/>
          </rPr>
          <t>The F5 BIG-IP appliance IPsec VPN Gateway must specify Perfect Forward Secrecy (PFS) during Internet Key Exchange (IKE) negotiation.</t>
        </r>
      </text>
    </comment>
    <comment ref="J111" authorId="0" shapeId="0" xr:uid="{00000000-0006-0000-0400-00006B000000}">
      <text>
        <r>
          <rPr>
            <sz val="11"/>
            <rFont val="Calibri"/>
          </rPr>
          <t>The F5 BIG-IP appliance must be configured to block all outbound management traffic.</t>
        </r>
      </text>
    </comment>
    <comment ref="J116" authorId="0" shapeId="0" xr:uid="{00000000-0006-0000-0400-00006C000000}">
      <text>
        <r>
          <rPr>
            <sz val="11"/>
            <rFont val="Calibri"/>
          </rPr>
          <t>The F5 BIG-IP appliance that filters traffic from the VPN access points must be configured with organization-defined filtering rules that apply to the monitoring of remote access traffic.</t>
        </r>
      </text>
    </comment>
    <comment ref="K116" authorId="0" shapeId="0" xr:uid="{00000000-0006-0000-0400-00006D000000}">
      <text>
        <r>
          <rPr>
            <sz val="11"/>
            <rFont val="Calibri"/>
          </rPr>
          <t>The F5 BIG-IP appliance must be configured to use filters that use packet headers and packet attributes, including source and destination IP addresses and ports, to prevent the flow of unauthorized or suspicious traffic between interconnected networks with different security policies, including perimeter firewalls and server VLANs.</t>
        </r>
      </text>
    </comment>
    <comment ref="L116" authorId="0" shapeId="0" xr:uid="{00000000-0006-0000-0400-00006E000000}">
      <text>
        <r>
          <rPr>
            <sz val="11"/>
            <rFont val="Calibri"/>
          </rPr>
          <t>The F5 BIG-IP appliance must be configured to inspect all inbound and outbound traffic at the application layer.</t>
        </r>
      </text>
    </comment>
    <comment ref="M116" authorId="0" shapeId="0" xr:uid="{00000000-0006-0000-0400-00006F000000}">
      <text>
        <r>
          <rPr>
            <sz val="11"/>
            <rFont val="Calibri"/>
          </rPr>
          <t>The BIG-IP appliance perimeter firewall must be configured to filter traffic destined to the enclave in accordance with the specific traffic that is approved and registered in the Ports, Protocols, and Services Management (PPSM) Category Assurance List (CAL) and vulnerability assessments.</t>
        </r>
      </text>
    </comment>
    <comment ref="J120" authorId="0" shapeId="0" xr:uid="{00000000-0006-0000-0400-000070000000}">
      <text>
        <r>
          <rPr>
            <sz val="11"/>
            <rFont val="Calibri"/>
          </rPr>
          <t>The F5 BIG-IP appliance providing content filtering must employ rate-based attack prevention behavior analysis.</t>
        </r>
      </text>
    </comment>
    <comment ref="K120" authorId="0" shapeId="0" xr:uid="{00000000-0006-0000-0400-000071000000}">
      <text>
        <r>
          <rPr>
            <sz val="11"/>
            <rFont val="Calibri"/>
          </rPr>
          <t>The F5 BIG-IP appliance providing content filtering must protect against or limit the effects of known and unknown types of denial-of-service (DoS) attacks by employing pattern recognition pre-processors.</t>
        </r>
      </text>
    </comment>
    <comment ref="L120" authorId="0" shapeId="0" xr:uid="{00000000-0006-0000-0400-000072000000}">
      <text>
        <r>
          <rPr>
            <sz val="11"/>
            <rFont val="Calibri"/>
          </rPr>
          <t>The F5 BIG-IP appliance must employ filters that prevent or limit the effects of all types of commonly known denial-of-service (DoS) attacks, including flooding, packet sweeps, and unauthorized port scanning.</t>
        </r>
      </text>
    </comment>
    <comment ref="M120" authorId="0" shapeId="0" xr:uid="{00000000-0006-0000-0400-000073000000}">
      <text>
        <r>
          <rPr>
            <sz val="11"/>
            <rFont val="Calibri"/>
          </rPr>
          <t>The F5 BIG-IP appliance must generate an alert that can be forwarded to, at a minimum, the information system security officer (ISSO) and information system security manager (ISSM) when denial-of-service (DoS) incidents are detected.</t>
        </r>
      </text>
    </comment>
    <comment ref="J121" authorId="0" shapeId="0" xr:uid="{00000000-0006-0000-0400-000074000000}">
      <text>
        <r>
          <rPr>
            <sz val="11"/>
            <rFont val="Calibri"/>
          </rPr>
          <t>The F5 BIG-IP appliance providing intermediary services for remote access communications traffic must ensure inbound and outbound traffic is monitored for compliance with remote access security policies.</t>
        </r>
      </text>
    </comment>
    <comment ref="J122" authorId="0" shapeId="0" xr:uid="{00000000-0006-0000-0400-000075000000}">
      <text>
        <r>
          <rPr>
            <sz val="11"/>
            <rFont val="Calibri"/>
          </rPr>
          <t>The F5 BIG-IP appliance that provides intermediary services for SMTP must inspect inbound and outbound SMTP and Extended SMTP communications traffic for protocol compliance and protocol anomalies.</t>
        </r>
      </text>
    </comment>
    <comment ref="K122" authorId="0" shapeId="0" xr:uid="{00000000-0006-0000-0400-000076000000}">
      <text>
        <r>
          <rPr>
            <sz val="11"/>
            <rFont val="Calibri"/>
          </rPr>
          <t>The F5 BIG-IP appliance that intermediary services for FTP must inspect inbound and outbound FTP communications traffic for protocol compliance and protocol anomalies.</t>
        </r>
      </text>
    </comment>
    <comment ref="L122" authorId="0" shapeId="0" xr:uid="{00000000-0006-0000-0400-000077000000}">
      <text>
        <r>
          <rPr>
            <sz val="11"/>
            <rFont val="Calibri"/>
          </rPr>
          <t>The F5 BIG-IP appliance that provides intermediary services for HTTP must inspect inbound and outbound HTTP traffic for protocol compliance and protocol anomalies.</t>
        </r>
      </text>
    </comment>
    <comment ref="J156" authorId="0" shapeId="0" xr:uid="{00000000-0006-0000-0400-000078000000}">
      <text>
        <r>
          <rPr>
            <sz val="11"/>
            <rFont val="Calibri"/>
          </rPr>
          <t>To protect against data mining, the F5 BIG-IP appliance providing content filtering must prevent code injection attacks from being launched against data storage objects, including, at a minimum, databases, database records, queries, and fields.</t>
        </r>
      </text>
    </comment>
    <comment ref="K156" authorId="0" shapeId="0" xr:uid="{00000000-0006-0000-0400-000079000000}">
      <text>
        <r>
          <rPr>
            <sz val="11"/>
            <rFont val="Calibri"/>
          </rPr>
          <t>To protect against data mining, the F5 BIG-IP appliance providing content filtering must prevent code injection attacks launched against application objects including, at a minimum, application URLs and application code.</t>
        </r>
      </text>
    </comment>
    <comment ref="L156" authorId="0" shapeId="0" xr:uid="{00000000-0006-0000-0400-00007A000000}">
      <text>
        <r>
          <rPr>
            <sz val="11"/>
            <rFont val="Calibri"/>
          </rPr>
          <t>To protect against data mining, the F5 BIG-IP appliance providing content filtering must prevent SQL injection attacks launched against data storage objects, including, at a minimum, databases, database records, and database fields.</t>
        </r>
      </text>
    </comment>
    <comment ref="M156" authorId="0" shapeId="0" xr:uid="{00000000-0006-0000-0400-00007B000000}">
      <text>
        <r>
          <rPr>
            <sz val="11"/>
            <rFont val="Calibri"/>
          </rPr>
          <t>The F5 BIG-IP appliance must check the validity of all data inputs except those specifically identified by the organization.</t>
        </r>
      </text>
    </comment>
    <comment ref="N156" authorId="0" shapeId="0" xr:uid="{00000000-0006-0000-0400-00007C000000}">
      <text>
        <r>
          <rPr>
            <sz val="11"/>
            <rFont val="Calibri"/>
          </rPr>
          <t>The F5 BIG-IP appliance must be configured to enable the secure cookie flag.</t>
        </r>
      </text>
    </comment>
    <comment ref="O156" authorId="0" shapeId="0" xr:uid="{00000000-0006-0000-0400-00007D000000}">
      <text>
        <r>
          <rPr>
            <sz val="11"/>
            <rFont val="Calibri"/>
          </rPr>
          <t>The F5 BIG-IP appliance must be configured to disable the persistent cookie flag.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F5 BIG-IP appliance must be configured to enforce the limit of three consecutive invalid logon attempts, after which time it must block any login attempt for at least 15 minutes.</t>
        </r>
      </text>
    </comment>
    <comment ref="I2" authorId="0" shapeId="0" xr:uid="{00000000-0006-0000-0500-000004000000}">
      <text>
        <r>
          <rPr>
            <sz val="11"/>
            <rFont val="Calibri"/>
          </rPr>
          <t>The F5 BIG-IP appliance must set the idle time before automatic logout to five minutes of inactivity except to fulfill documented and validated mission requirements.</t>
        </r>
      </text>
    </comment>
    <comment ref="J2" authorId="0" shapeId="0" xr:uid="{00000000-0006-0000-0500-000002000000}">
      <text>
        <r>
          <rPr>
            <sz val="11"/>
            <rFont val="Calibri"/>
          </rPr>
          <t>The F5 BIG-IP appliance must terminate all network connections associated with a communications session at the end of the session or after 15 minutes of inactivity.</t>
        </r>
      </text>
    </comment>
    <comment ref="K2" authorId="0" shapeId="0" xr:uid="{00000000-0006-0000-0500-000003000000}">
      <text>
        <r>
          <rPr>
            <sz val="11"/>
            <rFont val="Calibri"/>
          </rPr>
          <t>The F5 BIG-IP appliance must be configured to limit authenticated client sessions to initial session source IP.</t>
        </r>
      </text>
    </comment>
    <comment ref="H4" authorId="0" shapeId="0" xr:uid="{00000000-0006-0000-0500-000005000000}">
      <text>
        <r>
          <rPr>
            <sz val="11"/>
            <rFont val="Calibri"/>
          </rPr>
          <t>To protect against data mining, the F5 BIG-IP appliance providing content filtering must prevent code injection attacks from being launched against data storage objects, including, at a minimum, databases, database records, queries, and fields.</t>
        </r>
      </text>
    </comment>
    <comment ref="I4" authorId="0" shapeId="0" xr:uid="{00000000-0006-0000-0500-000007000000}">
      <text>
        <r>
          <rPr>
            <sz val="11"/>
            <rFont val="Calibri"/>
          </rPr>
          <t>To protect against data mining, the F5 BIG-IP appliance providing content filtering must prevent code injection attacks launched against application objects including, at a minimum, application URLs and application code.</t>
        </r>
      </text>
    </comment>
    <comment ref="J4" authorId="0" shapeId="0" xr:uid="{00000000-0006-0000-0500-000008000000}">
      <text>
        <r>
          <rPr>
            <sz val="11"/>
            <rFont val="Calibri"/>
          </rPr>
          <t>To protect against data mining, the F5 BIG-IP appliance providing content filtering must prevent SQL injection attacks launched against data storage objects, including, at a minimum, databases, database records, and database fields.</t>
        </r>
      </text>
    </comment>
    <comment ref="K4" authorId="0" shapeId="0" xr:uid="{00000000-0006-0000-0500-000009000000}">
      <text>
        <r>
          <rPr>
            <sz val="11"/>
            <rFont val="Calibri"/>
          </rPr>
          <t>The F5 BIG-IP appliance providing content filtering must automatically update malicious code protection mechanisms.</t>
        </r>
      </text>
    </comment>
    <comment ref="L4" authorId="0" shapeId="0" xr:uid="{00000000-0006-0000-0500-000006000000}">
      <text>
        <r>
          <rPr>
            <sz val="11"/>
            <rFont val="Calibri"/>
          </rPr>
          <t>The F5 BIG-IP appliance providing content filtering must detect use of network services that have not been authorized or approved by the information system security manager (ISSM) and information system security officer (ISSO), at a minimum.</t>
        </r>
      </text>
    </comment>
    <comment ref="H7" authorId="0" shapeId="0" xr:uid="{00000000-0006-0000-0500-00000A000000}">
      <text>
        <r>
          <rPr>
            <sz val="11"/>
            <rFont val="Calibri"/>
          </rPr>
          <t>The F5 BIG-IP appliance must generate audit records and send records to redundant central syslog servers that are separate from the appliance.</t>
        </r>
      </text>
    </comment>
    <comment ref="I7" authorId="0" shapeId="0" xr:uid="{00000000-0006-0000-0500-00000B000000}">
      <text>
        <r>
          <rPr>
            <sz val="11"/>
            <rFont val="Calibri"/>
          </rPr>
          <t>The F5 BIG-IP appliance must record time stamps for audit records that can be mapped to Coordinated Universal Time (UTC).</t>
        </r>
      </text>
    </comment>
    <comment ref="J7" authorId="0" shapeId="0" xr:uid="{00000000-0006-0000-0500-00000C000000}">
      <text>
        <r>
          <rPr>
            <sz val="11"/>
            <rFont val="Calibri"/>
          </rPr>
          <t>The F5 BIG-IP appliance must generate traffic log entries containing information to establish the details of the event, including success or failure of the application of the firewall rule.</t>
        </r>
      </text>
    </comment>
    <comment ref="K7" authorId="0" shapeId="0" xr:uid="{00000000-0006-0000-0500-00000D000000}">
      <text>
        <r>
          <rPr>
            <sz val="11"/>
            <rFont val="Calibri"/>
          </rPr>
          <t>In the event that communication with the central audit server is lost, the F5 BIG-IP appliance must continue to queue traffic log records locally.</t>
        </r>
      </text>
    </comment>
    <comment ref="L7" authorId="0" shapeId="0" xr:uid="{00000000-0006-0000-0500-00000E000000}">
      <text>
        <r>
          <rPr>
            <sz val="11"/>
            <rFont val="Calibri"/>
          </rPr>
          <t>The F5 BIG-IP appliance must be configured to use TCP when sending log records to the central audit server.</t>
        </r>
      </text>
    </comment>
    <comment ref="H12" authorId="0" shapeId="0" xr:uid="{00000000-0006-0000-0500-00000F000000}">
      <text>
        <r>
          <rPr>
            <sz val="11"/>
            <rFont val="Calibri"/>
          </rPr>
          <t>The F5 BIG-IP appliance must conduct backups of the configuration at a weekly or organization-defined frequency and store on a separate device.</t>
        </r>
      </text>
    </comment>
    <comment ref="H14" authorId="0" shapeId="0" xr:uid="{00000000-0006-0000-0500-000010000000}">
      <text>
        <r>
          <rPr>
            <sz val="11"/>
            <rFont val="Calibri"/>
          </rPr>
          <t>The F5 BIG-IP DNS implementation must prohibit recursion on authoritative name servers.</t>
        </r>
      </text>
    </comment>
    <comment ref="I14" authorId="0" shapeId="0" xr:uid="{00000000-0006-0000-0500-000011000000}">
      <text>
        <r>
          <rPr>
            <sz val="11"/>
            <rFont val="Calibri"/>
          </rPr>
          <t>The F5 BIG-IP appliance must be configured to prohibit the use of all unnecessary and/or nonsecure functions, ports, protocols, and/or services.</t>
        </r>
      </text>
    </comment>
    <comment ref="J14" authorId="0" shapeId="0" xr:uid="{00000000-0006-0000-0500-000012000000}">
      <text>
        <r>
          <rPr>
            <sz val="11"/>
            <rFont val="Calibri"/>
          </rPr>
          <t>The F5 BIG-IP appliance must be configured to prohibit or restrict the use of unnecessary or prohibited functions, ports, protocols, and/or services, including those defined in the PPSM CAL and vulnerability assessments.</t>
        </r>
      </text>
    </comment>
    <comment ref="H16" authorId="0" shapeId="0" xr:uid="{00000000-0006-0000-0500-000013000000}">
      <text>
        <r>
          <rPr>
            <sz val="11"/>
            <rFont val="Calibri"/>
          </rPr>
          <t>The validity period for the RRSIGs covering a zone</t>
        </r>
        <r>
          <rPr>
            <sz val="11"/>
            <color rgb="FF000000"/>
            <rFont val="Calibri"/>
          </rPr>
          <t>'</t>
        </r>
        <r>
          <rPr>
            <sz val="11"/>
            <color rgb="FF000000"/>
            <rFont val="Calibri"/>
          </rPr>
          <t>s DNSKEY RRSet must be no less than two days and no more than one week.</t>
        </r>
      </text>
    </comment>
    <comment ref="I16" authorId="0" shapeId="0" xr:uid="{00000000-0006-0000-0500-00002C000000}">
      <text>
        <r>
          <rPr>
            <sz val="11"/>
            <rFont val="Calibri"/>
          </rPr>
          <t>An authoritative name server must be configured to enable DNSSEC Resource Records.</t>
        </r>
      </text>
    </comment>
    <comment ref="J16" authorId="0" shapeId="0" xr:uid="{00000000-0006-0000-0500-00002D000000}">
      <text>
        <r>
          <rPr>
            <sz val="11"/>
            <rFont val="Calibri"/>
          </rPr>
          <t>The F5 BIG-IP DNS must use valid root name servers in the local root zone file.</t>
        </r>
      </text>
    </comment>
    <comment ref="K16" authorId="0" shapeId="0" xr:uid="{00000000-0006-0000-0500-00002E000000}">
      <text>
        <r>
          <rPr>
            <sz val="11"/>
            <rFont val="Calibri"/>
          </rPr>
          <t>The platform on which the name server software is hosted must be configured to respond to DNS traffic only.</t>
        </r>
      </text>
    </comment>
    <comment ref="L16" authorId="0" shapeId="0" xr:uid="{00000000-0006-0000-0500-00002F000000}">
      <text>
        <r>
          <rPr>
            <sz val="11"/>
            <rFont val="Calibri"/>
          </rPr>
          <t>The digital signature algorithm used for DNSSEC-enabled zones must be set to use RSA/SHA256 or RSA/SHA512.</t>
        </r>
      </text>
    </comment>
    <comment ref="M16" authorId="0" shapeId="0" xr:uid="{00000000-0006-0000-0500-000014000000}">
      <text>
        <r>
          <rPr>
            <sz val="11"/>
            <rFont val="Calibri"/>
          </rPr>
          <t>A BIG-IP DNS server implementation must provide additional data origin artifacts along with the authoritative data the system returns in response to external name/address resolution queries.</t>
        </r>
      </text>
    </comment>
    <comment ref="N16" authorId="0" shapeId="0" xr:uid="{00000000-0006-0000-0500-000015000000}">
      <text>
        <r>
          <rPr>
            <sz val="11"/>
            <rFont val="Calibri"/>
          </rPr>
          <t>The validity period for the RRSIGs covering the DS RR for a zones delegated children must be no less than two days and no more than one week.</t>
        </r>
      </text>
    </comment>
    <comment ref="O16" authorId="0" shapeId="0" xr:uid="{00000000-0006-0000-0500-000016000000}">
      <text>
        <r>
          <rPr>
            <sz val="11"/>
            <rFont val="Calibri"/>
          </rPr>
          <t>The F5 BIG-IP appliance must obtain its public key certificates from an appropriate certificate policy through an approved service provider.</t>
        </r>
      </text>
    </comment>
    <comment ref="P16" authorId="0" shapeId="0" xr:uid="{00000000-0006-0000-0500-000017000000}">
      <text>
        <r>
          <rPr>
            <sz val="11"/>
            <rFont val="Calibri"/>
          </rPr>
          <t>The F5 BIG-IP appliance must be configured to use DOD approved OCSP responders or CRLs to validate certificates used for PKI-based authentication.</t>
        </r>
      </text>
    </comment>
    <comment ref="Q16" authorId="0" shapeId="0" xr:uid="{00000000-0006-0000-0500-000018000000}">
      <text>
        <r>
          <rPr>
            <sz val="11"/>
            <rFont val="Calibri"/>
          </rPr>
          <t>The F5 BIG-IP appliance providing intermediary services for remote access must use FIPS-validated cryptographic algorithms, including TLS 1.2 at a minimum.</t>
        </r>
      </text>
    </comment>
    <comment ref="R16" authorId="0" shapeId="0" xr:uid="{00000000-0006-0000-0500-000019000000}">
      <text>
        <r>
          <rPr>
            <sz val="11"/>
            <rFont val="Calibri"/>
          </rPr>
          <t>The F5 BIG-IP appliance must configure certification path validation to ensure revoked machine credentials are prohibited from establishing an allowed session.</t>
        </r>
      </text>
    </comment>
    <comment ref="S16" authorId="0" shapeId="0" xr:uid="{00000000-0006-0000-0500-00001A000000}">
      <text>
        <r>
          <rPr>
            <sz val="11"/>
            <rFont val="Calibri"/>
          </rPr>
          <t>The F5 BIG-IP appliance providing user authentication intermediary services using PKI-based user authentication must implement a local cache of revocation data to support path discovery and validation in case of the inability to access revocation information via the network.</t>
        </r>
      </text>
    </comment>
    <comment ref="T16" authorId="0" shapeId="0" xr:uid="{00000000-0006-0000-0500-00001B000000}">
      <text>
        <r>
          <rPr>
            <sz val="11"/>
            <rFont val="Calibri"/>
          </rPr>
          <t>The F5 BIG-IP appliance must configure certificate path validation to ensure revoked user credentials are prohibited from establishing an allowed session.</t>
        </r>
      </text>
    </comment>
    <comment ref="U16" authorId="0" shapeId="0" xr:uid="{00000000-0006-0000-0500-00001C000000}">
      <text>
        <r>
          <rPr>
            <sz val="11"/>
            <rFont val="Calibri"/>
          </rPr>
          <t>The F5 BIG-IP appliance must be configured to use cryptographic algorithms approved by NSA to protect NSS for remote access to a classified network.</t>
        </r>
      </text>
    </comment>
    <comment ref="V16" authorId="0" shapeId="0" xr:uid="{00000000-0006-0000-0500-00001D000000}">
      <text>
        <r>
          <rPr>
            <sz val="11"/>
            <rFont val="Calibri"/>
          </rPr>
          <t>The F5 BIG-IP appliance providing remote access intermediary services must disable split-tunneling for remote clients</t>
        </r>
        <r>
          <rPr>
            <sz val="11"/>
            <color rgb="FF000000"/>
            <rFont val="Calibri"/>
          </rPr>
          <t>'</t>
        </r>
        <r>
          <rPr>
            <sz val="11"/>
            <color rgb="FF000000"/>
            <rFont val="Calibri"/>
          </rPr>
          <t xml:space="preserve"> VPNs.</t>
        </r>
      </text>
    </comment>
    <comment ref="W16" authorId="0" shapeId="0" xr:uid="{00000000-0006-0000-0500-00001E000000}">
      <text>
        <r>
          <rPr>
            <sz val="11"/>
            <rFont val="Calibri"/>
          </rPr>
          <t>The F5 BIG-IP appliance providing remote access intermediary services must be configured to route sessions to an IDPS for inspection.</t>
        </r>
      </text>
    </comment>
    <comment ref="X16" authorId="0" shapeId="0" xr:uid="{00000000-0006-0000-0500-00001F000000}">
      <text>
        <r>
          <rPr>
            <sz val="11"/>
            <rFont val="Calibri"/>
          </rPr>
          <t>The VPN Gateway must use Always On VPN connections for remote computing.</t>
        </r>
      </text>
    </comment>
    <comment ref="Y16" authorId="0" shapeId="0" xr:uid="{00000000-0006-0000-0500-000020000000}">
      <text>
        <r>
          <rPr>
            <sz val="11"/>
            <rFont val="Calibri"/>
          </rPr>
          <t>The F5 BIG-IP appliance must be configured to use a Diffie-Hellman (DH) Group of 16 or greater for Internet Key Exchange (IKE) Phase 1.</t>
        </r>
      </text>
    </comment>
    <comment ref="Z16" authorId="0" shapeId="0" xr:uid="{00000000-0006-0000-0500-000021000000}">
      <text>
        <r>
          <rPr>
            <sz val="11"/>
            <rFont val="Calibri"/>
          </rPr>
          <t>The F5 BIG-IP appliance IPsec VPN Gateway must use AES256 or higher encryption for the Internet Key Exchange (IKE) proposal to protect confidentiality of remote access sessions.</t>
        </r>
      </text>
    </comment>
    <comment ref="AA16" authorId="0" shapeId="0" xr:uid="{00000000-0006-0000-0500-000022000000}">
      <text>
        <r>
          <rPr>
            <sz val="11"/>
            <rFont val="Calibri"/>
          </rPr>
          <t>The F5 BIG-IP appliance IPsec VPN must use AES256 or greater encryption for the IPsec proposal.</t>
        </r>
      </text>
    </comment>
    <comment ref="AB16" authorId="0" shapeId="0" xr:uid="{00000000-0006-0000-0500-000023000000}">
      <text>
        <r>
          <rPr>
            <sz val="11"/>
            <rFont val="Calibri"/>
          </rPr>
          <t>The F5 BIG-IP appliance IPsec VPN must ensure inbound and outbound traffic is configured with a security policy.</t>
        </r>
      </text>
    </comment>
    <comment ref="AC16" authorId="0" shapeId="0" xr:uid="{00000000-0006-0000-0500-000024000000}">
      <text>
        <r>
          <rPr>
            <sz val="11"/>
            <rFont val="Calibri"/>
          </rPr>
          <t>The F5 BIG-IP appliance IPsec VPN Gateway must use Internet Key Exchange (IKE) for IPsec VPN Security Associations (SAs).</t>
        </r>
      </text>
    </comment>
    <comment ref="AD16" authorId="0" shapeId="0" xr:uid="{00000000-0006-0000-0500-000025000000}">
      <text>
        <r>
          <rPr>
            <sz val="11"/>
            <rFont val="Calibri"/>
          </rPr>
          <t>The IPsec BIG-IP appliance must use IKEv2 for IPsec VPN security associations.</t>
        </r>
      </text>
    </comment>
    <comment ref="AE16" authorId="0" shapeId="0" xr:uid="{00000000-0006-0000-0500-000026000000}">
      <text>
        <r>
          <rPr>
            <sz val="11"/>
            <rFont val="Calibri"/>
          </rPr>
          <t>The F5 BIG-IP appliance IPsec VPN Gateway must renegotiate the IPsec Phase 1 security association after eight hours or less.</t>
        </r>
      </text>
    </comment>
    <comment ref="AF16" authorId="0" shapeId="0" xr:uid="{00000000-0006-0000-0500-000027000000}">
      <text>
        <r>
          <rPr>
            <sz val="11"/>
            <rFont val="Calibri"/>
          </rPr>
          <t>The F5 BIG-IP appliance IPsec VPN must renegotiate the IKE Phase 2 security association after eight hours or less.</t>
        </r>
      </text>
    </comment>
    <comment ref="AG16" authorId="0" shapeId="0" xr:uid="{00000000-0006-0000-0500-000028000000}">
      <text>
        <r>
          <rPr>
            <sz val="11"/>
            <rFont val="Calibri"/>
          </rPr>
          <t>For accounts using password authentication, the F5 BIG-IP appliance site-to-site IPsec VPN Gateway must use SHA-2 or later protocol to protect the integrity of the password authentication process.</t>
        </r>
      </text>
    </comment>
    <comment ref="AH16" authorId="0" shapeId="0" xr:uid="{00000000-0006-0000-0500-000029000000}">
      <text>
        <r>
          <rPr>
            <sz val="11"/>
            <rFont val="Calibri"/>
          </rPr>
          <t>The F5 BIG-IP appliance IPsec VPN must use cryptographic algorithms approved by NSA to protect NSS when transporting classified traffic across an unclassified network.</t>
        </r>
      </text>
    </comment>
    <comment ref="AI16" authorId="0" shapeId="0" xr:uid="{00000000-0006-0000-0500-00002A000000}">
      <text>
        <r>
          <rPr>
            <sz val="11"/>
            <rFont val="Calibri"/>
          </rPr>
          <t>The F5 BIG-IP appliance IPsec VPN must be configured to use FIPS-validated SHA-2 or higher for Internet Key Exchange (IKE).</t>
        </r>
      </text>
    </comment>
    <comment ref="AJ16" authorId="0" shapeId="0" xr:uid="{00000000-0006-0000-0500-00002B000000}">
      <text>
        <r>
          <rPr>
            <sz val="11"/>
            <rFont val="Calibri"/>
          </rPr>
          <t>The F5 BIG-IP appliance IPsec VPN Gateway must specify Perfect Forward Secrecy (PFS) during Internet Key Exchange (IKE) negotiation.</t>
        </r>
      </text>
    </comment>
    <comment ref="H20" authorId="0" shapeId="0" xr:uid="{00000000-0006-0000-0500-000030000000}">
      <text>
        <r>
          <rPr>
            <sz val="11"/>
            <rFont val="Calibri"/>
          </rPr>
          <t>Primary authoritative name servers must be configured to only receive zone transfer requests from specified secondary name servers.</t>
        </r>
      </text>
    </comment>
    <comment ref="I20" authorId="0" shapeId="0" xr:uid="{00000000-0006-0000-0500-000031000000}">
      <text>
        <r>
          <rPr>
            <sz val="11"/>
            <rFont val="Calibri"/>
          </rPr>
          <t>The F5 BIG-IP DNS server implementation must validate the binding of the other DNS server</t>
        </r>
        <r>
          <rPr>
            <sz val="11"/>
            <color rgb="FF000000"/>
            <rFont val="Calibri"/>
          </rPr>
          <t>'</t>
        </r>
        <r>
          <rPr>
            <sz val="11"/>
            <color rgb="FF000000"/>
            <rFont val="Calibri"/>
          </rPr>
          <t>s identity to the DNS information for a server-to-server transaction (e.g., zone transfer).</t>
        </r>
      </text>
    </comment>
    <comment ref="J20" authorId="0" shapeId="0" xr:uid="{00000000-0006-0000-0500-000032000000}">
      <text>
        <r>
          <rPr>
            <sz val="11"/>
            <rFont val="Calibri"/>
          </rPr>
          <t>The F5 BIG-IP DNS implementation must protect the authenticity of communications sessions for zone transfers.</t>
        </r>
      </text>
    </comment>
    <comment ref="K20" authorId="0" shapeId="0" xr:uid="{00000000-0006-0000-0500-000033000000}">
      <text>
        <r>
          <rPr>
            <sz val="11"/>
            <rFont val="Calibri"/>
          </rPr>
          <t>The F5 BIG-IP DNS server implementation must manage excess capacity, bandwidth, or other redundancy to limit the effects of information flooding types of denial-of-service (DoS) attacks.</t>
        </r>
      </text>
    </comment>
    <comment ref="L20" authorId="0" shapeId="0" xr:uid="{00000000-0006-0000-0500-000034000000}">
      <text>
        <r>
          <rPr>
            <sz val="11"/>
            <rFont val="Calibri"/>
          </rPr>
          <t>The F5 BIG-IP appliance must be configured to restrict a consistent inbound IP for the entire management session.</t>
        </r>
      </text>
    </comment>
    <comment ref="M20" authorId="0" shapeId="0" xr:uid="{00000000-0006-0000-0500-000035000000}">
      <text>
        <r>
          <rPr>
            <sz val="11"/>
            <rFont val="Calibri"/>
          </rPr>
          <t>The F5 BIG-IP appliance that provides intermediary services for SMTP must inspect inbound and outbound SMTP and Extended SMTP communications traffic for protocol compliance and protocol anomalies.</t>
        </r>
      </text>
    </comment>
    <comment ref="N20" authorId="0" shapeId="0" xr:uid="{00000000-0006-0000-0500-000036000000}">
      <text>
        <r>
          <rPr>
            <sz val="11"/>
            <rFont val="Calibri"/>
          </rPr>
          <t>The F5 BIG-IP appliance that intermediary services for FTP must inspect inbound and outbound FTP communications traffic for protocol compliance and protocol anomalies.</t>
        </r>
      </text>
    </comment>
    <comment ref="O20" authorId="0" shapeId="0" xr:uid="{00000000-0006-0000-0500-000037000000}">
      <text>
        <r>
          <rPr>
            <sz val="11"/>
            <rFont val="Calibri"/>
          </rPr>
          <t>The F5 BIG-IP appliance that provides intermediary services for HTTP must inspect inbound and outbound HTTP traffic for protocol compliance and protocol anomalies.</t>
        </r>
      </text>
    </comment>
    <comment ref="P20" authorId="0" shapeId="0" xr:uid="{00000000-0006-0000-0500-000038000000}">
      <text>
        <r>
          <rPr>
            <sz val="11"/>
            <rFont val="Calibri"/>
          </rPr>
          <t>The F5 BIG-IP appliance providing content filtering must employ rate-based attack prevention behavior analysis.</t>
        </r>
      </text>
    </comment>
    <comment ref="Q20" authorId="0" shapeId="0" xr:uid="{00000000-0006-0000-0500-000039000000}">
      <text>
        <r>
          <rPr>
            <sz val="11"/>
            <rFont val="Calibri"/>
          </rPr>
          <t>The F5 BIG-IP appliance providing content filtering must protect against or limit the effects of known and unknown types of denial-of-service (DoS) attacks by employing pattern recognition pre-processors.</t>
        </r>
      </text>
    </comment>
    <comment ref="R20" authorId="0" shapeId="0" xr:uid="{00000000-0006-0000-0500-00003A000000}">
      <text>
        <r>
          <rPr>
            <sz val="11"/>
            <rFont val="Calibri"/>
          </rPr>
          <t>The F5 BIG-IP appliance must be configured to restrict a consistent inbound IP for the entire management session.</t>
        </r>
      </text>
    </comment>
    <comment ref="S20" authorId="0" shapeId="0" xr:uid="{00000000-0006-0000-0500-00003B000000}">
      <text>
        <r>
          <rPr>
            <sz val="11"/>
            <rFont val="Calibri"/>
          </rPr>
          <t>The F5 BIG-IP appliance that filters traffic from the VPN access points must be configured with organization-defined filtering rules that apply to the monitoring of remote access traffic.</t>
        </r>
      </text>
    </comment>
    <comment ref="T20" authorId="0" shapeId="0" xr:uid="{00000000-0006-0000-0500-00003C000000}">
      <text>
        <r>
          <rPr>
            <sz val="11"/>
            <rFont val="Calibri"/>
          </rPr>
          <t>The F5 BIG-IP appliance must be configured to use filters that use packet headers and packet attributes, including source and destination IP addresses and ports, to prevent the flow of unauthorized or suspicious traffic between interconnected networks with different security policies, including perimeter firewalls and server VLANs.</t>
        </r>
      </text>
    </comment>
    <comment ref="U20" authorId="0" shapeId="0" xr:uid="{00000000-0006-0000-0500-00003D000000}">
      <text>
        <r>
          <rPr>
            <sz val="11"/>
            <rFont val="Calibri"/>
          </rPr>
          <t>The F5 BIG-IP appliance must employ filters that prevent or limit the effects of all types of commonly known denial-of-service (DoS) attacks, including flooding, packet sweeps, and unauthorized port scanning.</t>
        </r>
      </text>
    </comment>
    <comment ref="V20" authorId="0" shapeId="0" xr:uid="{00000000-0006-0000-0500-00003E000000}">
      <text>
        <r>
          <rPr>
            <sz val="11"/>
            <rFont val="Calibri"/>
          </rPr>
          <t>The F5 BIG-IP appliance must generate an alert that can be forwarded to, at a minimum, the information system security officer (ISSO) and information system security manager (ISSM) when denial-of-service (DoS) incidents are detected.</t>
        </r>
      </text>
    </comment>
    <comment ref="W20" authorId="0" shapeId="0" xr:uid="{00000000-0006-0000-0500-00003F000000}">
      <text>
        <r>
          <rPr>
            <sz val="11"/>
            <rFont val="Calibri"/>
          </rPr>
          <t>The F5 BIG-IP appliance must be configured to inspect all inbound and outbound traffic at the application layer.</t>
        </r>
      </text>
    </comment>
    <comment ref="X20" authorId="0" shapeId="0" xr:uid="{00000000-0006-0000-0500-000040000000}">
      <text>
        <r>
          <rPr>
            <sz val="11"/>
            <rFont val="Calibri"/>
          </rPr>
          <t>The BIG-IP appliance perimeter firewall must be configured to filter traffic destined to the enclave in accordance with the specific traffic that is approved and registered in the Ports, Protocols, and Services Management (PPSM) Category Assurance List (CAL) and vulnerability assessments.</t>
        </r>
      </text>
    </comment>
    <comment ref="H21" authorId="0" shapeId="0" xr:uid="{00000000-0006-0000-0500-000041000000}">
      <text>
        <r>
          <rPr>
            <sz val="11"/>
            <rFont val="Calibri"/>
          </rPr>
          <t>The F5 BIG-IP appliance must be configured to limit the number of concurrent sessions to the Configuration Utility to 10 or an organization-defined number.</t>
        </r>
      </text>
    </comment>
    <comment ref="I21" authorId="0" shapeId="0" xr:uid="{00000000-0006-0000-0500-000042000000}">
      <text>
        <r>
          <rPr>
            <sz val="11"/>
            <rFont val="Calibri"/>
          </rPr>
          <t>The F5 BIG-IP appliance providing user access control intermediary services must limit the number of concurrent sessions to one or an organization-defined number for each access profile.</t>
        </r>
      </text>
    </comment>
    <comment ref="J21" authorId="0" shapeId="0" xr:uid="{00000000-0006-0000-0500-000043000000}">
      <text>
        <r>
          <rPr>
            <sz val="11"/>
            <rFont val="Calibri"/>
          </rPr>
          <t xml:space="preserve">The F5 BIG-IP appliance must be configured to set the </t>
        </r>
        <r>
          <rPr>
            <sz val="11"/>
            <color rgb="FF000000"/>
            <rFont val="Calibri"/>
          </rPr>
          <t>"</t>
        </r>
        <r>
          <rPr>
            <b/>
            <sz val="11"/>
            <color rgb="FF000000"/>
            <rFont val="Calibri"/>
          </rPr>
          <t>Max In Progress Sessions per Client IP</t>
        </r>
        <r>
          <rPr>
            <sz val="11"/>
            <color rgb="FF000000"/>
            <rFont val="Calibri"/>
          </rPr>
          <t>"</t>
        </r>
        <r>
          <rPr>
            <sz val="11"/>
            <color rgb="FF000000"/>
            <rFont val="Calibri"/>
          </rPr>
          <t xml:space="preserve"> value to 10 or an organizational-defined number.</t>
        </r>
      </text>
    </comment>
    <comment ref="H24" authorId="0" shapeId="0" xr:uid="{00000000-0006-0000-0500-000044000000}">
      <text>
        <r>
          <rPr>
            <sz val="11"/>
            <rFont val="Calibri"/>
          </rPr>
          <t>The F5 BIG-IP appliance must be configured to use multifactor authentication (MFA) for interactive logins.</t>
        </r>
      </text>
    </comment>
    <comment ref="I24" authorId="0" shapeId="0" xr:uid="{00000000-0006-0000-0500-000045000000}">
      <text>
        <r>
          <rPr>
            <sz val="11"/>
            <rFont val="Calibri"/>
          </rPr>
          <t>The F5 BIG-IP appliance providing user authentication intermediary services must uniquely identify and authenticate users using redundant authentication servers and multifactor authentication (MFA).</t>
        </r>
      </text>
    </comment>
    <comment ref="H26" authorId="0" shapeId="0" xr:uid="{00000000-0006-0000-0500-000046000000}">
      <text>
        <r>
          <rPr>
            <sz val="11"/>
            <rFont val="Calibri"/>
          </rPr>
          <t>The F5 BIG-IP appliance providing intermediary services for remote access communications traffic must ensure inbound and outbound traffic is monitored for compliance with remote access security policies.</t>
        </r>
      </text>
    </comment>
    <comment ref="I26" authorId="0" shapeId="0" xr:uid="{00000000-0006-0000-0500-000047000000}">
      <text>
        <r>
          <rPr>
            <sz val="11"/>
            <rFont val="Calibri"/>
          </rPr>
          <t>The F5 BIG-IP appliance must be configured to block all outbound management traffic.</t>
        </r>
      </text>
    </comment>
    <comment ref="H29" authorId="0" shapeId="0" xr:uid="{00000000-0006-0000-0500-000048000000}">
      <text>
        <r>
          <rPr>
            <sz val="11"/>
            <rFont val="Calibri"/>
          </rPr>
          <t>The F5 BIG-IP appliance must enforce a minimum 15-character password length.</t>
        </r>
      </text>
    </comment>
    <comment ref="I29" authorId="0" shapeId="0" xr:uid="{00000000-0006-0000-0500-000049000000}">
      <text>
        <r>
          <rPr>
            <sz val="11"/>
            <rFont val="Calibri"/>
          </rPr>
          <t>The F5 BIG-IP appliance must enforce password complexity by requiring that at least one uppercase character be used.</t>
        </r>
      </text>
    </comment>
    <comment ref="J29" authorId="0" shapeId="0" xr:uid="{00000000-0006-0000-0500-00004A000000}">
      <text>
        <r>
          <rPr>
            <sz val="11"/>
            <rFont val="Calibri"/>
          </rPr>
          <t>The F5 BIG-IP appliance must enforce password complexity by requiring that at least one lowercase character be used.</t>
        </r>
      </text>
    </comment>
    <comment ref="K29" authorId="0" shapeId="0" xr:uid="{00000000-0006-0000-0500-00004B000000}">
      <text>
        <r>
          <rPr>
            <sz val="11"/>
            <rFont val="Calibri"/>
          </rPr>
          <t>The F5 BIG-IP appliance must enforce password complexity by requiring that at least one numeric character be used.</t>
        </r>
      </text>
    </comment>
    <comment ref="L29" authorId="0" shapeId="0" xr:uid="{00000000-0006-0000-0500-00004C000000}">
      <text>
        <r>
          <rPr>
            <sz val="11"/>
            <rFont val="Calibri"/>
          </rPr>
          <t>The F5 BIG-IP appliance must enforce password complexity by requiring that at least one special character be used.</t>
        </r>
      </text>
    </comment>
    <comment ref="M29" authorId="0" shapeId="0" xr:uid="{00000000-0006-0000-0500-00004D000000}">
      <text>
        <r>
          <rPr>
            <sz val="11"/>
            <rFont val="Calibri"/>
          </rPr>
          <t>The F5 BIG-IP appliance must require that when a password is changed, the characters are changed in at least eight of the positions within the password.</t>
        </r>
      </text>
    </comment>
    <comment ref="N29" authorId="0" shapeId="0" xr:uid="{00000000-0006-0000-0500-00004E000000}">
      <text>
        <r>
          <rPr>
            <sz val="11"/>
            <rFont val="Calibri"/>
          </rPr>
          <t>The F5 BIG-IP appliance must prohibit the use of cached authenticators after eight hours or less.</t>
        </r>
      </text>
    </comment>
    <comment ref="H31" authorId="0" shapeId="0" xr:uid="{00000000-0006-0000-0500-00004F000000}">
      <text>
        <r>
          <rPr>
            <sz val="11"/>
            <rFont val="Calibri"/>
          </rPr>
          <t>The F5 BIG-IP appliance must terminate shared/group account credentials when members leave the group.</t>
        </r>
      </text>
    </comment>
    <comment ref="I31" authorId="0" shapeId="0" xr:uid="{00000000-0006-0000-0500-000050000000}">
      <text>
        <r>
          <rPr>
            <sz val="11"/>
            <rFont val="Calibri"/>
          </rPr>
          <t>The F5 BIG-IP appliance must be configured with only one local account to be used as the account of last resort in the event the authentication server is unavailable.</t>
        </r>
      </text>
    </comment>
    <comment ref="J31" authorId="0" shapeId="0" xr:uid="{00000000-0006-0000-0500-000051000000}">
      <text>
        <r>
          <rPr>
            <sz val="11"/>
            <rFont val="Calibri"/>
          </rPr>
          <t>The F5 BIG-IP appliance must be configured to assign appropriate user roles or access levels to authenticated users.</t>
        </r>
      </text>
    </comment>
    <comment ref="K31" authorId="0" shapeId="0" xr:uid="{00000000-0006-0000-0500-000052000000}">
      <text>
        <r>
          <rPr>
            <sz val="11"/>
            <rFont val="Calibri"/>
          </rPr>
          <t>The F5 BIG-IP appliance must be configured to audit the execution of privileged functions such as accounts additions and changes.</t>
        </r>
      </text>
    </comment>
    <comment ref="L31" authorId="0" shapeId="0" xr:uid="{00000000-0006-0000-0500-000053000000}">
      <text>
        <r>
          <rPr>
            <sz val="11"/>
            <rFont val="Calibri"/>
          </rPr>
          <t>The F5 BIG-IP appliance must be configured to prevent the installation of patches, service packs, or application components without verification the software component has been digitally signed using a certificate that is recognized and approved by the organization.</t>
        </r>
      </text>
    </comment>
    <comment ref="M31" authorId="0" shapeId="0" xr:uid="{00000000-0006-0000-0500-000054000000}">
      <text>
        <r>
          <rPr>
            <sz val="11"/>
            <rFont val="Calibri"/>
          </rPr>
          <t>The F5 BIG-IP appliance providing user access control intermediary services must enforce approved authorizations for logical access to information and system resources by employing identity-based, role-based, and/or attribute-based security policies.</t>
        </r>
      </text>
    </comment>
    <comment ref="N31" authorId="0" shapeId="0" xr:uid="{00000000-0006-0000-0500-000055000000}">
      <text>
        <r>
          <rPr>
            <sz val="11"/>
            <rFont val="Calibri"/>
          </rPr>
          <t>The F5 BIG-IP appliance must not use the On-demand Cert Auth VPE agent as part of the APM Policy Profiles.</t>
        </r>
      </text>
    </comment>
    <comment ref="H37" authorId="0" shapeId="0" xr:uid="{00000000-0006-0000-0500-000056000000}">
      <text>
        <r>
          <rPr>
            <sz val="11"/>
            <rFont val="Calibri"/>
          </rPr>
          <t>To protect against data mining, the F5 BIG-IP appliance providing content filtering must prevent code injection attacks from being launched against data storage objects, including, at a minimum, databases, database records, queries, and fields.</t>
        </r>
      </text>
    </comment>
    <comment ref="I37" authorId="0" shapeId="0" xr:uid="{00000000-0006-0000-0500-000057000000}">
      <text>
        <r>
          <rPr>
            <sz val="11"/>
            <rFont val="Calibri"/>
          </rPr>
          <t>To protect against data mining, the F5 BIG-IP appliance providing content filtering must prevent code injection attacks launched against application objects including, at a minimum, application URLs and application code.</t>
        </r>
      </text>
    </comment>
    <comment ref="J37" authorId="0" shapeId="0" xr:uid="{00000000-0006-0000-0500-000058000000}">
      <text>
        <r>
          <rPr>
            <sz val="11"/>
            <rFont val="Calibri"/>
          </rPr>
          <t>To protect against data mining, the F5 BIG-IP appliance providing content filtering must prevent SQL injection attacks launched against data storage objects, including, at a minimum, databases, database records, and database fields.</t>
        </r>
      </text>
    </comment>
    <comment ref="K37" authorId="0" shapeId="0" xr:uid="{00000000-0006-0000-0500-000059000000}">
      <text>
        <r>
          <rPr>
            <sz val="11"/>
            <rFont val="Calibri"/>
          </rPr>
          <t>The F5 BIG-IP appliance must check the validity of all data inputs except those specifically identified by the organization.</t>
        </r>
      </text>
    </comment>
    <comment ref="L37" authorId="0" shapeId="0" xr:uid="{00000000-0006-0000-0500-00005A000000}">
      <text>
        <r>
          <rPr>
            <sz val="11"/>
            <rFont val="Calibri"/>
          </rPr>
          <t>The F5 BIG-IP appliance must be configured to enable the secure cookie flag.</t>
        </r>
      </text>
    </comment>
    <comment ref="M37" authorId="0" shapeId="0" xr:uid="{00000000-0006-0000-0500-00005B000000}">
      <text>
        <r>
          <rPr>
            <sz val="11"/>
            <rFont val="Calibri"/>
          </rPr>
          <t>The F5 BIG-IP appliance must be configured to disable the persistent cookie flag.</t>
        </r>
      </text>
    </comment>
    <comment ref="H41" authorId="0" shapeId="0" xr:uid="{00000000-0006-0000-0500-00005C000000}">
      <text>
        <r>
          <rPr>
            <sz val="11"/>
            <rFont val="Calibri"/>
          </rPr>
          <t>The F5 BIG-IP appliance must be running an operating system release that is currently supported by the vendor.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F5 BIG-IP appliance must be configured with only one local account to be used as the account of last resort in the event the authentication server is unavailable.</t>
        </r>
      </text>
    </comment>
    <comment ref="K3" authorId="0" shapeId="0" xr:uid="{00000000-0006-0000-0600-000003000000}">
      <text>
        <r>
          <rPr>
            <sz val="11"/>
            <rFont val="Calibri"/>
          </rPr>
          <t>The F5 BIG-IP appliance must be configured to assign appropriate user roles or access levels to authenticated users.</t>
        </r>
      </text>
    </comment>
    <comment ref="L3" authorId="0" shapeId="0" xr:uid="{00000000-0006-0000-0600-000002000000}">
      <text>
        <r>
          <rPr>
            <sz val="11"/>
            <rFont val="Calibri"/>
          </rPr>
          <t>The F5 BIG-IP appliance providing user access control intermediary services must enforce approved authorizations for logical access to information and system resources by employing identity-based, role-based, and/or attribute-based security policies.</t>
        </r>
      </text>
    </comment>
    <comment ref="J5" authorId="0" shapeId="0" xr:uid="{00000000-0006-0000-0600-000004000000}">
      <text>
        <r>
          <rPr>
            <sz val="11"/>
            <rFont val="Calibri"/>
          </rPr>
          <t>The F5 BIG-IP appliance that filters traffic from the VPN access points must be configured with organization-defined filtering rules that apply to the monitoring of remote access traffic.</t>
        </r>
      </text>
    </comment>
    <comment ref="K5" authorId="0" shapeId="0" xr:uid="{00000000-0006-0000-0600-000006000000}">
      <text>
        <r>
          <rPr>
            <sz val="11"/>
            <rFont val="Calibri"/>
          </rPr>
          <t>The F5 BIG-IP appliance must be configured to use filters that use packet headers and packet attributes, including source and destination IP addresses and ports, to prevent the flow of unauthorized or suspicious traffic between interconnected networks with different security policies, including perimeter firewalls and server VLANs.</t>
        </r>
      </text>
    </comment>
    <comment ref="L5" authorId="0" shapeId="0" xr:uid="{00000000-0006-0000-0600-000007000000}">
      <text>
        <r>
          <rPr>
            <sz val="11"/>
            <rFont val="Calibri"/>
          </rPr>
          <t>The F5 BIG-IP appliance must be configured to inspect all inbound and outbound traffic at the application layer.</t>
        </r>
      </text>
    </comment>
    <comment ref="M5" authorId="0" shapeId="0" xr:uid="{00000000-0006-0000-0600-000005000000}">
      <text>
        <r>
          <rPr>
            <sz val="11"/>
            <rFont val="Calibri"/>
          </rPr>
          <t>The BIG-IP appliance perimeter firewall must be configured to filter traffic destined to the enclave in accordance with the specific traffic that is approved and registered in the Ports, Protocols, and Services Management (PPSM) Category Assurance List (CAL) and vulnerability assessments.</t>
        </r>
      </text>
    </comment>
    <comment ref="J7" authorId="0" shapeId="0" xr:uid="{00000000-0006-0000-0600-000008000000}">
      <text>
        <r>
          <rPr>
            <sz val="11"/>
            <rFont val="Calibri"/>
          </rPr>
          <t>The F5 BIG-IP appliance must be configured to assign appropriate user roles or access levels to authenticated users.</t>
        </r>
      </text>
    </comment>
    <comment ref="K7" authorId="0" shapeId="0" xr:uid="{00000000-0006-0000-0600-000009000000}">
      <text>
        <r>
          <rPr>
            <sz val="11"/>
            <rFont val="Calibri"/>
          </rPr>
          <t>The F5 BIG-IP appliance must be configured to audit the execution of privileged functions such as accounts additions and changes.</t>
        </r>
      </text>
    </comment>
    <comment ref="L7" authorId="0" shapeId="0" xr:uid="{00000000-0006-0000-0600-00000A000000}">
      <text>
        <r>
          <rPr>
            <sz val="11"/>
            <rFont val="Calibri"/>
          </rPr>
          <t>The F5 BIG-IP appliance providing user access control intermediary services must enforce approved authorizations for logical access to information and system resources by employing identity-based, role-based, and/or attribute-based security policies.</t>
        </r>
      </text>
    </comment>
    <comment ref="M7" authorId="0" shapeId="0" xr:uid="{00000000-0006-0000-0600-00000B000000}">
      <text>
        <r>
          <rPr>
            <sz val="11"/>
            <rFont val="Calibri"/>
          </rPr>
          <t>The F5 BIG-IP appliance must not use the On-demand Cert Auth VPE agent as part of the APM Policy Profiles.</t>
        </r>
      </text>
    </comment>
    <comment ref="J8" authorId="0" shapeId="0" xr:uid="{00000000-0006-0000-0600-00000C000000}">
      <text>
        <r>
          <rPr>
            <sz val="11"/>
            <rFont val="Calibri"/>
          </rPr>
          <t>The F5 BIG-IP appliance must be configured to audit the execution of privileged functions such as accounts additions and changes.</t>
        </r>
      </text>
    </comment>
    <comment ref="J12" authorId="0" shapeId="0" xr:uid="{00000000-0006-0000-0600-00000D000000}">
      <text>
        <r>
          <rPr>
            <sz val="11"/>
            <rFont val="Calibri"/>
          </rPr>
          <t>The F5 BIG-IP appliance must be configured to limit the number of concurrent sessions to the Configuration Utility to 10 or an organization-defined number.</t>
        </r>
      </text>
    </comment>
    <comment ref="K12" authorId="0" shapeId="0" xr:uid="{00000000-0006-0000-0600-00000E000000}">
      <text>
        <r>
          <rPr>
            <sz val="11"/>
            <rFont val="Calibri"/>
          </rPr>
          <t>The F5 BIG-IP appliance providing user access control intermediary services must limit the number of concurrent sessions to one or an organization-defined number for each access profile.</t>
        </r>
      </text>
    </comment>
    <comment ref="L12" authorId="0" shapeId="0" xr:uid="{00000000-0006-0000-0600-00000F000000}">
      <text>
        <r>
          <rPr>
            <sz val="11"/>
            <rFont val="Calibri"/>
          </rPr>
          <t>The F5 BIG-IP appliance must be configured to limit authenticated client sessions to initial session source IP.</t>
        </r>
      </text>
    </comment>
    <comment ref="M12" authorId="0" shapeId="0" xr:uid="{00000000-0006-0000-0600-000010000000}">
      <text>
        <r>
          <rPr>
            <sz val="11"/>
            <rFont val="Calibri"/>
          </rPr>
          <t xml:space="preserve">The F5 BIG-IP appliance must be configured to set the </t>
        </r>
        <r>
          <rPr>
            <sz val="11"/>
            <color rgb="FF000000"/>
            <rFont val="Calibri"/>
          </rPr>
          <t>"</t>
        </r>
        <r>
          <rPr>
            <b/>
            <sz val="11"/>
            <color rgb="FF000000"/>
            <rFont val="Calibri"/>
          </rPr>
          <t>Max In Progress Sessions per Client IP</t>
        </r>
        <r>
          <rPr>
            <sz val="11"/>
            <color rgb="FF000000"/>
            <rFont val="Calibri"/>
          </rPr>
          <t>"</t>
        </r>
        <r>
          <rPr>
            <sz val="11"/>
            <color rgb="FF000000"/>
            <rFont val="Calibri"/>
          </rPr>
          <t xml:space="preserve"> value to 10 or an organizational-defined number.</t>
        </r>
      </text>
    </comment>
    <comment ref="J13" authorId="0" shapeId="0" xr:uid="{00000000-0006-0000-0600-000011000000}">
      <text>
        <r>
          <rPr>
            <sz val="11"/>
            <rFont val="Calibri"/>
          </rPr>
          <t>The F5 BIG-IP appliance must set the idle time before automatic logout to five minutes of inactivity except to fulfill documented and validated mission requirements.</t>
        </r>
      </text>
    </comment>
    <comment ref="K13" authorId="0" shapeId="0" xr:uid="{00000000-0006-0000-0600-000012000000}">
      <text>
        <r>
          <rPr>
            <sz val="11"/>
            <rFont val="Calibri"/>
          </rPr>
          <t>The F5 BIG-IP appliance must terminate all network connections associated with a communications session at the end of the session or after 15 minutes of inactivity.</t>
        </r>
      </text>
    </comment>
    <comment ref="L13" authorId="0" shapeId="0" xr:uid="{00000000-0006-0000-0600-000013000000}">
      <text>
        <r>
          <rPr>
            <sz val="11"/>
            <rFont val="Calibri"/>
          </rPr>
          <t>The F5 BIG-IP appliance must be configured to limit authenticated client sessions to initial session source IP.</t>
        </r>
      </text>
    </comment>
    <comment ref="J14" authorId="0" shapeId="0" xr:uid="{00000000-0006-0000-0600-000014000000}">
      <text>
        <r>
          <rPr>
            <sz val="11"/>
            <rFont val="Calibri"/>
          </rPr>
          <t>The F5 BIG-IP appliance providing remote access intermediary services must disable split-tunneling for remote clients</t>
        </r>
        <r>
          <rPr>
            <sz val="11"/>
            <color rgb="FF000000"/>
            <rFont val="Calibri"/>
          </rPr>
          <t>'</t>
        </r>
        <r>
          <rPr>
            <sz val="11"/>
            <color rgb="FF000000"/>
            <rFont val="Calibri"/>
          </rPr>
          <t xml:space="preserve"> VPNs.</t>
        </r>
      </text>
    </comment>
    <comment ref="K14" authorId="0" shapeId="0" xr:uid="{00000000-0006-0000-0600-000017000000}">
      <text>
        <r>
          <rPr>
            <sz val="11"/>
            <rFont val="Calibri"/>
          </rPr>
          <t>The F5 BIG-IP appliance providing remote access intermediary services must be configured to route sessions to an IDPS for inspection.</t>
        </r>
      </text>
    </comment>
    <comment ref="L14" authorId="0" shapeId="0" xr:uid="{00000000-0006-0000-0600-000018000000}">
      <text>
        <r>
          <rPr>
            <sz val="11"/>
            <rFont val="Calibri"/>
          </rPr>
          <t>The VPN Gateway must use Always On VPN connections for remote computing.</t>
        </r>
      </text>
    </comment>
    <comment ref="M14" authorId="0" shapeId="0" xr:uid="{00000000-0006-0000-0600-000019000000}">
      <text>
        <r>
          <rPr>
            <sz val="11"/>
            <rFont val="Calibri"/>
          </rPr>
          <t>The F5 BIG-IP appliance IPsec VPN must ensure inbound and outbound traffic is configured with a security policy.</t>
        </r>
      </text>
    </comment>
    <comment ref="N14" authorId="0" shapeId="0" xr:uid="{00000000-0006-0000-0600-000015000000}">
      <text>
        <r>
          <rPr>
            <sz val="11"/>
            <rFont val="Calibri"/>
          </rPr>
          <t>For accounts using password authentication, the F5 BIG-IP appliance site-to-site IPsec VPN Gateway must use SHA-2 or later protocol to protect the integrity of the password authentication process.</t>
        </r>
      </text>
    </comment>
    <comment ref="O14" authorId="0" shapeId="0" xr:uid="{00000000-0006-0000-0600-000016000000}">
      <text>
        <r>
          <rPr>
            <sz val="11"/>
            <rFont val="Calibri"/>
          </rPr>
          <t>The F5 BIG-IP appliance IPsec VPN Gateway must specify Perfect Forward Secrecy (PFS) during Internet Key Exchange (IKE) negotiation.</t>
        </r>
      </text>
    </comment>
    <comment ref="J23" authorId="0" shapeId="0" xr:uid="{00000000-0006-0000-0600-00001A000000}">
      <text>
        <r>
          <rPr>
            <sz val="11"/>
            <rFont val="Calibri"/>
          </rPr>
          <t>The F5 BIG-IP appliance must manage local audit storage capacity in accordance with organization-defined audit record storage requirements.</t>
        </r>
      </text>
    </comment>
    <comment ref="K23" authorId="0" shapeId="0" xr:uid="{00000000-0006-0000-0600-00001B000000}">
      <text>
        <r>
          <rPr>
            <sz val="11"/>
            <rFont val="Calibri"/>
          </rPr>
          <t>The F5 BIG-IP appliance must generate audit records and send records to redundant central syslog servers that are separate from the appliance.</t>
        </r>
      </text>
    </comment>
    <comment ref="L23" authorId="0" shapeId="0" xr:uid="{00000000-0006-0000-0600-00001C000000}">
      <text>
        <r>
          <rPr>
            <sz val="11"/>
            <rFont val="Calibri"/>
          </rPr>
          <t>The F5 BIG-IP appliance must record time stamps for audit records that can be mapped to Coordinated Universal Time (UTC).</t>
        </r>
      </text>
    </comment>
    <comment ref="M23" authorId="0" shapeId="0" xr:uid="{00000000-0006-0000-0600-00001D000000}">
      <text>
        <r>
          <rPr>
            <sz val="11"/>
            <rFont val="Calibri"/>
          </rPr>
          <t>The F5 BIG-IP appliance must generate traffic log entries containing information to establish the details of the event, including success or failure of the application of the firewall rule.</t>
        </r>
      </text>
    </comment>
    <comment ref="N23" authorId="0" shapeId="0" xr:uid="{00000000-0006-0000-0600-00001E000000}">
      <text>
        <r>
          <rPr>
            <sz val="11"/>
            <rFont val="Calibri"/>
          </rPr>
          <t>In the event that communication with the central audit server is lost, the F5 BIG-IP appliance must continue to queue traffic log records locally.</t>
        </r>
      </text>
    </comment>
    <comment ref="O23" authorId="0" shapeId="0" xr:uid="{00000000-0006-0000-0600-00001F000000}">
      <text>
        <r>
          <rPr>
            <sz val="11"/>
            <rFont val="Calibri"/>
          </rPr>
          <t>The F5 BIG-IP appliance must be configured to use TCP when sending log records to the central audit server.</t>
        </r>
      </text>
    </comment>
    <comment ref="J24" authorId="0" shapeId="0" xr:uid="{00000000-0006-0000-0600-000020000000}">
      <text>
        <r>
          <rPr>
            <sz val="11"/>
            <rFont val="Calibri"/>
          </rPr>
          <t>The F5 BIG-IP appliance must be configured to audit the execution of privileged functions such as accounts additions and changes.</t>
        </r>
      </text>
    </comment>
    <comment ref="K24" authorId="0" shapeId="0" xr:uid="{00000000-0006-0000-0600-000021000000}">
      <text>
        <r>
          <rPr>
            <sz val="11"/>
            <rFont val="Calibri"/>
          </rPr>
          <t>The F5 BIG-IP appliance must generate audit records and send records to redundant central syslog servers that are separate from the appliance.</t>
        </r>
      </text>
    </comment>
    <comment ref="L24" authorId="0" shapeId="0" xr:uid="{00000000-0006-0000-0600-000022000000}">
      <text>
        <r>
          <rPr>
            <sz val="11"/>
            <rFont val="Calibri"/>
          </rPr>
          <t>The F5 BIG-IP appliance must generate traffic log entries containing information to establish the details of the event, including success or failure of the application of the firewall rule.</t>
        </r>
      </text>
    </comment>
    <comment ref="M24" authorId="0" shapeId="0" xr:uid="{00000000-0006-0000-0600-000023000000}">
      <text>
        <r>
          <rPr>
            <sz val="11"/>
            <rFont val="Calibri"/>
          </rPr>
          <t>In the event that communication with the central audit server is lost, the F5 BIG-IP appliance must continue to queue traffic log records locally.</t>
        </r>
      </text>
    </comment>
    <comment ref="J26" authorId="0" shapeId="0" xr:uid="{00000000-0006-0000-0600-000024000000}">
      <text>
        <r>
          <rPr>
            <sz val="11"/>
            <rFont val="Calibri"/>
          </rPr>
          <t>The F5 BIG-IP appliance must manage local audit storage capacity in accordance with organization-defined audit record storage requirements.</t>
        </r>
      </text>
    </comment>
    <comment ref="K26" authorId="0" shapeId="0" xr:uid="{00000000-0006-0000-0600-000025000000}">
      <text>
        <r>
          <rPr>
            <sz val="11"/>
            <rFont val="Calibri"/>
          </rPr>
          <t>The F5 BIG-IP appliance must be configured to use TCP when sending log records to the central audit server.</t>
        </r>
      </text>
    </comment>
    <comment ref="J29" authorId="0" shapeId="0" xr:uid="{00000000-0006-0000-0600-000026000000}">
      <text>
        <r>
          <rPr>
            <sz val="11"/>
            <rFont val="Calibri"/>
          </rPr>
          <t>The F5 BIG-IP appliance must record time stamps for audit records that can be mapped to Coordinated Universal Time (UTC).</t>
        </r>
      </text>
    </comment>
    <comment ref="K29" authorId="0" shapeId="0" xr:uid="{00000000-0006-0000-0600-000027000000}">
      <text>
        <r>
          <rPr>
            <sz val="11"/>
            <rFont val="Calibri"/>
          </rPr>
          <t>The F5 BIG-IP appliance must authenticate Network Time Protocol (NTP) sources using authentication that is cryptographically based.</t>
        </r>
      </text>
    </comment>
    <comment ref="J35" authorId="0" shapeId="0" xr:uid="{00000000-0006-0000-0600-000028000000}">
      <text>
        <r>
          <rPr>
            <sz val="11"/>
            <rFont val="Calibri"/>
          </rPr>
          <t>The F5 BIG-IP appliance must be configured to prevent the installation of patches, service packs, or application components without verification the software component has been digitally signed using a certificate that is recognized and approved by the organization.</t>
        </r>
      </text>
    </comment>
    <comment ref="J36" authorId="0" shapeId="0" xr:uid="{00000000-0006-0000-0600-000029000000}">
      <text>
        <r>
          <rPr>
            <sz val="11"/>
            <rFont val="Calibri"/>
          </rPr>
          <t>The F5 BIG-IP appliance must be configured to prevent the installation of patches, service packs, or application components without verification the software component has been digitally signed using a certificate that is recognized and approved by the organization.</t>
        </r>
      </text>
    </comment>
    <comment ref="J37" authorId="0" shapeId="0" xr:uid="{00000000-0006-0000-0600-00002A000000}">
      <text>
        <r>
          <rPr>
            <sz val="11"/>
            <rFont val="Calibri"/>
          </rPr>
          <t>The F5 BIG-IP DNS implementation must prohibit recursion on authoritative name servers.</t>
        </r>
      </text>
    </comment>
    <comment ref="K37" authorId="0" shapeId="0" xr:uid="{00000000-0006-0000-0600-00002B000000}">
      <text>
        <r>
          <rPr>
            <sz val="11"/>
            <rFont val="Calibri"/>
          </rPr>
          <t>The F5 BIG-IP appliance must be configured to prohibit the use of all unnecessary and/or nonsecure functions, ports, protocols, and/or services.</t>
        </r>
      </text>
    </comment>
    <comment ref="L37" authorId="0" shapeId="0" xr:uid="{00000000-0006-0000-0600-00002C000000}">
      <text>
        <r>
          <rPr>
            <sz val="11"/>
            <rFont val="Calibri"/>
          </rPr>
          <t>The F5 BIG-IP appliance must be configured to prohibit or restrict the use of unnecessary or prohibited functions, ports, protocols, and/or services, including those defined in the PPSM CAL and vulnerability assessments.</t>
        </r>
      </text>
    </comment>
    <comment ref="J38" authorId="0" shapeId="0" xr:uid="{00000000-0006-0000-0600-00002D000000}">
      <text>
        <r>
          <rPr>
            <sz val="11"/>
            <rFont val="Calibri"/>
          </rPr>
          <t>The F5 BIG-IP appliance must be configured to prohibit the use of all unnecessary and/or nonsecure functions, ports, protocols, and/or services.</t>
        </r>
      </text>
    </comment>
    <comment ref="K38" authorId="0" shapeId="0" xr:uid="{00000000-0006-0000-0600-00002E000000}">
      <text>
        <r>
          <rPr>
            <sz val="11"/>
            <rFont val="Calibri"/>
          </rPr>
          <t>The F5 BIG-IP appliance must be configured to prohibit or restrict the use of unnecessary or prohibited functions, ports, protocols, and/or services, including those defined in the PPSM CAL and vulnerability assessments.</t>
        </r>
      </text>
    </comment>
    <comment ref="J43" authorId="0" shapeId="0" xr:uid="{00000000-0006-0000-0600-00002F000000}">
      <text>
        <r>
          <rPr>
            <sz val="11"/>
            <rFont val="Calibri"/>
          </rPr>
          <t>The F5 BIG-IP appliance must terminate shared/group account credentials when members leave the group.</t>
        </r>
      </text>
    </comment>
    <comment ref="K43" authorId="0" shapeId="0" xr:uid="{00000000-0006-0000-0600-000030000000}">
      <text>
        <r>
          <rPr>
            <sz val="11"/>
            <rFont val="Calibri"/>
          </rPr>
          <t>The F5 BIG-IP appliance must be configured with only one local account to be used as the account of last resort in the event the authentication server is unavailable.</t>
        </r>
      </text>
    </comment>
    <comment ref="J45" authorId="0" shapeId="0" xr:uid="{00000000-0006-0000-0600-000031000000}">
      <text>
        <r>
          <rPr>
            <sz val="11"/>
            <rFont val="Calibri"/>
          </rPr>
          <t>The F5 BIG-IP appliance must be configured to use multifactor authentication (MFA) for interactive logins.</t>
        </r>
      </text>
    </comment>
    <comment ref="K45" authorId="0" shapeId="0" xr:uid="{00000000-0006-0000-0600-000032000000}">
      <text>
        <r>
          <rPr>
            <sz val="11"/>
            <rFont val="Calibri"/>
          </rPr>
          <t>The F5 BIG-IP appliance providing user authentication intermediary services must uniquely identify and authenticate users using redundant authentication servers and multifactor authentication (MFA).</t>
        </r>
      </text>
    </comment>
    <comment ref="J46" authorId="0" shapeId="0" xr:uid="{00000000-0006-0000-0600-000033000000}">
      <text>
        <r>
          <rPr>
            <sz val="11"/>
            <rFont val="Calibri"/>
          </rPr>
          <t>The F5 BIG-IP appliance must be configured to use multifactor authentication (MFA) for interactive logins.</t>
        </r>
      </text>
    </comment>
    <comment ref="K46" authorId="0" shapeId="0" xr:uid="{00000000-0006-0000-0600-000034000000}">
      <text>
        <r>
          <rPr>
            <sz val="11"/>
            <rFont val="Calibri"/>
          </rPr>
          <t>The F5 BIG-IP appliance providing user authentication intermediary services must uniquely identify and authenticate users using redundant authentication servers and multifactor authentication (MFA).</t>
        </r>
      </text>
    </comment>
    <comment ref="J47" authorId="0" shapeId="0" xr:uid="{00000000-0006-0000-0600-000035000000}">
      <text>
        <r>
          <rPr>
            <sz val="11"/>
            <rFont val="Calibri"/>
          </rPr>
          <t>The F5 BIG-IP appliance must be configured to enforce the limit of three consecutive invalid logon attempts, after which time it must block any login attempt for at least 15 minutes.</t>
        </r>
      </text>
    </comment>
    <comment ref="J48" authorId="0" shapeId="0" xr:uid="{00000000-0006-0000-0600-000036000000}">
      <text>
        <r>
          <rPr>
            <sz val="11"/>
            <rFont val="Calibri"/>
          </rPr>
          <t>The F5 BIG-IP appliance must enforce a minimum 15-character password length.</t>
        </r>
      </text>
    </comment>
    <comment ref="K48" authorId="0" shapeId="0" xr:uid="{00000000-0006-0000-0600-000038000000}">
      <text>
        <r>
          <rPr>
            <sz val="11"/>
            <rFont val="Calibri"/>
          </rPr>
          <t>The F5 BIG-IP appliance must enforce password complexity by requiring that at least one uppercase character be used.</t>
        </r>
      </text>
    </comment>
    <comment ref="L48" authorId="0" shapeId="0" xr:uid="{00000000-0006-0000-0600-000039000000}">
      <text>
        <r>
          <rPr>
            <sz val="11"/>
            <rFont val="Calibri"/>
          </rPr>
          <t>The F5 BIG-IP appliance must enforce password complexity by requiring that at least one lowercase character be used.</t>
        </r>
      </text>
    </comment>
    <comment ref="M48" authorId="0" shapeId="0" xr:uid="{00000000-0006-0000-0600-00003A000000}">
      <text>
        <r>
          <rPr>
            <sz val="11"/>
            <rFont val="Calibri"/>
          </rPr>
          <t>The F5 BIG-IP appliance must enforce password complexity by requiring that at least one numeric character be used.</t>
        </r>
      </text>
    </comment>
    <comment ref="N48" authorId="0" shapeId="0" xr:uid="{00000000-0006-0000-0600-00003B000000}">
      <text>
        <r>
          <rPr>
            <sz val="11"/>
            <rFont val="Calibri"/>
          </rPr>
          <t>The F5 BIG-IP appliance must enforce password complexity by requiring that at least one special character be used.</t>
        </r>
      </text>
    </comment>
    <comment ref="O48" authorId="0" shapeId="0" xr:uid="{00000000-0006-0000-0600-00003C000000}">
      <text>
        <r>
          <rPr>
            <sz val="11"/>
            <rFont val="Calibri"/>
          </rPr>
          <t>The F5 BIG-IP appliance must require that when a password is changed, the characters are changed in at least eight of the positions within the password.</t>
        </r>
      </text>
    </comment>
    <comment ref="P48" authorId="0" shapeId="0" xr:uid="{00000000-0006-0000-0600-000037000000}">
      <text>
        <r>
          <rPr>
            <sz val="11"/>
            <rFont val="Calibri"/>
          </rPr>
          <t>The F5 BIG-IP appliance must prohibit the use of cached authenticators after eight hours or less.</t>
        </r>
      </text>
    </comment>
    <comment ref="J50" authorId="0" shapeId="0" xr:uid="{00000000-0006-0000-0600-00003D000000}">
      <text>
        <r>
          <rPr>
            <sz val="11"/>
            <rFont val="Calibri"/>
          </rPr>
          <t>The F5 BIG-IP appliance must enforce a minimum 15-character password length.</t>
        </r>
      </text>
    </comment>
    <comment ref="K50" authorId="0" shapeId="0" xr:uid="{00000000-0006-0000-0600-00003E000000}">
      <text>
        <r>
          <rPr>
            <sz val="11"/>
            <rFont val="Calibri"/>
          </rPr>
          <t>The F5 BIG-IP appliance must enforce password complexity by requiring that at least one uppercase character be used.</t>
        </r>
      </text>
    </comment>
    <comment ref="L50" authorId="0" shapeId="0" xr:uid="{00000000-0006-0000-0600-00003F000000}">
      <text>
        <r>
          <rPr>
            <sz val="11"/>
            <rFont val="Calibri"/>
          </rPr>
          <t>The F5 BIG-IP appliance must enforce password complexity by requiring that at least one lowercase character be used.</t>
        </r>
      </text>
    </comment>
    <comment ref="M50" authorId="0" shapeId="0" xr:uid="{00000000-0006-0000-0600-000040000000}">
      <text>
        <r>
          <rPr>
            <sz val="11"/>
            <rFont val="Calibri"/>
          </rPr>
          <t>The F5 BIG-IP appliance must enforce password complexity by requiring that at least one numeric character be used.</t>
        </r>
      </text>
    </comment>
    <comment ref="N50" authorId="0" shapeId="0" xr:uid="{00000000-0006-0000-0600-000041000000}">
      <text>
        <r>
          <rPr>
            <sz val="11"/>
            <rFont val="Calibri"/>
          </rPr>
          <t>The F5 BIG-IP appliance must enforce password complexity by requiring that at least one special character be used.</t>
        </r>
      </text>
    </comment>
    <comment ref="O50" authorId="0" shapeId="0" xr:uid="{00000000-0006-0000-0600-000042000000}">
      <text>
        <r>
          <rPr>
            <sz val="11"/>
            <rFont val="Calibri"/>
          </rPr>
          <t>The F5 BIG-IP appliance must require that when a password is changed, the characters are changed in at least eight of the positions within the password.</t>
        </r>
      </text>
    </comment>
    <comment ref="J68" authorId="0" shapeId="0" xr:uid="{00000000-0006-0000-0600-000043000000}">
      <text>
        <r>
          <rPr>
            <sz val="11"/>
            <rFont val="Calibri"/>
          </rPr>
          <t>The F5 BIG-IP appliance must conduct backups of the configuration at a weekly or organization-defined frequency and store on a separate device.</t>
        </r>
      </text>
    </comment>
    <comment ref="J70" authorId="0" shapeId="0" xr:uid="{00000000-0006-0000-0600-000044000000}">
      <text>
        <r>
          <rPr>
            <sz val="11"/>
            <rFont val="Calibri"/>
          </rPr>
          <t>The F5 BIG-IP appliance must be configured to display the Standard Mandatory DOD Notice and Consent Banner upon access to the TMOS User Interface.</t>
        </r>
      </text>
    </comment>
    <comment ref="K70" authorId="0" shapeId="0" xr:uid="{00000000-0006-0000-0600-000045000000}">
      <text>
        <r>
          <rPr>
            <sz val="11"/>
            <rFont val="Calibri"/>
          </rPr>
          <t>The F5 BIG-IP appliance must be configured to display the Standard Mandatory DOD Notice and Consent Banner when accessing via SSH.</t>
        </r>
      </text>
    </comment>
    <comment ref="L70" authorId="0" shapeId="0" xr:uid="{00000000-0006-0000-0600-000046000000}">
      <text>
        <r>
          <rPr>
            <sz val="11"/>
            <rFont val="Calibri"/>
          </rPr>
          <t>The F5 BIG-IP appliance providing user access control intermediary services must display the Standard Mandatory DOD-approved Notice and Consent Banner before granting access to the network.</t>
        </r>
      </text>
    </comment>
    <comment ref="J88" authorId="0" shapeId="0" xr:uid="{00000000-0006-0000-0600-000047000000}">
      <text>
        <r>
          <rPr>
            <sz val="11"/>
            <rFont val="Calibri"/>
          </rPr>
          <t>Primary authoritative name servers must be configured to only receive zone transfer requests from specified secondary name servers.</t>
        </r>
      </text>
    </comment>
    <comment ref="K88" authorId="0" shapeId="0" xr:uid="{00000000-0006-0000-0600-000052000000}">
      <text>
        <r>
          <rPr>
            <sz val="11"/>
            <rFont val="Calibri"/>
          </rPr>
          <t>The F5 BIG-IP DNS server implementation must validate the binding of the other DNS server</t>
        </r>
        <r>
          <rPr>
            <sz val="11"/>
            <color rgb="FF000000"/>
            <rFont val="Calibri"/>
          </rPr>
          <t>'</t>
        </r>
        <r>
          <rPr>
            <sz val="11"/>
            <color rgb="FF000000"/>
            <rFont val="Calibri"/>
          </rPr>
          <t>s identity to the DNS information for a server-to-server transaction (e.g., zone transfer).</t>
        </r>
      </text>
    </comment>
    <comment ref="L88" authorId="0" shapeId="0" xr:uid="{00000000-0006-0000-0600-000053000000}">
      <text>
        <r>
          <rPr>
            <sz val="11"/>
            <rFont val="Calibri"/>
          </rPr>
          <t>The F5 BIG-IP DNS implementation must protect the authenticity of communications sessions for zone transfers.</t>
        </r>
      </text>
    </comment>
    <comment ref="M88" authorId="0" shapeId="0" xr:uid="{00000000-0006-0000-0600-000054000000}">
      <text>
        <r>
          <rPr>
            <sz val="11"/>
            <rFont val="Calibri"/>
          </rPr>
          <t>The F5 BIG-IP appliance must be configured to restrict a consistent inbound IP for the entire management session.</t>
        </r>
      </text>
    </comment>
    <comment ref="N88" authorId="0" shapeId="0" xr:uid="{00000000-0006-0000-0600-000055000000}">
      <text>
        <r>
          <rPr>
            <sz val="11"/>
            <rFont val="Calibri"/>
          </rPr>
          <t>The F5 BIG-IP appliance providing intermediary services for remote access communications traffic must ensure inbound and outbound traffic is monitored for compliance with remote access security policies.</t>
        </r>
      </text>
    </comment>
    <comment ref="O88" authorId="0" shapeId="0" xr:uid="{00000000-0006-0000-0600-000056000000}">
      <text>
        <r>
          <rPr>
            <sz val="11"/>
            <rFont val="Calibri"/>
          </rPr>
          <t>To protect against data mining, the F5 BIG-IP appliance providing content filtering must prevent code injection attacks from being launched against data storage objects, including, at a minimum, databases, database records, queries, and fields.</t>
        </r>
      </text>
    </comment>
    <comment ref="P88" authorId="0" shapeId="0" xr:uid="{00000000-0006-0000-0600-000057000000}">
      <text>
        <r>
          <rPr>
            <sz val="11"/>
            <rFont val="Calibri"/>
          </rPr>
          <t>To protect against data mining, the F5 BIG-IP appliance providing content filtering must prevent code injection attacks launched against application objects including, at a minimum, application URLs and application code.</t>
        </r>
      </text>
    </comment>
    <comment ref="Q88" authorId="0" shapeId="0" xr:uid="{00000000-0006-0000-0600-000048000000}">
      <text>
        <r>
          <rPr>
            <sz val="11"/>
            <rFont val="Calibri"/>
          </rPr>
          <t>To protect against data mining, the F5 BIG-IP appliance providing content filtering must prevent SQL injection attacks launched against data storage objects, including, at a minimum, databases, database records, and database fields.</t>
        </r>
      </text>
    </comment>
    <comment ref="R88" authorId="0" shapeId="0" xr:uid="{00000000-0006-0000-0600-000049000000}">
      <text>
        <r>
          <rPr>
            <sz val="11"/>
            <rFont val="Calibri"/>
          </rPr>
          <t>The F5 BIG-IP appliance that provides intermediary services for SMTP must inspect inbound and outbound SMTP and Extended SMTP communications traffic for protocol compliance and protocol anomalies.</t>
        </r>
      </text>
    </comment>
    <comment ref="S88" authorId="0" shapeId="0" xr:uid="{00000000-0006-0000-0600-00004A000000}">
      <text>
        <r>
          <rPr>
            <sz val="11"/>
            <rFont val="Calibri"/>
          </rPr>
          <t>The F5 BIG-IP appliance that intermediary services for FTP must inspect inbound and outbound FTP communications traffic for protocol compliance and protocol anomalies.</t>
        </r>
      </text>
    </comment>
    <comment ref="T88" authorId="0" shapeId="0" xr:uid="{00000000-0006-0000-0600-00004B000000}">
      <text>
        <r>
          <rPr>
            <sz val="11"/>
            <rFont val="Calibri"/>
          </rPr>
          <t>The F5 BIG-IP appliance that provides intermediary services for HTTP must inspect inbound and outbound HTTP traffic for protocol compliance and protocol anomalies.</t>
        </r>
      </text>
    </comment>
    <comment ref="U88" authorId="0" shapeId="0" xr:uid="{00000000-0006-0000-0600-00004C000000}">
      <text>
        <r>
          <rPr>
            <sz val="11"/>
            <rFont val="Calibri"/>
          </rPr>
          <t>The F5 BIG-IP appliance must be configured to restrict a consistent inbound IP for the entire management session.</t>
        </r>
      </text>
    </comment>
    <comment ref="V88" authorId="0" shapeId="0" xr:uid="{00000000-0006-0000-0600-00004D000000}">
      <text>
        <r>
          <rPr>
            <sz val="11"/>
            <rFont val="Calibri"/>
          </rPr>
          <t>The F5 BIG-IP appliance that filters traffic from the VPN access points must be configured with organization-defined filtering rules that apply to the monitoring of remote access traffic.</t>
        </r>
      </text>
    </comment>
    <comment ref="W88" authorId="0" shapeId="0" xr:uid="{00000000-0006-0000-0600-00004E000000}">
      <text>
        <r>
          <rPr>
            <sz val="11"/>
            <rFont val="Calibri"/>
          </rPr>
          <t>The F5 BIG-IP appliance must be configured to use filters that use packet headers and packet attributes, including source and destination IP addresses and ports, to prevent the flow of unauthorized or suspicious traffic between interconnected networks with different security policies, including perimeter firewalls and server VLANs.</t>
        </r>
      </text>
    </comment>
    <comment ref="X88" authorId="0" shapeId="0" xr:uid="{00000000-0006-0000-0600-00004F000000}">
      <text>
        <r>
          <rPr>
            <sz val="11"/>
            <rFont val="Calibri"/>
          </rPr>
          <t>The F5 BIG-IP appliance must be configured to inspect all inbound and outbound traffic at the application layer.</t>
        </r>
      </text>
    </comment>
    <comment ref="Y88" authorId="0" shapeId="0" xr:uid="{00000000-0006-0000-0600-000050000000}">
      <text>
        <r>
          <rPr>
            <sz val="11"/>
            <rFont val="Calibri"/>
          </rPr>
          <t>The F5 BIG-IP appliance must be configured to block all outbound management traffic.</t>
        </r>
      </text>
    </comment>
    <comment ref="Z88" authorId="0" shapeId="0" xr:uid="{00000000-0006-0000-0600-000051000000}">
      <text>
        <r>
          <rPr>
            <sz val="11"/>
            <rFont val="Calibri"/>
          </rPr>
          <t>The BIG-IP appliance perimeter firewall must be configured to filter traffic destined to the enclave in accordance with the specific traffic that is approved and registered in the Ports, Protocols, and Services Management (PPSM) Category Assurance List (CAL) and vulnerability assessments.</t>
        </r>
      </text>
    </comment>
    <comment ref="J91" authorId="0" shapeId="0" xr:uid="{00000000-0006-0000-0600-000058000000}">
      <text>
        <r>
          <rPr>
            <sz val="11"/>
            <rFont val="Calibri"/>
          </rPr>
          <t>The validity period for the RRSIGs covering a zone</t>
        </r>
        <r>
          <rPr>
            <sz val="11"/>
            <color rgb="FF000000"/>
            <rFont val="Calibri"/>
          </rPr>
          <t>'</t>
        </r>
        <r>
          <rPr>
            <sz val="11"/>
            <color rgb="FF000000"/>
            <rFont val="Calibri"/>
          </rPr>
          <t>s DNSKEY RRSet must be no less than two days and no more than one week.</t>
        </r>
      </text>
    </comment>
    <comment ref="K91" authorId="0" shapeId="0" xr:uid="{00000000-0006-0000-0600-00005D000000}">
      <text>
        <r>
          <rPr>
            <sz val="11"/>
            <rFont val="Calibri"/>
          </rPr>
          <t>An authoritative name server must be configured to enable DNSSEC Resource Records.</t>
        </r>
      </text>
    </comment>
    <comment ref="L91" authorId="0" shapeId="0" xr:uid="{00000000-0006-0000-0600-00005E000000}">
      <text>
        <r>
          <rPr>
            <sz val="11"/>
            <rFont val="Calibri"/>
          </rPr>
          <t>The F5 BIG-IP DNS must use valid root name servers in the local root zone file.</t>
        </r>
      </text>
    </comment>
    <comment ref="M91" authorId="0" shapeId="0" xr:uid="{00000000-0006-0000-0600-00005F000000}">
      <text>
        <r>
          <rPr>
            <sz val="11"/>
            <rFont val="Calibri"/>
          </rPr>
          <t>The platform on which the name server software is hosted must be configured to respond to DNS traffic only.</t>
        </r>
      </text>
    </comment>
    <comment ref="N91" authorId="0" shapeId="0" xr:uid="{00000000-0006-0000-0600-000060000000}">
      <text>
        <r>
          <rPr>
            <sz val="11"/>
            <rFont val="Calibri"/>
          </rPr>
          <t>The digital signature algorithm used for DNSSEC-enabled zones must be set to use RSA/SHA256 or RSA/SHA512.</t>
        </r>
      </text>
    </comment>
    <comment ref="O91" authorId="0" shapeId="0" xr:uid="{00000000-0006-0000-0600-000061000000}">
      <text>
        <r>
          <rPr>
            <sz val="11"/>
            <rFont val="Calibri"/>
          </rPr>
          <t>A BIG-IP DNS server implementation must provide additional data origin artifacts along with the authoritative data the system returns in response to external name/address resolution queries.</t>
        </r>
      </text>
    </comment>
    <comment ref="P91" authorId="0" shapeId="0" xr:uid="{00000000-0006-0000-0600-000062000000}">
      <text>
        <r>
          <rPr>
            <sz val="11"/>
            <rFont val="Calibri"/>
          </rPr>
          <t>The validity period for the RRSIGs covering the DS RR for a zones delegated children must be no less than two days and no more than one week.</t>
        </r>
      </text>
    </comment>
    <comment ref="Q91" authorId="0" shapeId="0" xr:uid="{00000000-0006-0000-0600-000063000000}">
      <text>
        <r>
          <rPr>
            <sz val="11"/>
            <rFont val="Calibri"/>
          </rPr>
          <t>The F5 BIG-IP appliance providing intermediary services for remote access must use FIPS-validated cryptographic algorithms, including TLS 1.2 at a minimum.</t>
        </r>
      </text>
    </comment>
    <comment ref="R91" authorId="0" shapeId="0" xr:uid="{00000000-0006-0000-0600-000064000000}">
      <text>
        <r>
          <rPr>
            <sz val="11"/>
            <rFont val="Calibri"/>
          </rPr>
          <t>The F5 BIG-IP appliance must be configured to use cryptographic algorithms approved by NSA to protect NSS for remote access to a classified network.</t>
        </r>
      </text>
    </comment>
    <comment ref="S91" authorId="0" shapeId="0" xr:uid="{00000000-0006-0000-0600-000065000000}">
      <text>
        <r>
          <rPr>
            <sz val="11"/>
            <rFont val="Calibri"/>
          </rPr>
          <t>The F5 BIG-IP appliance providing remote access intermediary services must disable split-tunneling for remote clients</t>
        </r>
        <r>
          <rPr>
            <sz val="11"/>
            <color rgb="FF000000"/>
            <rFont val="Calibri"/>
          </rPr>
          <t>'</t>
        </r>
        <r>
          <rPr>
            <sz val="11"/>
            <color rgb="FF000000"/>
            <rFont val="Calibri"/>
          </rPr>
          <t xml:space="preserve"> VPNs.</t>
        </r>
      </text>
    </comment>
    <comment ref="T91" authorId="0" shapeId="0" xr:uid="{00000000-0006-0000-0600-000066000000}">
      <text>
        <r>
          <rPr>
            <sz val="11"/>
            <rFont val="Calibri"/>
          </rPr>
          <t>The F5 BIG-IP appliance providing remote access intermediary services must be configured to route sessions to an IDPS for inspection.</t>
        </r>
      </text>
    </comment>
    <comment ref="U91" authorId="0" shapeId="0" xr:uid="{00000000-0006-0000-0600-000067000000}">
      <text>
        <r>
          <rPr>
            <sz val="11"/>
            <rFont val="Calibri"/>
          </rPr>
          <t>The VPN Gateway must use Always On VPN connections for remote computing.</t>
        </r>
      </text>
    </comment>
    <comment ref="V91" authorId="0" shapeId="0" xr:uid="{00000000-0006-0000-0600-000068000000}">
      <text>
        <r>
          <rPr>
            <sz val="11"/>
            <rFont val="Calibri"/>
          </rPr>
          <t>The F5 BIG-IP appliance IPsec VPN must use AES256 or greater encryption for the IPsec proposal.</t>
        </r>
      </text>
    </comment>
    <comment ref="W91" authorId="0" shapeId="0" xr:uid="{00000000-0006-0000-0600-000069000000}">
      <text>
        <r>
          <rPr>
            <sz val="11"/>
            <rFont val="Calibri"/>
          </rPr>
          <t>The F5 BIG-IP appliance IPsec VPN must ensure inbound and outbound traffic is configured with a security policy.</t>
        </r>
      </text>
    </comment>
    <comment ref="X91" authorId="0" shapeId="0" xr:uid="{00000000-0006-0000-0600-00006A000000}">
      <text>
        <r>
          <rPr>
            <sz val="11"/>
            <rFont val="Calibri"/>
          </rPr>
          <t>The F5 BIG-IP appliance IPsec VPN Gateway must use Internet Key Exchange (IKE) for IPsec VPN Security Associations (SAs).</t>
        </r>
      </text>
    </comment>
    <comment ref="Y91" authorId="0" shapeId="0" xr:uid="{00000000-0006-0000-0600-00006B000000}">
      <text>
        <r>
          <rPr>
            <sz val="11"/>
            <rFont val="Calibri"/>
          </rPr>
          <t>The IPsec BIG-IP appliance must use IKEv2 for IPsec VPN security associations.</t>
        </r>
      </text>
    </comment>
    <comment ref="Z91" authorId="0" shapeId="0" xr:uid="{00000000-0006-0000-0600-00006C000000}">
      <text>
        <r>
          <rPr>
            <sz val="11"/>
            <rFont val="Calibri"/>
          </rPr>
          <t>The F5 BIG-IP appliance IPsec VPN Gateway must renegotiate the IPsec Phase 1 security association after eight hours or less.</t>
        </r>
      </text>
    </comment>
    <comment ref="AA91" authorId="0" shapeId="0" xr:uid="{00000000-0006-0000-0600-000059000000}">
      <text>
        <r>
          <rPr>
            <sz val="11"/>
            <rFont val="Calibri"/>
          </rPr>
          <t>The F5 BIG-IP appliance IPsec VPN must renegotiate the IKE Phase 2 security association after eight hours or less.</t>
        </r>
      </text>
    </comment>
    <comment ref="AB91" authorId="0" shapeId="0" xr:uid="{00000000-0006-0000-0600-00005A000000}">
      <text>
        <r>
          <rPr>
            <sz val="11"/>
            <rFont val="Calibri"/>
          </rPr>
          <t>For accounts using password authentication, the F5 BIG-IP appliance site-to-site IPsec VPN Gateway must use SHA-2 or later protocol to protect the integrity of the password authentication process.</t>
        </r>
      </text>
    </comment>
    <comment ref="AC91" authorId="0" shapeId="0" xr:uid="{00000000-0006-0000-0600-00005B000000}">
      <text>
        <r>
          <rPr>
            <sz val="11"/>
            <rFont val="Calibri"/>
          </rPr>
          <t>The F5 BIG-IP appliance IPsec VPN must use cryptographic algorithms approved by NSA to protect NSS when transporting classified traffic across an unclassified network.</t>
        </r>
      </text>
    </comment>
    <comment ref="AD91" authorId="0" shapeId="0" xr:uid="{00000000-0006-0000-0600-00005C000000}">
      <text>
        <r>
          <rPr>
            <sz val="11"/>
            <rFont val="Calibri"/>
          </rPr>
          <t>The F5 BIG-IP appliance IPsec VPN Gateway must specify Perfect Forward Secrecy (PFS) during Internet Key Exchange (IKE) negotiation.</t>
        </r>
      </text>
    </comment>
    <comment ref="J93" authorId="0" shapeId="0" xr:uid="{00000000-0006-0000-0600-00006D000000}">
      <text>
        <r>
          <rPr>
            <sz val="11"/>
            <rFont val="Calibri"/>
          </rPr>
          <t>The validity period for the RRSIGs covering a zone</t>
        </r>
        <r>
          <rPr>
            <sz val="11"/>
            <color rgb="FF000000"/>
            <rFont val="Calibri"/>
          </rPr>
          <t>'</t>
        </r>
        <r>
          <rPr>
            <sz val="11"/>
            <color rgb="FF000000"/>
            <rFont val="Calibri"/>
          </rPr>
          <t>s DNSKEY RRSet must be no less than two days and no more than one week.</t>
        </r>
      </text>
    </comment>
    <comment ref="K93" authorId="0" shapeId="0" xr:uid="{00000000-0006-0000-0600-000073000000}">
      <text>
        <r>
          <rPr>
            <sz val="11"/>
            <rFont val="Calibri"/>
          </rPr>
          <t>An authoritative name server must be configured to enable DNSSEC Resource Records.</t>
        </r>
      </text>
    </comment>
    <comment ref="L93" authorId="0" shapeId="0" xr:uid="{00000000-0006-0000-0600-000074000000}">
      <text>
        <r>
          <rPr>
            <sz val="11"/>
            <rFont val="Calibri"/>
          </rPr>
          <t>The F5 BIG-IP DNS must use valid root name servers in the local root zone file.</t>
        </r>
      </text>
    </comment>
    <comment ref="M93" authorId="0" shapeId="0" xr:uid="{00000000-0006-0000-0600-000075000000}">
      <text>
        <r>
          <rPr>
            <sz val="11"/>
            <rFont val="Calibri"/>
          </rPr>
          <t>The platform on which the name server software is hosted must be configured to respond to DNS traffic only.</t>
        </r>
      </text>
    </comment>
    <comment ref="N93" authorId="0" shapeId="0" xr:uid="{00000000-0006-0000-0600-000076000000}">
      <text>
        <r>
          <rPr>
            <sz val="11"/>
            <rFont val="Calibri"/>
          </rPr>
          <t>The digital signature algorithm used for DNSSEC-enabled zones must be set to use RSA/SHA256 or RSA/SHA512.</t>
        </r>
      </text>
    </comment>
    <comment ref="O93" authorId="0" shapeId="0" xr:uid="{00000000-0006-0000-0600-000077000000}">
      <text>
        <r>
          <rPr>
            <sz val="11"/>
            <rFont val="Calibri"/>
          </rPr>
          <t>A BIG-IP DNS server implementation must provide additional data origin artifacts along with the authoritative data the system returns in response to external name/address resolution queries.</t>
        </r>
      </text>
    </comment>
    <comment ref="P93" authorId="0" shapeId="0" xr:uid="{00000000-0006-0000-0600-000078000000}">
      <text>
        <r>
          <rPr>
            <sz val="11"/>
            <rFont val="Calibri"/>
          </rPr>
          <t>The validity period for the RRSIGs covering the DS RR for a zones delegated children must be no less than two days and no more than one week.</t>
        </r>
      </text>
    </comment>
    <comment ref="Q93" authorId="0" shapeId="0" xr:uid="{00000000-0006-0000-0600-000079000000}">
      <text>
        <r>
          <rPr>
            <sz val="11"/>
            <rFont val="Calibri"/>
          </rPr>
          <t>The F5 BIG-IP appliance must obtain its public key certificates from an appropriate certificate policy through an approved service provider.</t>
        </r>
      </text>
    </comment>
    <comment ref="R93" authorId="0" shapeId="0" xr:uid="{00000000-0006-0000-0600-00007A000000}">
      <text>
        <r>
          <rPr>
            <sz val="11"/>
            <rFont val="Calibri"/>
          </rPr>
          <t>The F5 BIG-IP appliance must be configured to use DOD approved OCSP responders or CRLs to validate certificates used for PKI-based authentication.</t>
        </r>
      </text>
    </comment>
    <comment ref="S93" authorId="0" shapeId="0" xr:uid="{00000000-0006-0000-0600-00007B000000}">
      <text>
        <r>
          <rPr>
            <sz val="11"/>
            <rFont val="Calibri"/>
          </rPr>
          <t>The F5 BIG-IP appliance providing intermediary services for remote access must use FIPS-validated cryptographic algorithms, including TLS 1.2 at a minimum.</t>
        </r>
      </text>
    </comment>
    <comment ref="T93" authorId="0" shapeId="0" xr:uid="{00000000-0006-0000-0600-00007C000000}">
      <text>
        <r>
          <rPr>
            <sz val="11"/>
            <rFont val="Calibri"/>
          </rPr>
          <t>The F5 BIG-IP appliance must configure certification path validation to ensure revoked machine credentials are prohibited from establishing an allowed session.</t>
        </r>
      </text>
    </comment>
    <comment ref="U93" authorId="0" shapeId="0" xr:uid="{00000000-0006-0000-0600-00007D000000}">
      <text>
        <r>
          <rPr>
            <sz val="11"/>
            <rFont val="Calibri"/>
          </rPr>
          <t>The F5 BIG-IP appliance providing user authentication intermediary services using PKI-based user authentication must implement a local cache of revocation data to support path discovery and validation in case of the inability to access revocation information via the network.</t>
        </r>
      </text>
    </comment>
    <comment ref="V93" authorId="0" shapeId="0" xr:uid="{00000000-0006-0000-0600-00007E000000}">
      <text>
        <r>
          <rPr>
            <sz val="11"/>
            <rFont val="Calibri"/>
          </rPr>
          <t>The F5 BIG-IP appliance must configure certificate path validation to ensure revoked user credentials are prohibited from establishing an allowed session.</t>
        </r>
      </text>
    </comment>
    <comment ref="W93" authorId="0" shapeId="0" xr:uid="{00000000-0006-0000-0600-00007F000000}">
      <text>
        <r>
          <rPr>
            <sz val="11"/>
            <rFont val="Calibri"/>
          </rPr>
          <t>The F5 BIG-IP appliance must be configured to use cryptographic algorithms approved by NSA to protect NSS for remote access to a classified network.</t>
        </r>
      </text>
    </comment>
    <comment ref="X93" authorId="0" shapeId="0" xr:uid="{00000000-0006-0000-0600-000080000000}">
      <text>
        <r>
          <rPr>
            <sz val="11"/>
            <rFont val="Calibri"/>
          </rPr>
          <t>The F5 BIG-IP appliance must be configured to use a Diffie-Hellman (DH) Group of 16 or greater for Internet Key Exchange (IKE) Phase 1.</t>
        </r>
      </text>
    </comment>
    <comment ref="Y93" authorId="0" shapeId="0" xr:uid="{00000000-0006-0000-0600-000081000000}">
      <text>
        <r>
          <rPr>
            <sz val="11"/>
            <rFont val="Calibri"/>
          </rPr>
          <t>The F5 BIG-IP appliance IPsec VPN Gateway must use AES256 or higher encryption for the Internet Key Exchange (IKE) proposal to protect confidentiality of remote access sessions.</t>
        </r>
      </text>
    </comment>
    <comment ref="Z93" authorId="0" shapeId="0" xr:uid="{00000000-0006-0000-0600-000082000000}">
      <text>
        <r>
          <rPr>
            <sz val="11"/>
            <rFont val="Calibri"/>
          </rPr>
          <t>The F5 BIG-IP appliance IPsec VPN must use AES256 or greater encryption for the IPsec proposal.</t>
        </r>
      </text>
    </comment>
    <comment ref="AA93" authorId="0" shapeId="0" xr:uid="{00000000-0006-0000-0600-000083000000}">
      <text>
        <r>
          <rPr>
            <sz val="11"/>
            <rFont val="Calibri"/>
          </rPr>
          <t>The F5 BIG-IP appliance IPsec VPN must ensure inbound and outbound traffic is configured with a security policy.</t>
        </r>
      </text>
    </comment>
    <comment ref="AB93" authorId="0" shapeId="0" xr:uid="{00000000-0006-0000-0600-000084000000}">
      <text>
        <r>
          <rPr>
            <sz val="11"/>
            <rFont val="Calibri"/>
          </rPr>
          <t>The F5 BIG-IP appliance IPsec VPN Gateway must use Internet Key Exchange (IKE) for IPsec VPN Security Associations (SAs).</t>
        </r>
      </text>
    </comment>
    <comment ref="AC93" authorId="0" shapeId="0" xr:uid="{00000000-0006-0000-0600-000085000000}">
      <text>
        <r>
          <rPr>
            <sz val="11"/>
            <rFont val="Calibri"/>
          </rPr>
          <t>The IPsec BIG-IP appliance must use IKEv2 for IPsec VPN security associations.</t>
        </r>
      </text>
    </comment>
    <comment ref="AD93" authorId="0" shapeId="0" xr:uid="{00000000-0006-0000-0600-000086000000}">
      <text>
        <r>
          <rPr>
            <sz val="11"/>
            <rFont val="Calibri"/>
          </rPr>
          <t>The F5 BIG-IP appliance IPsec VPN Gateway must renegotiate the IPsec Phase 1 security association after eight hours or less.</t>
        </r>
      </text>
    </comment>
    <comment ref="AE93" authorId="0" shapeId="0" xr:uid="{00000000-0006-0000-0600-00006E000000}">
      <text>
        <r>
          <rPr>
            <sz val="11"/>
            <rFont val="Calibri"/>
          </rPr>
          <t>The F5 BIG-IP appliance IPsec VPN must renegotiate the IKE Phase 2 security association after eight hours or less.</t>
        </r>
      </text>
    </comment>
    <comment ref="AF93" authorId="0" shapeId="0" xr:uid="{00000000-0006-0000-0600-00006F000000}">
      <text>
        <r>
          <rPr>
            <sz val="11"/>
            <rFont val="Calibri"/>
          </rPr>
          <t>For accounts using password authentication, the F5 BIG-IP appliance site-to-site IPsec VPN Gateway must use SHA-2 or later protocol to protect the integrity of the password authentication process.</t>
        </r>
      </text>
    </comment>
    <comment ref="AG93" authorId="0" shapeId="0" xr:uid="{00000000-0006-0000-0600-000070000000}">
      <text>
        <r>
          <rPr>
            <sz val="11"/>
            <rFont val="Calibri"/>
          </rPr>
          <t>The F5 BIG-IP appliance IPsec VPN must use cryptographic algorithms approved by NSA to protect NSS when transporting classified traffic across an unclassified network.</t>
        </r>
      </text>
    </comment>
    <comment ref="AH93" authorId="0" shapeId="0" xr:uid="{00000000-0006-0000-0600-000071000000}">
      <text>
        <r>
          <rPr>
            <sz val="11"/>
            <rFont val="Calibri"/>
          </rPr>
          <t>The F5 BIG-IP appliance IPsec VPN must be configured to use FIPS-validated SHA-2 or higher for Internet Key Exchange (IKE).</t>
        </r>
      </text>
    </comment>
    <comment ref="AI93" authorId="0" shapeId="0" xr:uid="{00000000-0006-0000-0600-000072000000}">
      <text>
        <r>
          <rPr>
            <sz val="11"/>
            <rFont val="Calibri"/>
          </rPr>
          <t>The F5 BIG-IP appliance IPsec VPN Gateway must specify Perfect Forward Secrecy (PFS) during Internet Key Exchange (IKE) negotiation.</t>
        </r>
      </text>
    </comment>
    <comment ref="J94" authorId="0" shapeId="0" xr:uid="{00000000-0006-0000-0600-000087000000}">
      <text>
        <r>
          <rPr>
            <sz val="11"/>
            <rFont val="Calibri"/>
          </rPr>
          <t>The F5 BIG-IP appliance providing intermediary services for remote access must use FIPS-validated cryptographic algorithms, including TLS 1.2 at a minimum.</t>
        </r>
      </text>
    </comment>
    <comment ref="K94" authorId="0" shapeId="0" xr:uid="{00000000-0006-0000-0600-000088000000}">
      <text>
        <r>
          <rPr>
            <sz val="11"/>
            <rFont val="Calibri"/>
          </rPr>
          <t>The F5 BIG-IP appliance must be configured to use cryptographic algorithms approved by NSA to protect NSS for remote access to a classified network.</t>
        </r>
      </text>
    </comment>
    <comment ref="L94" authorId="0" shapeId="0" xr:uid="{00000000-0006-0000-0600-000089000000}">
      <text>
        <r>
          <rPr>
            <sz val="11"/>
            <rFont val="Calibri"/>
          </rPr>
          <t>The F5 BIG-IP appliance must be configured to use a Diffie-Hellman (DH) Group of 16 or greater for Internet Key Exchange (IKE) Phase 1.</t>
        </r>
      </text>
    </comment>
    <comment ref="M94" authorId="0" shapeId="0" xr:uid="{00000000-0006-0000-0600-00008A000000}">
      <text>
        <r>
          <rPr>
            <sz val="11"/>
            <rFont val="Calibri"/>
          </rPr>
          <t>The F5 BIG-IP appliance IPsec VPN Gateway must use AES256 or higher encryption for the Internet Key Exchange (IKE) proposal to protect confidentiality of remote access sessions.</t>
        </r>
      </text>
    </comment>
    <comment ref="N94" authorId="0" shapeId="0" xr:uid="{00000000-0006-0000-0600-00008B000000}">
      <text>
        <r>
          <rPr>
            <sz val="11"/>
            <rFont val="Calibri"/>
          </rPr>
          <t>The F5 BIG-IP appliance IPsec VPN must use AES256 or greater encryption for the IPsec proposal.</t>
        </r>
      </text>
    </comment>
    <comment ref="O94" authorId="0" shapeId="0" xr:uid="{00000000-0006-0000-0600-00008C000000}">
      <text>
        <r>
          <rPr>
            <sz val="11"/>
            <rFont val="Calibri"/>
          </rPr>
          <t>The F5 BIG-IP appliance IPsec VPN must use cryptographic algorithms approved by NSA to protect NSS when transporting classified traffic across an unclassified network.</t>
        </r>
      </text>
    </comment>
    <comment ref="P94" authorId="0" shapeId="0" xr:uid="{00000000-0006-0000-0600-00008D000000}">
      <text>
        <r>
          <rPr>
            <sz val="11"/>
            <rFont val="Calibri"/>
          </rPr>
          <t>The F5 BIG-IP appliance IPsec VPN must be configured to use FIPS-validated SHA-2 or higher for Internet Key Exchange (IKE).</t>
        </r>
      </text>
    </comment>
    <comment ref="J99" authorId="0" shapeId="0" xr:uid="{00000000-0006-0000-0600-00008E000000}">
      <text>
        <r>
          <rPr>
            <sz val="11"/>
            <rFont val="Calibri"/>
          </rPr>
          <t>The F5 BIG-IP appliance must be running an operating system release that is currently supported by the vendor.</t>
        </r>
      </text>
    </comment>
    <comment ref="K99" authorId="0" shapeId="0" xr:uid="{00000000-0006-0000-0600-00008F000000}">
      <text>
        <r>
          <rPr>
            <sz val="11"/>
            <rFont val="Calibri"/>
          </rPr>
          <t>The F5 BIG-IP appliance providing content filtering must automatically update malicious code protection mechanisms.</t>
        </r>
      </text>
    </comment>
    <comment ref="L99" authorId="0" shapeId="0" xr:uid="{00000000-0006-0000-0600-000090000000}">
      <text>
        <r>
          <rPr>
            <sz val="11"/>
            <rFont val="Calibri"/>
          </rPr>
          <t>The F5 BIG-IP appliance providing content filtering must detect use of network services that have not been authorized or approved by the information system security manager (ISSM) and information system security officer (ISSO), at a minimum.</t>
        </r>
      </text>
    </comment>
    <comment ref="J100" authorId="0" shapeId="0" xr:uid="{00000000-0006-0000-0600-000091000000}">
      <text>
        <r>
          <rPr>
            <sz val="11"/>
            <rFont val="Calibri"/>
          </rPr>
          <t>The F5 BIG-IP DNS server implementation must manage excess capacity, bandwidth, or other redundancy to limit the effects of information flooding types of denial-of-service (DoS) attacks.</t>
        </r>
      </text>
    </comment>
    <comment ref="K100" authorId="0" shapeId="0" xr:uid="{00000000-0006-0000-0600-000092000000}">
      <text>
        <r>
          <rPr>
            <sz val="11"/>
            <rFont val="Calibri"/>
          </rPr>
          <t>The F5 BIG-IP appliance providing content filtering must employ rate-based attack prevention behavior analysis.</t>
        </r>
      </text>
    </comment>
    <comment ref="L100" authorId="0" shapeId="0" xr:uid="{00000000-0006-0000-0600-000093000000}">
      <text>
        <r>
          <rPr>
            <sz val="11"/>
            <rFont val="Calibri"/>
          </rPr>
          <t>The F5 BIG-IP appliance providing content filtering must protect against or limit the effects of known and unknown types of denial-of-service (DoS) attacks by employing pattern recognition pre-processors.</t>
        </r>
      </text>
    </comment>
    <comment ref="M100" authorId="0" shapeId="0" xr:uid="{00000000-0006-0000-0600-000094000000}">
      <text>
        <r>
          <rPr>
            <sz val="11"/>
            <rFont val="Calibri"/>
          </rPr>
          <t>The F5 BIG-IP appliance must employ filters that prevent or limit the effects of all types of commonly known denial-of-service (DoS) attacks, including flooding, packet sweeps, and unauthorized port scanning.</t>
        </r>
      </text>
    </comment>
    <comment ref="N100" authorId="0" shapeId="0" xr:uid="{00000000-0006-0000-0600-000095000000}">
      <text>
        <r>
          <rPr>
            <sz val="11"/>
            <rFont val="Calibri"/>
          </rPr>
          <t>The F5 BIG-IP appliance must generate an alert that can be forwarded to, at a minimum, the information system security officer (ISSO) and information system security manager (ISSM) when denial-of-service (DoS) incidents are detected.</t>
        </r>
      </text>
    </comment>
    <comment ref="J101" authorId="0" shapeId="0" xr:uid="{00000000-0006-0000-0600-000096000000}">
      <text>
        <r>
          <rPr>
            <sz val="11"/>
            <rFont val="Calibri"/>
          </rPr>
          <t>To protect against data mining, the F5 BIG-IP appliance providing content filtering must prevent code injection attacks from being launched against data storage objects, including, at a minimum, databases, database records, queries, and fields.</t>
        </r>
      </text>
    </comment>
    <comment ref="K101" authorId="0" shapeId="0" xr:uid="{00000000-0006-0000-0600-000097000000}">
      <text>
        <r>
          <rPr>
            <sz val="11"/>
            <rFont val="Calibri"/>
          </rPr>
          <t>To protect against data mining, the F5 BIG-IP appliance providing content filtering must prevent code injection attacks launched against application objects including, at a minimum, application URLs and application code.</t>
        </r>
      </text>
    </comment>
    <comment ref="L101" authorId="0" shapeId="0" xr:uid="{00000000-0006-0000-0600-000098000000}">
      <text>
        <r>
          <rPr>
            <sz val="11"/>
            <rFont val="Calibri"/>
          </rPr>
          <t>To protect against data mining, the F5 BIG-IP appliance providing content filtering must prevent SQL injection attacks launched against data storage objects, including, at a minimum, databases, database records, and database fields.</t>
        </r>
      </text>
    </comment>
    <comment ref="M101" authorId="0" shapeId="0" xr:uid="{00000000-0006-0000-0600-000099000000}">
      <text>
        <r>
          <rPr>
            <sz val="11"/>
            <rFont val="Calibri"/>
          </rPr>
          <t>The F5 BIG-IP appliance must check the validity of all data inputs except those specifically identified by the organization.</t>
        </r>
      </text>
    </comment>
    <comment ref="N101" authorId="0" shapeId="0" xr:uid="{00000000-0006-0000-0600-00009A000000}">
      <text>
        <r>
          <rPr>
            <sz val="11"/>
            <rFont val="Calibri"/>
          </rPr>
          <t>The F5 BIG-IP appliance must be configured to enable the secure cookie flag.</t>
        </r>
      </text>
    </comment>
    <comment ref="O101" authorId="0" shapeId="0" xr:uid="{00000000-0006-0000-0600-00009B000000}">
      <text>
        <r>
          <rPr>
            <sz val="11"/>
            <rFont val="Calibri"/>
          </rPr>
          <t>The F5 BIG-IP appliance must be configured to disable the persistent cookie flag.</t>
        </r>
      </text>
    </comment>
    <comment ref="J102" authorId="0" shapeId="0" xr:uid="{00000000-0006-0000-0600-00009C000000}">
      <text>
        <r>
          <rPr>
            <sz val="11"/>
            <rFont val="Calibri"/>
          </rPr>
          <t>The F5 BIG-IP appliance that provides intermediary services for SMTP must inspect inbound and outbound SMTP and Extended SMTP communications traffic for protocol compliance and protocol anomalies.</t>
        </r>
      </text>
    </comment>
    <comment ref="K102" authorId="0" shapeId="0" xr:uid="{00000000-0006-0000-0600-00009D000000}">
      <text>
        <r>
          <rPr>
            <sz val="11"/>
            <rFont val="Calibri"/>
          </rPr>
          <t>The F5 BIG-IP appliance that intermediary services for FTP must inspect inbound and outbound FTP communications traffic for protocol compliance and protocol anomalies.</t>
        </r>
      </text>
    </comment>
    <comment ref="L102" authorId="0" shapeId="0" xr:uid="{00000000-0006-0000-0600-00009E000000}">
      <text>
        <r>
          <rPr>
            <sz val="11"/>
            <rFont val="Calibri"/>
          </rPr>
          <t>The F5 BIG-IP appliance that provides intermediary services for HTTP must inspect inbound and outbound HTTP traffic for protocol compliance and protocol anomalies.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F5 BIG-IP appliance must be configured to enforce the limit of three consecutive invalid logon attempts, after which time it must block any login attempt for at least 15 minutes.</t>
        </r>
      </text>
    </comment>
    <comment ref="I89" authorId="0" shapeId="0" xr:uid="{00000000-0006-0000-0700-00000B000000}">
      <text>
        <r>
          <rPr>
            <sz val="11"/>
            <rFont val="Calibri"/>
          </rPr>
          <t>The F5 BIG-IP appliance must enforce a minimum 15-character password length.</t>
        </r>
      </text>
    </comment>
    <comment ref="J89" authorId="0" shapeId="0" xr:uid="{00000000-0006-0000-0700-000002000000}">
      <text>
        <r>
          <rPr>
            <sz val="11"/>
            <rFont val="Calibri"/>
          </rPr>
          <t>The F5 BIG-IP appliance must enforce password complexity by requiring that at least one uppercase character be used.</t>
        </r>
      </text>
    </comment>
    <comment ref="K89" authorId="0" shapeId="0" xr:uid="{00000000-0006-0000-0700-000003000000}">
      <text>
        <r>
          <rPr>
            <sz val="11"/>
            <rFont val="Calibri"/>
          </rPr>
          <t>The F5 BIG-IP appliance must enforce password complexity by requiring that at least one lowercase character be used.</t>
        </r>
      </text>
    </comment>
    <comment ref="L89" authorId="0" shapeId="0" xr:uid="{00000000-0006-0000-0700-000004000000}">
      <text>
        <r>
          <rPr>
            <sz val="11"/>
            <rFont val="Calibri"/>
          </rPr>
          <t>The F5 BIG-IP appliance must enforce password complexity by requiring that at least one numeric character be used.</t>
        </r>
      </text>
    </comment>
    <comment ref="M89" authorId="0" shapeId="0" xr:uid="{00000000-0006-0000-0700-000005000000}">
      <text>
        <r>
          <rPr>
            <sz val="11"/>
            <rFont val="Calibri"/>
          </rPr>
          <t>The F5 BIG-IP appliance must enforce password complexity by requiring that at least one special character be used.</t>
        </r>
      </text>
    </comment>
    <comment ref="N89" authorId="0" shapeId="0" xr:uid="{00000000-0006-0000-0700-000006000000}">
      <text>
        <r>
          <rPr>
            <sz val="11"/>
            <rFont val="Calibri"/>
          </rPr>
          <t>The F5 BIG-IP appliance must require that when a password is changed, the characters are changed in at least eight of the positions within the password.</t>
        </r>
      </text>
    </comment>
    <comment ref="O89" authorId="0" shapeId="0" xr:uid="{00000000-0006-0000-0700-000007000000}">
      <text>
        <r>
          <rPr>
            <sz val="11"/>
            <rFont val="Calibri"/>
          </rPr>
          <t>The F5 BIG-IP appliance must prohibit the use of cached authenticators after eight hours or less.</t>
        </r>
      </text>
    </comment>
    <comment ref="P89" authorId="0" shapeId="0" xr:uid="{00000000-0006-0000-0700-000008000000}">
      <text>
        <r>
          <rPr>
            <sz val="11"/>
            <rFont val="Calibri"/>
          </rPr>
          <t>The F5 BIG-IP appliance must set the idle time before automatic logout to five minutes of inactivity except to fulfill documented and validated mission requirements.</t>
        </r>
      </text>
    </comment>
    <comment ref="Q89" authorId="0" shapeId="0" xr:uid="{00000000-0006-0000-0700-000009000000}">
      <text>
        <r>
          <rPr>
            <sz val="11"/>
            <rFont val="Calibri"/>
          </rPr>
          <t>The F5 BIG-IP appliance must terminate all network connections associated with a communications session at the end of the session or after 15 minutes of inactivity.</t>
        </r>
      </text>
    </comment>
    <comment ref="R89" authorId="0" shapeId="0" xr:uid="{00000000-0006-0000-0700-00000A000000}">
      <text>
        <r>
          <rPr>
            <sz val="11"/>
            <rFont val="Calibri"/>
          </rPr>
          <t>The F5 BIG-IP appliance must be configured to limit authenticated client sessions to initial session source IP.</t>
        </r>
      </text>
    </comment>
    <comment ref="H91" authorId="0" shapeId="0" xr:uid="{00000000-0006-0000-0700-00000C000000}">
      <text>
        <r>
          <rPr>
            <sz val="11"/>
            <rFont val="Calibri"/>
          </rPr>
          <t>The validity period for the RRSIGs covering a zone</t>
        </r>
        <r>
          <rPr>
            <sz val="11"/>
            <color rgb="FF000000"/>
            <rFont val="Calibri"/>
          </rPr>
          <t>'</t>
        </r>
        <r>
          <rPr>
            <sz val="11"/>
            <color rgb="FF000000"/>
            <rFont val="Calibri"/>
          </rPr>
          <t>s DNSKEY RRSet must be no less than two days and no more than one week.</t>
        </r>
      </text>
    </comment>
    <comment ref="I91" authorId="0" shapeId="0" xr:uid="{00000000-0006-0000-0700-000014000000}">
      <text>
        <r>
          <rPr>
            <sz val="11"/>
            <rFont val="Calibri"/>
          </rPr>
          <t>An authoritative name server must be configured to enable DNSSEC Resource Records.</t>
        </r>
      </text>
    </comment>
    <comment ref="J91" authorId="0" shapeId="0" xr:uid="{00000000-0006-0000-0700-000015000000}">
      <text>
        <r>
          <rPr>
            <sz val="11"/>
            <rFont val="Calibri"/>
          </rPr>
          <t>The F5 BIG-IP DNS must use valid root name servers in the local root zone file.</t>
        </r>
      </text>
    </comment>
    <comment ref="K91" authorId="0" shapeId="0" xr:uid="{00000000-0006-0000-0700-000016000000}">
      <text>
        <r>
          <rPr>
            <sz val="11"/>
            <rFont val="Calibri"/>
          </rPr>
          <t>The platform on which the name server software is hosted must be configured to respond to DNS traffic only.</t>
        </r>
      </text>
    </comment>
    <comment ref="L91" authorId="0" shapeId="0" xr:uid="{00000000-0006-0000-0700-000017000000}">
      <text>
        <r>
          <rPr>
            <sz val="11"/>
            <rFont val="Calibri"/>
          </rPr>
          <t>The digital signature algorithm used for DNSSEC-enabled zones must be set to use RSA/SHA256 or RSA/SHA512.</t>
        </r>
      </text>
    </comment>
    <comment ref="M91" authorId="0" shapeId="0" xr:uid="{00000000-0006-0000-0700-000018000000}">
      <text>
        <r>
          <rPr>
            <sz val="11"/>
            <rFont val="Calibri"/>
          </rPr>
          <t>A BIG-IP DNS server implementation must provide additional data origin artifacts along with the authoritative data the system returns in response to external name/address resolution queries.</t>
        </r>
      </text>
    </comment>
    <comment ref="N91" authorId="0" shapeId="0" xr:uid="{00000000-0006-0000-0700-000019000000}">
      <text>
        <r>
          <rPr>
            <sz val="11"/>
            <rFont val="Calibri"/>
          </rPr>
          <t>The validity period for the RRSIGs covering the DS RR for a zones delegated children must be no less than two days and no more than one week.</t>
        </r>
      </text>
    </comment>
    <comment ref="O91" authorId="0" shapeId="0" xr:uid="{00000000-0006-0000-0700-00001A000000}">
      <text>
        <r>
          <rPr>
            <sz val="11"/>
            <rFont val="Calibri"/>
          </rPr>
          <t>The F5 BIG-IP appliance must be configured to display the Standard Mandatory DOD Notice and Consent Banner upon access to the TMOS User Interface.</t>
        </r>
      </text>
    </comment>
    <comment ref="P91" authorId="0" shapeId="0" xr:uid="{00000000-0006-0000-0700-00001B000000}">
      <text>
        <r>
          <rPr>
            <sz val="11"/>
            <rFont val="Calibri"/>
          </rPr>
          <t>The F5 BIG-IP appliance must obtain its public key certificates from an appropriate certificate policy through an approved service provider.</t>
        </r>
      </text>
    </comment>
    <comment ref="Q91" authorId="0" shapeId="0" xr:uid="{00000000-0006-0000-0700-00001C000000}">
      <text>
        <r>
          <rPr>
            <sz val="11"/>
            <rFont val="Calibri"/>
          </rPr>
          <t>The F5 BIG-IP appliance must be configured to use multifactor authentication (MFA) for interactive logins.</t>
        </r>
      </text>
    </comment>
    <comment ref="R91" authorId="0" shapeId="0" xr:uid="{00000000-0006-0000-0700-00001D000000}">
      <text>
        <r>
          <rPr>
            <sz val="11"/>
            <rFont val="Calibri"/>
          </rPr>
          <t>The F5 BIG-IP appliance must be configured to use DOD approved OCSP responders or CRLs to validate certificates used for PKI-based authentication.</t>
        </r>
      </text>
    </comment>
    <comment ref="S91" authorId="0" shapeId="0" xr:uid="{00000000-0006-0000-0700-00000D000000}">
      <text>
        <r>
          <rPr>
            <sz val="11"/>
            <rFont val="Calibri"/>
          </rPr>
          <t>The F5 BIG-IP appliance must be configured to display the Standard Mandatory DOD Notice and Consent Banner when accessing via SSH.</t>
        </r>
      </text>
    </comment>
    <comment ref="T91" authorId="0" shapeId="0" xr:uid="{00000000-0006-0000-0700-00000E000000}">
      <text>
        <r>
          <rPr>
            <sz val="11"/>
            <rFont val="Calibri"/>
          </rPr>
          <t>The F5 BIG-IP appliance providing intermediary services for remote access communications traffic must ensure inbound and outbound traffic is monitored for compliance with remote access security policies.</t>
        </r>
      </text>
    </comment>
    <comment ref="U91" authorId="0" shapeId="0" xr:uid="{00000000-0006-0000-0700-00000F000000}">
      <text>
        <r>
          <rPr>
            <sz val="11"/>
            <rFont val="Calibri"/>
          </rPr>
          <t>The F5 BIG-IP appliance providing user access control intermediary services must display the Standard Mandatory DOD-approved Notice and Consent Banner before granting access to the network.</t>
        </r>
      </text>
    </comment>
    <comment ref="V91" authorId="0" shapeId="0" xr:uid="{00000000-0006-0000-0700-000010000000}">
      <text>
        <r>
          <rPr>
            <sz val="11"/>
            <rFont val="Calibri"/>
          </rPr>
          <t>The F5 BIG-IP appliance providing user authentication intermediary services must uniquely identify and authenticate users using redundant authentication servers and multifactor authentication (MFA).</t>
        </r>
      </text>
    </comment>
    <comment ref="W91" authorId="0" shapeId="0" xr:uid="{00000000-0006-0000-0700-000011000000}">
      <text>
        <r>
          <rPr>
            <sz val="11"/>
            <rFont val="Calibri"/>
          </rPr>
          <t>The F5 BIG-IP appliance must configure certification path validation to ensure revoked machine credentials are prohibited from establishing an allowed session.</t>
        </r>
      </text>
    </comment>
    <comment ref="X91" authorId="0" shapeId="0" xr:uid="{00000000-0006-0000-0700-000012000000}">
      <text>
        <r>
          <rPr>
            <sz val="11"/>
            <rFont val="Calibri"/>
          </rPr>
          <t>The F5 BIG-IP appliance providing user authentication intermediary services using PKI-based user authentication must implement a local cache of revocation data to support path discovery and validation in case of the inability to access revocation information via the network.</t>
        </r>
      </text>
    </comment>
    <comment ref="Y91" authorId="0" shapeId="0" xr:uid="{00000000-0006-0000-0700-000013000000}">
      <text>
        <r>
          <rPr>
            <sz val="11"/>
            <rFont val="Calibri"/>
          </rPr>
          <t>The F5 BIG-IP appliance must configure certificate path validation to ensure revoked user credentials are prohibited from establishing an allowed session.</t>
        </r>
      </text>
    </comment>
    <comment ref="H93" authorId="0" shapeId="0" xr:uid="{00000000-0006-0000-0700-00001E000000}">
      <text>
        <r>
          <rPr>
            <sz val="11"/>
            <rFont val="Calibri"/>
          </rPr>
          <t>The F5 BIG-IP appliance must be configured to limit the number of concurrent sessions to the Configuration Utility to 10 or an organization-defined number.</t>
        </r>
      </text>
    </comment>
    <comment ref="I93" authorId="0" shapeId="0" xr:uid="{00000000-0006-0000-0700-00001F000000}">
      <text>
        <r>
          <rPr>
            <sz val="11"/>
            <rFont val="Calibri"/>
          </rPr>
          <t>The F5 BIG-IP appliance must terminate shared/group account credentials when members leave the group.</t>
        </r>
      </text>
    </comment>
    <comment ref="J93" authorId="0" shapeId="0" xr:uid="{00000000-0006-0000-0700-000020000000}">
      <text>
        <r>
          <rPr>
            <sz val="11"/>
            <rFont val="Calibri"/>
          </rPr>
          <t>The F5 BIG-IP appliance must be configured with only one local account to be used as the account of last resort in the event the authentication server is unavailable.</t>
        </r>
      </text>
    </comment>
    <comment ref="K93" authorId="0" shapeId="0" xr:uid="{00000000-0006-0000-0700-000021000000}">
      <text>
        <r>
          <rPr>
            <sz val="11"/>
            <rFont val="Calibri"/>
          </rPr>
          <t>The F5 BIG-IP appliance must be configured to assign appropriate user roles or access levels to authenticated users.</t>
        </r>
      </text>
    </comment>
    <comment ref="L93" authorId="0" shapeId="0" xr:uid="{00000000-0006-0000-0700-000022000000}">
      <text>
        <r>
          <rPr>
            <sz val="11"/>
            <rFont val="Calibri"/>
          </rPr>
          <t>The F5 BIG-IP appliance must be configured to audit the execution of privileged functions such as accounts additions and changes.</t>
        </r>
      </text>
    </comment>
    <comment ref="M93" authorId="0" shapeId="0" xr:uid="{00000000-0006-0000-0700-000023000000}">
      <text>
        <r>
          <rPr>
            <sz val="11"/>
            <rFont val="Calibri"/>
          </rPr>
          <t>The F5 BIG-IP appliance providing user access control intermediary services must limit the number of concurrent sessions to one or an organization-defined number for each access profile.</t>
        </r>
      </text>
    </comment>
    <comment ref="N93" authorId="0" shapeId="0" xr:uid="{00000000-0006-0000-0700-000024000000}">
      <text>
        <r>
          <rPr>
            <sz val="11"/>
            <rFont val="Calibri"/>
          </rPr>
          <t>The F5 BIG-IP appliance providing user access control intermediary services must enforce approved authorizations for logical access to information and system resources by employing identity-based, role-based, and/or attribute-based security policies.</t>
        </r>
      </text>
    </comment>
    <comment ref="O93" authorId="0" shapeId="0" xr:uid="{00000000-0006-0000-0700-000025000000}">
      <text>
        <r>
          <rPr>
            <sz val="11"/>
            <rFont val="Calibri"/>
          </rPr>
          <t>The F5 BIG-IP appliance must not use the On-demand Cert Auth VPE agent as part of the APM Policy Profiles.</t>
        </r>
      </text>
    </comment>
    <comment ref="P93" authorId="0" shapeId="0" xr:uid="{00000000-0006-0000-0700-000026000000}">
      <text>
        <r>
          <rPr>
            <sz val="11"/>
            <rFont val="Calibri"/>
          </rPr>
          <t>The F5 BIG-IP appliance must be configured to limit authenticated client sessions to initial session source IP.</t>
        </r>
      </text>
    </comment>
    <comment ref="Q93" authorId="0" shapeId="0" xr:uid="{00000000-0006-0000-0700-000027000000}">
      <text>
        <r>
          <rPr>
            <sz val="11"/>
            <rFont val="Calibri"/>
          </rPr>
          <t xml:space="preserve">The F5 BIG-IP appliance must be configured to set the </t>
        </r>
        <r>
          <rPr>
            <sz val="11"/>
            <color rgb="FF000000"/>
            <rFont val="Calibri"/>
          </rPr>
          <t>"</t>
        </r>
        <r>
          <rPr>
            <b/>
            <sz val="11"/>
            <color rgb="FF000000"/>
            <rFont val="Calibri"/>
          </rPr>
          <t>Max In Progress Sessions per Client IP</t>
        </r>
        <r>
          <rPr>
            <sz val="11"/>
            <color rgb="FF000000"/>
            <rFont val="Calibri"/>
          </rPr>
          <t>"</t>
        </r>
        <r>
          <rPr>
            <sz val="11"/>
            <color rgb="FF000000"/>
            <rFont val="Calibri"/>
          </rPr>
          <t xml:space="preserve"> value to 10 or an organizational-defined number.</t>
        </r>
      </text>
    </comment>
    <comment ref="H94" authorId="0" shapeId="0" xr:uid="{00000000-0006-0000-0700-000028000000}">
      <text>
        <r>
          <rPr>
            <sz val="11"/>
            <rFont val="Calibri"/>
          </rPr>
          <t>The F5 BIG-IP appliance providing remote access intermediary services must disable split-tunneling for remote clients</t>
        </r>
        <r>
          <rPr>
            <sz val="11"/>
            <color rgb="FF000000"/>
            <rFont val="Calibri"/>
          </rPr>
          <t>'</t>
        </r>
        <r>
          <rPr>
            <sz val="11"/>
            <color rgb="FF000000"/>
            <rFont val="Calibri"/>
          </rPr>
          <t xml:space="preserve"> VPNs.</t>
        </r>
      </text>
    </comment>
    <comment ref="I94" authorId="0" shapeId="0" xr:uid="{00000000-0006-0000-0700-000029000000}">
      <text>
        <r>
          <rPr>
            <sz val="11"/>
            <rFont val="Calibri"/>
          </rPr>
          <t>The F5 BIG-IP appliance providing remote access intermediary services must be configured to route sessions to an IDPS for inspection.</t>
        </r>
      </text>
    </comment>
    <comment ref="J94" authorId="0" shapeId="0" xr:uid="{00000000-0006-0000-0700-00002A000000}">
      <text>
        <r>
          <rPr>
            <sz val="11"/>
            <rFont val="Calibri"/>
          </rPr>
          <t>The VPN Gateway must use Always On VPN connections for remote computing.</t>
        </r>
      </text>
    </comment>
    <comment ref="H111" authorId="0" shapeId="0" xr:uid="{00000000-0006-0000-0700-00002B000000}">
      <text>
        <r>
          <rPr>
            <sz val="11"/>
            <rFont val="Calibri"/>
          </rPr>
          <t>The validity period for the RRSIGs covering a zone</t>
        </r>
        <r>
          <rPr>
            <sz val="11"/>
            <color rgb="FF000000"/>
            <rFont val="Calibri"/>
          </rPr>
          <t>'</t>
        </r>
        <r>
          <rPr>
            <sz val="11"/>
            <color rgb="FF000000"/>
            <rFont val="Calibri"/>
          </rPr>
          <t>s DNSKEY RRSet must be no less than two days and no more than one week.</t>
        </r>
      </text>
    </comment>
    <comment ref="I111" authorId="0" shapeId="0" xr:uid="{00000000-0006-0000-0700-000036000000}">
      <text>
        <r>
          <rPr>
            <sz val="11"/>
            <rFont val="Calibri"/>
          </rPr>
          <t>An authoritative name server must be configured to enable DNSSEC Resource Records.</t>
        </r>
      </text>
    </comment>
    <comment ref="J111" authorId="0" shapeId="0" xr:uid="{00000000-0006-0000-0700-000037000000}">
      <text>
        <r>
          <rPr>
            <sz val="11"/>
            <rFont val="Calibri"/>
          </rPr>
          <t>The F5 BIG-IP DNS must use valid root name servers in the local root zone file.</t>
        </r>
      </text>
    </comment>
    <comment ref="K111" authorId="0" shapeId="0" xr:uid="{00000000-0006-0000-0700-000038000000}">
      <text>
        <r>
          <rPr>
            <sz val="11"/>
            <rFont val="Calibri"/>
          </rPr>
          <t>The platform on which the name server software is hosted must be configured to respond to DNS traffic only.</t>
        </r>
      </text>
    </comment>
    <comment ref="L111" authorId="0" shapeId="0" xr:uid="{00000000-0006-0000-0700-000039000000}">
      <text>
        <r>
          <rPr>
            <sz val="11"/>
            <rFont val="Calibri"/>
          </rPr>
          <t>The digital signature algorithm used for DNSSEC-enabled zones must be set to use RSA/SHA256 or RSA/SHA512.</t>
        </r>
      </text>
    </comment>
    <comment ref="M111" authorId="0" shapeId="0" xr:uid="{00000000-0006-0000-0700-00003A000000}">
      <text>
        <r>
          <rPr>
            <sz val="11"/>
            <rFont val="Calibri"/>
          </rPr>
          <t>A BIG-IP DNS server implementation must provide additional data origin artifacts along with the authoritative data the system returns in response to external name/address resolution queries.</t>
        </r>
      </text>
    </comment>
    <comment ref="N111" authorId="0" shapeId="0" xr:uid="{00000000-0006-0000-0700-00003B000000}">
      <text>
        <r>
          <rPr>
            <sz val="11"/>
            <rFont val="Calibri"/>
          </rPr>
          <t>The validity period for the RRSIGs covering the DS RR for a zones delegated children must be no less than two days and no more than one week.</t>
        </r>
      </text>
    </comment>
    <comment ref="O111" authorId="0" shapeId="0" xr:uid="{00000000-0006-0000-0700-00003C000000}">
      <text>
        <r>
          <rPr>
            <sz val="11"/>
            <rFont val="Calibri"/>
          </rPr>
          <t>The F5 BIG-IP appliance must be configured to use DOD approved OCSP responders or CRLs to validate certificates used for PKI-based authentication.</t>
        </r>
      </text>
    </comment>
    <comment ref="P111" authorId="0" shapeId="0" xr:uid="{00000000-0006-0000-0700-00003D000000}">
      <text>
        <r>
          <rPr>
            <sz val="11"/>
            <rFont val="Calibri"/>
          </rPr>
          <t>The F5 BIG-IP appliance providing intermediary services for remote access must use FIPS-validated cryptographic algorithms, including TLS 1.2 at a minimum.</t>
        </r>
      </text>
    </comment>
    <comment ref="Q111" authorId="0" shapeId="0" xr:uid="{00000000-0006-0000-0700-00003E000000}">
      <text>
        <r>
          <rPr>
            <sz val="11"/>
            <rFont val="Calibri"/>
          </rPr>
          <t>The F5 BIG-IP appliance must configure certification path validation to ensure revoked machine credentials are prohibited from establishing an allowed session.</t>
        </r>
      </text>
    </comment>
    <comment ref="R111" authorId="0" shapeId="0" xr:uid="{00000000-0006-0000-0700-00003F000000}">
      <text>
        <r>
          <rPr>
            <sz val="11"/>
            <rFont val="Calibri"/>
          </rPr>
          <t>The F5 BIG-IP appliance providing user authentication intermediary services using PKI-based user authentication must implement a local cache of revocation data to support path discovery and validation in case of the inability to access revocation information via the network.</t>
        </r>
      </text>
    </comment>
    <comment ref="S111" authorId="0" shapeId="0" xr:uid="{00000000-0006-0000-0700-000040000000}">
      <text>
        <r>
          <rPr>
            <sz val="11"/>
            <rFont val="Calibri"/>
          </rPr>
          <t>The F5 BIG-IP appliance must configure certificate path validation to ensure revoked user credentials are prohibited from establishing an allowed session.</t>
        </r>
      </text>
    </comment>
    <comment ref="T111" authorId="0" shapeId="0" xr:uid="{00000000-0006-0000-0700-000041000000}">
      <text>
        <r>
          <rPr>
            <sz val="11"/>
            <rFont val="Calibri"/>
          </rPr>
          <t>The F5 BIG-IP appliance must be configured to use cryptographic algorithms approved by NSA to protect NSS for remote access to a classified network.</t>
        </r>
      </text>
    </comment>
    <comment ref="U111" authorId="0" shapeId="0" xr:uid="{00000000-0006-0000-0700-000042000000}">
      <text>
        <r>
          <rPr>
            <sz val="11"/>
            <rFont val="Calibri"/>
          </rPr>
          <t>The F5 BIG-IP appliance providing remote access intermediary services must disable split-tunneling for remote clients</t>
        </r>
        <r>
          <rPr>
            <sz val="11"/>
            <color rgb="FF000000"/>
            <rFont val="Calibri"/>
          </rPr>
          <t>'</t>
        </r>
        <r>
          <rPr>
            <sz val="11"/>
            <color rgb="FF000000"/>
            <rFont val="Calibri"/>
          </rPr>
          <t xml:space="preserve"> VPNs.</t>
        </r>
      </text>
    </comment>
    <comment ref="V111" authorId="0" shapeId="0" xr:uid="{00000000-0006-0000-0700-000043000000}">
      <text>
        <r>
          <rPr>
            <sz val="11"/>
            <rFont val="Calibri"/>
          </rPr>
          <t>The F5 BIG-IP appliance providing remote access intermediary services must be configured to route sessions to an IDPS for inspection.</t>
        </r>
      </text>
    </comment>
    <comment ref="W111" authorId="0" shapeId="0" xr:uid="{00000000-0006-0000-0700-000044000000}">
      <text>
        <r>
          <rPr>
            <sz val="11"/>
            <rFont val="Calibri"/>
          </rPr>
          <t>The VPN Gateway must use Always On VPN connections for remote computing.</t>
        </r>
      </text>
    </comment>
    <comment ref="X111" authorId="0" shapeId="0" xr:uid="{00000000-0006-0000-0700-000045000000}">
      <text>
        <r>
          <rPr>
            <sz val="11"/>
            <rFont val="Calibri"/>
          </rPr>
          <t>The F5 BIG-IP appliance must be configured to use a Diffie-Hellman (DH) Group of 16 or greater for Internet Key Exchange (IKE) Phase 1.</t>
        </r>
      </text>
    </comment>
    <comment ref="Y111" authorId="0" shapeId="0" xr:uid="{00000000-0006-0000-0700-000046000000}">
      <text>
        <r>
          <rPr>
            <sz val="11"/>
            <rFont val="Calibri"/>
          </rPr>
          <t>The F5 BIG-IP appliance IPsec VPN Gateway must use AES256 or higher encryption for the Internet Key Exchange (IKE) proposal to protect confidentiality of remote access sessions.</t>
        </r>
      </text>
    </comment>
    <comment ref="Z111" authorId="0" shapeId="0" xr:uid="{00000000-0006-0000-0700-00002C000000}">
      <text>
        <r>
          <rPr>
            <sz val="11"/>
            <rFont val="Calibri"/>
          </rPr>
          <t>The F5 BIG-IP appliance IPsec VPN must use AES256 or greater encryption for the IPsec proposal.</t>
        </r>
      </text>
    </comment>
    <comment ref="AA111" authorId="0" shapeId="0" xr:uid="{00000000-0006-0000-0700-00002D000000}">
      <text>
        <r>
          <rPr>
            <sz val="11"/>
            <rFont val="Calibri"/>
          </rPr>
          <t>The F5 BIG-IP appliance IPsec VPN must ensure inbound and outbound traffic is configured with a security policy.</t>
        </r>
      </text>
    </comment>
    <comment ref="AB111" authorId="0" shapeId="0" xr:uid="{00000000-0006-0000-0700-00002E000000}">
      <text>
        <r>
          <rPr>
            <sz val="11"/>
            <rFont val="Calibri"/>
          </rPr>
          <t>The F5 BIG-IP appliance IPsec VPN Gateway must use Internet Key Exchange (IKE) for IPsec VPN Security Associations (SAs).</t>
        </r>
      </text>
    </comment>
    <comment ref="AC111" authorId="0" shapeId="0" xr:uid="{00000000-0006-0000-0700-00002F000000}">
      <text>
        <r>
          <rPr>
            <sz val="11"/>
            <rFont val="Calibri"/>
          </rPr>
          <t>The IPsec BIG-IP appliance must use IKEv2 for IPsec VPN security associations.</t>
        </r>
      </text>
    </comment>
    <comment ref="AD111" authorId="0" shapeId="0" xr:uid="{00000000-0006-0000-0700-000030000000}">
      <text>
        <r>
          <rPr>
            <sz val="11"/>
            <rFont val="Calibri"/>
          </rPr>
          <t>The F5 BIG-IP appliance IPsec VPN Gateway must renegotiate the IPsec Phase 1 security association after eight hours or less.</t>
        </r>
      </text>
    </comment>
    <comment ref="AE111" authorId="0" shapeId="0" xr:uid="{00000000-0006-0000-0700-000031000000}">
      <text>
        <r>
          <rPr>
            <sz val="11"/>
            <rFont val="Calibri"/>
          </rPr>
          <t>The F5 BIG-IP appliance IPsec VPN must renegotiate the IKE Phase 2 security association after eight hours or less.</t>
        </r>
      </text>
    </comment>
    <comment ref="AF111" authorId="0" shapeId="0" xr:uid="{00000000-0006-0000-0700-000032000000}">
      <text>
        <r>
          <rPr>
            <sz val="11"/>
            <rFont val="Calibri"/>
          </rPr>
          <t>For accounts using password authentication, the F5 BIG-IP appliance site-to-site IPsec VPN Gateway must use SHA-2 or later protocol to protect the integrity of the password authentication process.</t>
        </r>
      </text>
    </comment>
    <comment ref="AG111" authorId="0" shapeId="0" xr:uid="{00000000-0006-0000-0700-000033000000}">
      <text>
        <r>
          <rPr>
            <sz val="11"/>
            <rFont val="Calibri"/>
          </rPr>
          <t>The F5 BIG-IP appliance IPsec VPN must use cryptographic algorithms approved by NSA to protect NSS when transporting classified traffic across an unclassified network.</t>
        </r>
      </text>
    </comment>
    <comment ref="AH111" authorId="0" shapeId="0" xr:uid="{00000000-0006-0000-0700-000034000000}">
      <text>
        <r>
          <rPr>
            <sz val="11"/>
            <rFont val="Calibri"/>
          </rPr>
          <t>The F5 BIG-IP appliance IPsec VPN must be configured to use FIPS-validated SHA-2 or higher for Internet Key Exchange (IKE).</t>
        </r>
      </text>
    </comment>
    <comment ref="AI111" authorId="0" shapeId="0" xr:uid="{00000000-0006-0000-0700-000035000000}">
      <text>
        <r>
          <rPr>
            <sz val="11"/>
            <rFont val="Calibri"/>
          </rPr>
          <t>The F5 BIG-IP appliance IPsec VPN Gateway must specify Perfect Forward Secrecy (PFS) during Internet Key Exchange (IKE) negotiation.</t>
        </r>
      </text>
    </comment>
    <comment ref="H114" authorId="0" shapeId="0" xr:uid="{00000000-0006-0000-0700-000047000000}">
      <text>
        <r>
          <rPr>
            <sz val="11"/>
            <rFont val="Calibri"/>
          </rPr>
          <t>To protect against data mining, the F5 BIG-IP appliance providing content filtering must prevent code injection attacks from being launched against data storage objects, including, at a minimum, databases, database records, queries, and fields.</t>
        </r>
      </text>
    </comment>
    <comment ref="I114" authorId="0" shapeId="0" xr:uid="{00000000-0006-0000-0700-000048000000}">
      <text>
        <r>
          <rPr>
            <sz val="11"/>
            <rFont val="Calibri"/>
          </rPr>
          <t>To protect against data mining, the F5 BIG-IP appliance providing content filtering must prevent code injection attacks launched against application objects including, at a minimum, application URLs and application code.</t>
        </r>
      </text>
    </comment>
    <comment ref="J114" authorId="0" shapeId="0" xr:uid="{00000000-0006-0000-0700-000049000000}">
      <text>
        <r>
          <rPr>
            <sz val="11"/>
            <rFont val="Calibri"/>
          </rPr>
          <t>To protect against data mining, the F5 BIG-IP appliance providing content filtering must prevent SQL injection attacks launched against data storage objects, including, at a minimum, databases, database records, and database fields.</t>
        </r>
      </text>
    </comment>
    <comment ref="H119" authorId="0" shapeId="0" xr:uid="{00000000-0006-0000-0700-00004A000000}">
      <text>
        <r>
          <rPr>
            <sz val="11"/>
            <rFont val="Calibri"/>
          </rPr>
          <t>The F5 BIG-IP appliance must conduct backups of the configuration at a weekly or organization-defined frequency and store on a separate device.</t>
        </r>
      </text>
    </comment>
    <comment ref="H134" authorId="0" shapeId="0" xr:uid="{00000000-0006-0000-0700-00004B000000}">
      <text>
        <r>
          <rPr>
            <sz val="11"/>
            <rFont val="Calibri"/>
          </rPr>
          <t>Primary authoritative name servers must be configured to only receive zone transfer requests from specified secondary name servers.</t>
        </r>
      </text>
    </comment>
    <comment ref="I134" authorId="0" shapeId="0" xr:uid="{00000000-0006-0000-0700-00004C000000}">
      <text>
        <r>
          <rPr>
            <sz val="11"/>
            <rFont val="Calibri"/>
          </rPr>
          <t>The F5 BIG-IP DNS server implementation must validate the binding of the other DNS server</t>
        </r>
        <r>
          <rPr>
            <sz val="11"/>
            <color rgb="FF000000"/>
            <rFont val="Calibri"/>
          </rPr>
          <t>'</t>
        </r>
        <r>
          <rPr>
            <sz val="11"/>
            <color rgb="FF000000"/>
            <rFont val="Calibri"/>
          </rPr>
          <t>s identity to the DNS information for a server-to-server transaction (e.g., zone transfer).</t>
        </r>
      </text>
    </comment>
    <comment ref="J134" authorId="0" shapeId="0" xr:uid="{00000000-0006-0000-0700-00004D000000}">
      <text>
        <r>
          <rPr>
            <sz val="11"/>
            <rFont val="Calibri"/>
          </rPr>
          <t>The F5 BIG-IP DNS implementation must protect the authenticity of communications sessions for zone transfers.</t>
        </r>
      </text>
    </comment>
    <comment ref="K134" authorId="0" shapeId="0" xr:uid="{00000000-0006-0000-0700-00004E000000}">
      <text>
        <r>
          <rPr>
            <sz val="11"/>
            <rFont val="Calibri"/>
          </rPr>
          <t>The F5 BIG-IP appliance must be configured to use at least two authentication servers to authenticate administrative users.</t>
        </r>
      </text>
    </comment>
    <comment ref="L134" authorId="0" shapeId="0" xr:uid="{00000000-0006-0000-0700-00004F000000}">
      <text>
        <r>
          <rPr>
            <sz val="11"/>
            <rFont val="Calibri"/>
          </rPr>
          <t>The F5 BIG-IP appliance must be configured to restrict a consistent inbound IP for the entire management session.</t>
        </r>
      </text>
    </comment>
    <comment ref="M134" authorId="0" shapeId="0" xr:uid="{00000000-0006-0000-0700-000050000000}">
      <text>
        <r>
          <rPr>
            <sz val="11"/>
            <rFont val="Calibri"/>
          </rPr>
          <t>The F5 BIG-IP appliance providing intermediary services for remote access communications traffic must ensure inbound and outbound traffic is monitored for compliance with remote access security policies.</t>
        </r>
      </text>
    </comment>
    <comment ref="N134" authorId="0" shapeId="0" xr:uid="{00000000-0006-0000-0700-000051000000}">
      <text>
        <r>
          <rPr>
            <sz val="11"/>
            <rFont val="Calibri"/>
          </rPr>
          <t>The F5 BIG-IP appliance providing user access control intermediary services must implement attribute- and content-based inspection of the source, destination, headers, and/or content of the communications traffic.</t>
        </r>
      </text>
    </comment>
    <comment ref="O134" authorId="0" shapeId="0" xr:uid="{00000000-0006-0000-0700-000052000000}">
      <text>
        <r>
          <rPr>
            <sz val="11"/>
            <rFont val="Calibri"/>
          </rPr>
          <t>The F5 BIG-IP appliance must generate event log records that can be forwarded to the centralized events log.</t>
        </r>
      </text>
    </comment>
    <comment ref="P134" authorId="0" shapeId="0" xr:uid="{00000000-0006-0000-0700-000053000000}">
      <text>
        <r>
          <rPr>
            <sz val="11"/>
            <rFont val="Calibri"/>
          </rPr>
          <t>The F5 BIG-IP appliance that provides intermediary services for SMTP must inspect inbound and outbound SMTP and Extended SMTP communications traffic for protocol compliance and protocol anomalies.</t>
        </r>
      </text>
    </comment>
    <comment ref="Q134" authorId="0" shapeId="0" xr:uid="{00000000-0006-0000-0700-000054000000}">
      <text>
        <r>
          <rPr>
            <sz val="11"/>
            <rFont val="Calibri"/>
          </rPr>
          <t>The F5 BIG-IP appliance that intermediary services for FTP must inspect inbound and outbound FTP communications traffic for protocol compliance and protocol anomalies.</t>
        </r>
      </text>
    </comment>
    <comment ref="R134" authorId="0" shapeId="0" xr:uid="{00000000-0006-0000-0700-000055000000}">
      <text>
        <r>
          <rPr>
            <sz val="11"/>
            <rFont val="Calibri"/>
          </rPr>
          <t>The F5 BIG-IP appliance that provides intermediary services for HTTP must inspect inbound and outbound HTTP traffic for protocol compliance and protocol anomalies.</t>
        </r>
      </text>
    </comment>
    <comment ref="S134" authorId="0" shapeId="0" xr:uid="{00000000-0006-0000-0700-000056000000}">
      <text>
        <r>
          <rPr>
            <sz val="11"/>
            <rFont val="Calibri"/>
          </rPr>
          <t>The F5 BIG-IP appliance providing content filtering must generate a log record when unauthorized network services are detected.</t>
        </r>
      </text>
    </comment>
    <comment ref="T134" authorId="0" shapeId="0" xr:uid="{00000000-0006-0000-0700-000057000000}">
      <text>
        <r>
          <rPr>
            <sz val="11"/>
            <rFont val="Calibri"/>
          </rPr>
          <t>When the Access Profile Type is LTM+APM and it is not using any connectivity resources (such as Network Access, Portal Access, etc.) in the VPE, the F5 BIG-IP appliance must be configured to enable the HTTP Only flag.</t>
        </r>
      </text>
    </comment>
    <comment ref="U134" authorId="0" shapeId="0" xr:uid="{00000000-0006-0000-0700-000058000000}">
      <text>
        <r>
          <rPr>
            <sz val="11"/>
            <rFont val="Calibri"/>
          </rPr>
          <t>The F5 BIG-IP appliance must be configured to restrict a consistent inbound IP for the entire management session.</t>
        </r>
      </text>
    </comment>
    <comment ref="V134" authorId="0" shapeId="0" xr:uid="{00000000-0006-0000-0700-000059000000}">
      <text>
        <r>
          <rPr>
            <sz val="11"/>
            <rFont val="Calibri"/>
          </rPr>
          <t>The F5 BIG-IP must be configured to identify and authenticate all endpoint devices or peers before establishing a connection.</t>
        </r>
      </text>
    </comment>
    <comment ref="W134" authorId="0" shapeId="0" xr:uid="{00000000-0006-0000-0700-00005A000000}">
      <text>
        <r>
          <rPr>
            <sz val="11"/>
            <rFont val="Calibri"/>
          </rPr>
          <t>The F5 BIG-IP appliance that filters traffic from the VPN access points must be configured with organization-defined filtering rules that apply to the monitoring of remote access traffic.</t>
        </r>
      </text>
    </comment>
    <comment ref="X134" authorId="0" shapeId="0" xr:uid="{00000000-0006-0000-0700-00005B000000}">
      <text>
        <r>
          <rPr>
            <sz val="11"/>
            <rFont val="Calibri"/>
          </rPr>
          <t>The F5 BIG-IP appliance must be configured to use filters that use packet headers and packet attributes, including source and destination IP addresses and ports, to prevent the flow of unauthorized or suspicious traffic between interconnected networks with different security policies, including perimeter firewalls and server VLANs.</t>
        </r>
      </text>
    </comment>
    <comment ref="Y134" authorId="0" shapeId="0" xr:uid="{00000000-0006-0000-0700-00005C000000}">
      <text>
        <r>
          <rPr>
            <sz val="11"/>
            <rFont val="Calibri"/>
          </rPr>
          <t>The F5 BIG-IP appliance must be configured to restrict itself from accepting outbound packets that contain an illegitimate address in the source address field via an egress filter or by enabling Unicast Reverse Path Forwarding (uRPF).</t>
        </r>
      </text>
    </comment>
    <comment ref="Z134" authorId="0" shapeId="0" xr:uid="{00000000-0006-0000-0700-00005D000000}">
      <text>
        <r>
          <rPr>
            <sz val="11"/>
            <rFont val="Calibri"/>
          </rPr>
          <t>The F5 BIG-IP appliance must deny network communications traffic by default and allow network communications traffic by exception (i.e., deny all, permit by exception).</t>
        </r>
      </text>
    </comment>
    <comment ref="AA134" authorId="0" shapeId="0" xr:uid="{00000000-0006-0000-0700-00005E000000}">
      <text>
        <r>
          <rPr>
            <sz val="11"/>
            <rFont val="Calibri"/>
          </rPr>
          <t>The F5 BIG-IP appliance must be configured to inspect all inbound and outbound traffic at the application layer.</t>
        </r>
      </text>
    </comment>
    <comment ref="AB134" authorId="0" shapeId="0" xr:uid="{00000000-0006-0000-0700-00005F000000}">
      <text>
        <r>
          <rPr>
            <sz val="11"/>
            <rFont val="Calibri"/>
          </rPr>
          <t>The F5 BIG-IP appliance must be configured to filter inbound traffic on all external interfaces.</t>
        </r>
      </text>
    </comment>
    <comment ref="AC134" authorId="0" shapeId="0" xr:uid="{00000000-0006-0000-0700-000060000000}">
      <text>
        <r>
          <rPr>
            <sz val="11"/>
            <rFont val="Calibri"/>
          </rPr>
          <t>The F5 BIG-IP appliance must be configured to filter outbound traffic on all internal interfaces.</t>
        </r>
      </text>
    </comment>
    <comment ref="AD134" authorId="0" shapeId="0" xr:uid="{00000000-0006-0000-0700-000061000000}">
      <text>
        <r>
          <rPr>
            <sz val="11"/>
            <rFont val="Calibri"/>
          </rPr>
          <t>The F5 BIG-IP appliance must be configured to block all outbound management traffic.</t>
        </r>
      </text>
    </comment>
    <comment ref="AE134" authorId="0" shapeId="0" xr:uid="{00000000-0006-0000-0700-000062000000}">
      <text>
        <r>
          <rPr>
            <sz val="11"/>
            <rFont val="Calibri"/>
          </rPr>
          <t>The BIG-IP appliance perimeter firewall must be configured to filter traffic destined to the enclave in accordance with the specific traffic that is approved and registered in the Ports, Protocols, and Services Management (PPSM) Category Assurance List (CAL) and vulnerability assessments.</t>
        </r>
      </text>
    </comment>
    <comment ref="H137" authorId="0" shapeId="0" xr:uid="{00000000-0006-0000-0700-000063000000}">
      <text>
        <r>
          <rPr>
            <sz val="11"/>
            <rFont val="Calibri"/>
          </rPr>
          <t>The F5 BIG-IP DNS server implementation must manage excess capacity, bandwidth, or other redundancy to limit the effects of information flooding types of denial-of-service (DoS) attacks.</t>
        </r>
      </text>
    </comment>
    <comment ref="I137" authorId="0" shapeId="0" xr:uid="{00000000-0006-0000-0700-000064000000}">
      <text>
        <r>
          <rPr>
            <sz val="11"/>
            <rFont val="Calibri"/>
          </rPr>
          <t>The F5 BIG-IP appliance providing content filtering must employ rate-based attack prevention behavior analysis.</t>
        </r>
      </text>
    </comment>
    <comment ref="J137" authorId="0" shapeId="0" xr:uid="{00000000-0006-0000-0700-000065000000}">
      <text>
        <r>
          <rPr>
            <sz val="11"/>
            <rFont val="Calibri"/>
          </rPr>
          <t>The F5 BIG-IP appliance providing content filtering must protect against or limit the effects of known and unknown types of denial-of-service (DoS) attacks by employing pattern recognition pre-processors.</t>
        </r>
      </text>
    </comment>
    <comment ref="K137" authorId="0" shapeId="0" xr:uid="{00000000-0006-0000-0700-000066000000}">
      <text>
        <r>
          <rPr>
            <sz val="11"/>
            <rFont val="Calibri"/>
          </rPr>
          <t>The F5 BIG-IP appliance must employ filters that prevent or limit the effects of all types of commonly known denial-of-service (DoS) attacks, including flooding, packet sweeps, and unauthorized port scanning.</t>
        </r>
      </text>
    </comment>
    <comment ref="L137" authorId="0" shapeId="0" xr:uid="{00000000-0006-0000-0700-000067000000}">
      <text>
        <r>
          <rPr>
            <sz val="11"/>
            <rFont val="Calibri"/>
          </rPr>
          <t>The F5 BIG-IP appliance must generate an alert that can be forwarded to, at a minimum, the information system security officer (ISSO) and information system security manager (ISSM) when denial-of-service (DoS) incidents are detected.</t>
        </r>
      </text>
    </comment>
    <comment ref="H142" authorId="0" shapeId="0" xr:uid="{00000000-0006-0000-0700-000068000000}">
      <text>
        <r>
          <rPr>
            <sz val="11"/>
            <rFont val="Calibri"/>
          </rPr>
          <t>The F5 BIG-IP appliance must be configured to prevent the installation of patches, service packs, or application components without verification the software component has been digitally signed using a certificate that is recognized and approved by the organization.</t>
        </r>
      </text>
    </comment>
    <comment ref="H143" authorId="0" shapeId="0" xr:uid="{00000000-0006-0000-0700-000069000000}">
      <text>
        <r>
          <rPr>
            <sz val="11"/>
            <rFont val="Calibri"/>
          </rPr>
          <t>The F5 BIG-IP appliance must be running an operating system release that is currently supported by the vendor.</t>
        </r>
      </text>
    </comment>
    <comment ref="H145" authorId="0" shapeId="0" xr:uid="{00000000-0006-0000-0700-00006A000000}">
      <text>
        <r>
          <rPr>
            <sz val="11"/>
            <rFont val="Calibri"/>
          </rPr>
          <t>The F5 BIG-IP DNS implementation must prohibit recursion on authoritative name servers.</t>
        </r>
      </text>
    </comment>
    <comment ref="I145" authorId="0" shapeId="0" xr:uid="{00000000-0006-0000-0700-00006B000000}">
      <text>
        <r>
          <rPr>
            <sz val="11"/>
            <rFont val="Calibri"/>
          </rPr>
          <t>The F5 BIG-IP appliance must be configured to prohibit the use of all unnecessary and/or nonsecure functions, ports, protocols, and/or services.</t>
        </r>
      </text>
    </comment>
    <comment ref="J145" authorId="0" shapeId="0" xr:uid="{00000000-0006-0000-0700-00006C000000}">
      <text>
        <r>
          <rPr>
            <sz val="11"/>
            <rFont val="Calibri"/>
          </rPr>
          <t>The F5 BIG-IP appliance must be configured to prohibit or restrict the use of unnecessary or prohibited functions, ports, protocols, and/or services, including those defined in the PPSM CAL and vulnerability assessments.</t>
        </r>
      </text>
    </comment>
    <comment ref="K145" authorId="0" shapeId="0" xr:uid="{00000000-0006-0000-0700-00006D000000}">
      <text>
        <r>
          <rPr>
            <sz val="11"/>
            <rFont val="Calibri"/>
          </rPr>
          <t>The F5 BIG-IP appliance must be configured to enable the secure cookie flag.</t>
        </r>
      </text>
    </comment>
    <comment ref="L145" authorId="0" shapeId="0" xr:uid="{00000000-0006-0000-0700-00006E000000}">
      <text>
        <r>
          <rPr>
            <sz val="11"/>
            <rFont val="Calibri"/>
          </rPr>
          <t>The F5 BIG-IP appliance must be configured to disable the persistent cookie flag.</t>
        </r>
      </text>
    </comment>
    <comment ref="M145" authorId="0" shapeId="0" xr:uid="{00000000-0006-0000-0700-00006F000000}">
      <text>
        <r>
          <rPr>
            <sz val="11"/>
            <rFont val="Calibri"/>
          </rPr>
          <t>The F5 BIG-IP appliance that filters traffic from the VPN access points must be configured with organization-defined filtering rules that apply to the monitoring of remote access traffic.</t>
        </r>
      </text>
    </comment>
    <comment ref="N145" authorId="0" shapeId="0" xr:uid="{00000000-0006-0000-0700-000070000000}">
      <text>
        <r>
          <rPr>
            <sz val="11"/>
            <rFont val="Calibri"/>
          </rPr>
          <t>The F5 BIG-IP appliance must be configured to use filters that use packet headers and packet attributes, including source and destination IP addresses and ports, to prevent the flow of unauthorized or suspicious traffic between interconnected networks with different security policies, including perimeter firewalls and server VLANs.</t>
        </r>
      </text>
    </comment>
    <comment ref="O145" authorId="0" shapeId="0" xr:uid="{00000000-0006-0000-0700-000071000000}">
      <text>
        <r>
          <rPr>
            <sz val="11"/>
            <rFont val="Calibri"/>
          </rPr>
          <t>The F5 BIG-IP appliance must be configured to inspect all inbound and outbound traffic at the application layer.</t>
        </r>
      </text>
    </comment>
    <comment ref="P145" authorId="0" shapeId="0" xr:uid="{00000000-0006-0000-0700-000072000000}">
      <text>
        <r>
          <rPr>
            <sz val="11"/>
            <rFont val="Calibri"/>
          </rPr>
          <t>The BIG-IP appliance perimeter firewall must be configured to filter traffic destined to the enclave in accordance with the specific traffic that is approved and registered in the Ports, Protocols, and Services Management (PPSM) Category Assurance List (CAL) and vulnerability assessments.</t>
        </r>
      </text>
    </comment>
    <comment ref="H149" authorId="0" shapeId="0" xr:uid="{00000000-0006-0000-0700-000073000000}">
      <text>
        <r>
          <rPr>
            <sz val="11"/>
            <rFont val="Calibri"/>
          </rPr>
          <t>The F5 BIG-IP appliance must be configured to audit the execution of privileged functions such as accounts additions and changes.</t>
        </r>
      </text>
    </comment>
    <comment ref="I149" authorId="0" shapeId="0" xr:uid="{00000000-0006-0000-0700-000074000000}">
      <text>
        <r>
          <rPr>
            <sz val="11"/>
            <rFont val="Calibri"/>
          </rPr>
          <t>The F5 BIG-IP appliance must manage local audit storage capacity in accordance with organization-defined audit record storage requirements.</t>
        </r>
      </text>
    </comment>
    <comment ref="J149" authorId="0" shapeId="0" xr:uid="{00000000-0006-0000-0700-000075000000}">
      <text>
        <r>
          <rPr>
            <sz val="11"/>
            <rFont val="Calibri"/>
          </rPr>
          <t>The F5 BIG-IP appliance must generate audit records and send records to redundant central syslog servers that are separate from the appliance.</t>
        </r>
      </text>
    </comment>
    <comment ref="K149" authorId="0" shapeId="0" xr:uid="{00000000-0006-0000-0700-000076000000}">
      <text>
        <r>
          <rPr>
            <sz val="11"/>
            <rFont val="Calibri"/>
          </rPr>
          <t>The F5 BIG-IP appliance must record time stamps for audit records that can be mapped to Coordinated Universal Time (UTC).</t>
        </r>
      </text>
    </comment>
    <comment ref="L149" authorId="0" shapeId="0" xr:uid="{00000000-0006-0000-0700-000077000000}">
      <text>
        <r>
          <rPr>
            <sz val="11"/>
            <rFont val="Calibri"/>
          </rPr>
          <t>The F5 BIG-IP appliance must authenticate Network Time Protocol (NTP) sources using authentication that is cryptographically based.</t>
        </r>
      </text>
    </comment>
    <comment ref="M149" authorId="0" shapeId="0" xr:uid="{00000000-0006-0000-0700-000078000000}">
      <text>
        <r>
          <rPr>
            <sz val="11"/>
            <rFont val="Calibri"/>
          </rPr>
          <t>The F5 BIG-IP appliance must generate traffic log entries containing information to establish the details of the event, including success or failure of the application of the firewall rule.</t>
        </r>
      </text>
    </comment>
    <comment ref="N149" authorId="0" shapeId="0" xr:uid="{00000000-0006-0000-0700-000079000000}">
      <text>
        <r>
          <rPr>
            <sz val="11"/>
            <rFont val="Calibri"/>
          </rPr>
          <t>In the event that communication with the central audit server is lost, the F5 BIG-IP appliance must continue to queue traffic log records locally.</t>
        </r>
      </text>
    </comment>
    <comment ref="O149" authorId="0" shapeId="0" xr:uid="{00000000-0006-0000-0700-00007A000000}">
      <text>
        <r>
          <rPr>
            <sz val="11"/>
            <rFont val="Calibri"/>
          </rPr>
          <t>The F5 BIG-IP appliance must be configured to use TCP when sending log records to the central audit server.</t>
        </r>
      </text>
    </comment>
    <comment ref="H158" authorId="0" shapeId="0" xr:uid="{00000000-0006-0000-0700-00007B000000}">
      <text>
        <r>
          <rPr>
            <sz val="11"/>
            <rFont val="Calibri"/>
          </rPr>
          <t>The F5 BIG-IP appliance must generate audit records and send records to redundant central syslog servers that are separate from the appliance.</t>
        </r>
      </text>
    </comment>
    <comment ref="I158" authorId="0" shapeId="0" xr:uid="{00000000-0006-0000-0700-00007C000000}">
      <text>
        <r>
          <rPr>
            <sz val="11"/>
            <rFont val="Calibri"/>
          </rPr>
          <t>The F5 BIG-IP appliance must record time stamps for audit records that can be mapped to Coordinated Universal Time (UTC).</t>
        </r>
      </text>
    </comment>
    <comment ref="J158" authorId="0" shapeId="0" xr:uid="{00000000-0006-0000-0700-00007D000000}">
      <text>
        <r>
          <rPr>
            <sz val="11"/>
            <rFont val="Calibri"/>
          </rPr>
          <t>The F5 BIG-IP appliance must generate traffic log entries containing information to establish the details of the event, including success or failure of the application of the firewall rule.</t>
        </r>
      </text>
    </comment>
    <comment ref="K158" authorId="0" shapeId="0" xr:uid="{00000000-0006-0000-0700-00007E000000}">
      <text>
        <r>
          <rPr>
            <sz val="11"/>
            <rFont val="Calibri"/>
          </rPr>
          <t>In the event that communication with the central audit server is lost, the F5 BIG-IP appliance must continue to queue traffic log records locally.</t>
        </r>
      </text>
    </comment>
    <comment ref="L158" authorId="0" shapeId="0" xr:uid="{00000000-0006-0000-0700-00007F000000}">
      <text>
        <r>
          <rPr>
            <sz val="11"/>
            <rFont val="Calibri"/>
          </rPr>
          <t>The F5 BIG-IP appliance must be configured to use TCP when sending log records to the central audit server.</t>
        </r>
      </text>
    </comment>
    <comment ref="H165" authorId="0" shapeId="0" xr:uid="{00000000-0006-0000-0700-000080000000}">
      <text>
        <r>
          <rPr>
            <sz val="11"/>
            <rFont val="Calibri"/>
          </rPr>
          <t>The F5 BIG-IP appliance that provides intermediary services for SMTP must inspect inbound and outbound SMTP and Extended SMTP communications traffic for protocol compliance and protocol anomalies.</t>
        </r>
      </text>
    </comment>
    <comment ref="I165" authorId="0" shapeId="0" xr:uid="{00000000-0006-0000-0700-000081000000}">
      <text>
        <r>
          <rPr>
            <sz val="11"/>
            <rFont val="Calibri"/>
          </rPr>
          <t>The F5 BIG-IP appliance that intermediary services for FTP must inspect inbound and outbound FTP communications traffic for protocol compliance and protocol anomalies.</t>
        </r>
      </text>
    </comment>
    <comment ref="J165" authorId="0" shapeId="0" xr:uid="{00000000-0006-0000-0700-000082000000}">
      <text>
        <r>
          <rPr>
            <sz val="11"/>
            <rFont val="Calibri"/>
          </rPr>
          <t>The F5 BIG-IP appliance that provides intermediary services for HTTP must inspect inbound and outbound HTTP traffic for protocol compliance and protocol anomalies.</t>
        </r>
      </text>
    </comment>
    <comment ref="K165" authorId="0" shapeId="0" xr:uid="{00000000-0006-0000-0700-000083000000}">
      <text>
        <r>
          <rPr>
            <sz val="11"/>
            <rFont val="Calibri"/>
          </rPr>
          <t>The F5 BIG-IP appliance providing content filtering must employ rate-based attack prevention behavior analysis.</t>
        </r>
      </text>
    </comment>
    <comment ref="L165" authorId="0" shapeId="0" xr:uid="{00000000-0006-0000-0700-000084000000}">
      <text>
        <r>
          <rPr>
            <sz val="11"/>
            <rFont val="Calibri"/>
          </rPr>
          <t>The F5 BIG-IP appliance providing content filtering must protect against or limit the effects of known and unknown types of denial-of-service (DoS) attacks by employing pattern recognition pre-processors.</t>
        </r>
      </text>
    </comment>
    <comment ref="M165" authorId="0" shapeId="0" xr:uid="{00000000-0006-0000-0700-000085000000}">
      <text>
        <r>
          <rPr>
            <sz val="11"/>
            <rFont val="Calibri"/>
          </rPr>
          <t>The F5 BIG-IP appliance must employ filters that prevent or limit the effects of all types of commonly known denial-of-service (DoS) attacks, including flooding, packet sweeps, and unauthorized port scanning.</t>
        </r>
      </text>
    </comment>
    <comment ref="N165" authorId="0" shapeId="0" xr:uid="{00000000-0006-0000-0700-000086000000}">
      <text>
        <r>
          <rPr>
            <sz val="11"/>
            <rFont val="Calibri"/>
          </rPr>
          <t>The F5 BIG-IP appliance must generate an alert that can be forwarded to, at a minimum, the information system security officer (ISSO) and information system security manager (ISSM) when denial-of-service (DoS) incidents are detected.</t>
        </r>
      </text>
    </comment>
    <comment ref="O165" authorId="0" shapeId="0" xr:uid="{00000000-0006-0000-0700-000087000000}">
      <text>
        <r>
          <rPr>
            <sz val="11"/>
            <rFont val="Calibri"/>
          </rPr>
          <t>The F5 BIG-IP appliance must be configured to block all outbound management traffic.</t>
        </r>
      </text>
    </comment>
    <comment ref="H168" authorId="0" shapeId="0" xr:uid="{00000000-0006-0000-0700-000088000000}">
      <text>
        <r>
          <rPr>
            <sz val="11"/>
            <rFont val="Calibri"/>
          </rPr>
          <t>To protect against data mining, the F5 BIG-IP appliance providing content filtering must prevent code injection attacks from being launched against data storage objects, including, at a minimum, databases, database records, queries, and fields.</t>
        </r>
      </text>
    </comment>
    <comment ref="I168" authorId="0" shapeId="0" xr:uid="{00000000-0006-0000-0700-000089000000}">
      <text>
        <r>
          <rPr>
            <sz val="11"/>
            <rFont val="Calibri"/>
          </rPr>
          <t>To protect against data mining, the F5 BIG-IP appliance providing content filtering must prevent code injection attacks launched against application objects including, at a minimum, application URLs and application code.</t>
        </r>
      </text>
    </comment>
    <comment ref="J168" authorId="0" shapeId="0" xr:uid="{00000000-0006-0000-0700-00008A000000}">
      <text>
        <r>
          <rPr>
            <sz val="11"/>
            <rFont val="Calibri"/>
          </rPr>
          <t>To protect against data mining, the F5 BIG-IP appliance providing content filtering must prevent SQL injection attacks launched against data storage objects, including, at a minimum, databases, database records, and database fields.</t>
        </r>
      </text>
    </comment>
    <comment ref="K168" authorId="0" shapeId="0" xr:uid="{00000000-0006-0000-0700-00008B000000}">
      <text>
        <r>
          <rPr>
            <sz val="11"/>
            <rFont val="Calibri"/>
          </rPr>
          <t>The F5 BIG-IP appliance must check the validity of all data inputs except those specifically identified by the organization.</t>
        </r>
      </text>
    </comment>
    <comment ref="L168" authorId="0" shapeId="0" xr:uid="{00000000-0006-0000-0700-00008C000000}">
      <text>
        <r>
          <rPr>
            <sz val="11"/>
            <rFont val="Calibri"/>
          </rPr>
          <t>The F5 BIG-IP appliance providing content filtering must automatically update malicious code protection mechanisms.</t>
        </r>
      </text>
    </comment>
    <comment ref="M168" authorId="0" shapeId="0" xr:uid="{00000000-0006-0000-0700-00008D000000}">
      <text>
        <r>
          <rPr>
            <sz val="11"/>
            <rFont val="Calibri"/>
          </rPr>
          <t>The F5 BIG-IP appliance providing content filtering must detect use of network services that have not been authorized or approved by the information system security manager (ISSM) and information system security officer (ISSO), at a minimum.</t>
        </r>
      </text>
    </comment>
    <comment ref="H221" authorId="0" shapeId="0" xr:uid="{00000000-0006-0000-0700-00008E000000}">
      <text>
        <r>
          <rPr>
            <sz val="11"/>
            <rFont val="Calibri"/>
          </rPr>
          <t>The F5 BIG-IP appliance must conduct backups of the configuration at a weekly or organization-defined frequency and store on a separate device.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F5 BIG-IP appliance must terminate shared/group account credentials when members leave the group.</t>
        </r>
      </text>
    </comment>
    <comment ref="H37" authorId="0" shapeId="0" xr:uid="{00000000-0006-0000-0800-000002000000}">
      <text>
        <r>
          <rPr>
            <sz val="11"/>
            <rFont val="Calibri"/>
          </rPr>
          <t>The F5 BIG-IP appliance must be configured with only one local account to be used as the account of last resort in the event the authentication server is unavailable.</t>
        </r>
      </text>
    </comment>
    <comment ref="G43" authorId="0" shapeId="0" xr:uid="{00000000-0006-0000-0800-000003000000}">
      <text>
        <r>
          <rPr>
            <sz val="11"/>
            <rFont val="Calibri"/>
          </rPr>
          <t>The F5 BIG-IP appliance must enforce a minimum 15-character password length.</t>
        </r>
      </text>
    </comment>
    <comment ref="H43" authorId="0" shapeId="0" xr:uid="{00000000-0006-0000-0800-000007000000}">
      <text>
        <r>
          <rPr>
            <sz val="11"/>
            <rFont val="Calibri"/>
          </rPr>
          <t>The F5 BIG-IP appliance must enforce password complexity by requiring that at least one uppercase character be used.</t>
        </r>
      </text>
    </comment>
    <comment ref="I43" authorId="0" shapeId="0" xr:uid="{00000000-0006-0000-0800-000004000000}">
      <text>
        <r>
          <rPr>
            <sz val="11"/>
            <rFont val="Calibri"/>
          </rPr>
          <t>The F5 BIG-IP appliance must enforce password complexity by requiring that at least one lowercase character be used.</t>
        </r>
      </text>
    </comment>
    <comment ref="J43" authorId="0" shapeId="0" xr:uid="{00000000-0006-0000-0800-000005000000}">
      <text>
        <r>
          <rPr>
            <sz val="11"/>
            <rFont val="Calibri"/>
          </rPr>
          <t>The F5 BIG-IP appliance must enforce password complexity by requiring that at least one numeric character be used.</t>
        </r>
      </text>
    </comment>
    <comment ref="K43" authorId="0" shapeId="0" xr:uid="{00000000-0006-0000-0800-000006000000}">
      <text>
        <r>
          <rPr>
            <sz val="11"/>
            <rFont val="Calibri"/>
          </rPr>
          <t>The F5 BIG-IP appliance must enforce password complexity by requiring that at least one special character be used.</t>
        </r>
      </text>
    </comment>
    <comment ref="G44" authorId="0" shapeId="0" xr:uid="{00000000-0006-0000-0800-000008000000}">
      <text>
        <r>
          <rPr>
            <sz val="11"/>
            <rFont val="Calibri"/>
          </rPr>
          <t>The F5 BIG-IP appliance must enforce a minimum 15-character password length.</t>
        </r>
      </text>
    </comment>
    <comment ref="H44" authorId="0" shapeId="0" xr:uid="{00000000-0006-0000-0800-00000A000000}">
      <text>
        <r>
          <rPr>
            <sz val="11"/>
            <rFont val="Calibri"/>
          </rPr>
          <t>The F5 BIG-IP appliance must enforce password complexity by requiring that at least one uppercase character be used.</t>
        </r>
      </text>
    </comment>
    <comment ref="I44" authorId="0" shapeId="0" xr:uid="{00000000-0006-0000-0800-00000B000000}">
      <text>
        <r>
          <rPr>
            <sz val="11"/>
            <rFont val="Calibri"/>
          </rPr>
          <t>The F5 BIG-IP appliance must enforce password complexity by requiring that at least one lowercase character be used.</t>
        </r>
      </text>
    </comment>
    <comment ref="J44" authorId="0" shapeId="0" xr:uid="{00000000-0006-0000-0800-00000C000000}">
      <text>
        <r>
          <rPr>
            <sz val="11"/>
            <rFont val="Calibri"/>
          </rPr>
          <t>The F5 BIG-IP appliance must enforce password complexity by requiring that at least one numeric character be used.</t>
        </r>
      </text>
    </comment>
    <comment ref="K44" authorId="0" shapeId="0" xr:uid="{00000000-0006-0000-0800-00000D000000}">
      <text>
        <r>
          <rPr>
            <sz val="11"/>
            <rFont val="Calibri"/>
          </rPr>
          <t>The F5 BIG-IP appliance must enforce password complexity by requiring that at least one special character be used.</t>
        </r>
      </text>
    </comment>
    <comment ref="L44" authorId="0" shapeId="0" xr:uid="{00000000-0006-0000-0800-000009000000}">
      <text>
        <r>
          <rPr>
            <sz val="11"/>
            <rFont val="Calibri"/>
          </rPr>
          <t>The F5 BIG-IP appliance must require that when a password is changed, the characters are changed in at least eight of the positions within the password.</t>
        </r>
      </text>
    </comment>
    <comment ref="G45" authorId="0" shapeId="0" xr:uid="{00000000-0006-0000-0800-00000E000000}">
      <text>
        <r>
          <rPr>
            <sz val="11"/>
            <rFont val="Calibri"/>
          </rPr>
          <t>The F5 BIG-IP appliance must be configured to enforce the limit of three consecutive invalid logon attempts, after which time it must block any login attempt for at least 15 minutes.</t>
        </r>
      </text>
    </comment>
    <comment ref="G46" authorId="0" shapeId="0" xr:uid="{00000000-0006-0000-0800-00000F000000}">
      <text>
        <r>
          <rPr>
            <sz val="11"/>
            <rFont val="Calibri"/>
          </rPr>
          <t>The F5 BIG-IP appliance must set the idle time before automatic logout to five minutes of inactivity except to fulfill documented and validated mission requirements.</t>
        </r>
      </text>
    </comment>
    <comment ref="H46" authorId="0" shapeId="0" xr:uid="{00000000-0006-0000-0800-000010000000}">
      <text>
        <r>
          <rPr>
            <sz val="11"/>
            <rFont val="Calibri"/>
          </rPr>
          <t>The F5 BIG-IP appliance must terminate all network connections associated with a communications session at the end of the session or after 15 minutes of inactivity.</t>
        </r>
      </text>
    </comment>
    <comment ref="I46" authorId="0" shapeId="0" xr:uid="{00000000-0006-0000-0800-000011000000}">
      <text>
        <r>
          <rPr>
            <sz val="11"/>
            <rFont val="Calibri"/>
          </rPr>
          <t>The F5 BIG-IP appliance must be configured to limit authenticated client sessions to initial session source IP.</t>
        </r>
      </text>
    </comment>
    <comment ref="G52" authorId="0" shapeId="0" xr:uid="{00000000-0006-0000-0800-000012000000}">
      <text>
        <r>
          <rPr>
            <sz val="11"/>
            <rFont val="Calibri"/>
          </rPr>
          <t>The F5 BIG-IP appliance must be configured to assign appropriate user roles or access levels to authenticated users.</t>
        </r>
      </text>
    </comment>
    <comment ref="H52" authorId="0" shapeId="0" xr:uid="{00000000-0006-0000-0800-000013000000}">
      <text>
        <r>
          <rPr>
            <sz val="11"/>
            <rFont val="Calibri"/>
          </rPr>
          <t>The F5 BIG-IP appliance must be configured to use multifactor authentication (MFA) for interactive logins.</t>
        </r>
      </text>
    </comment>
    <comment ref="I52" authorId="0" shapeId="0" xr:uid="{00000000-0006-0000-0800-000014000000}">
      <text>
        <r>
          <rPr>
            <sz val="11"/>
            <rFont val="Calibri"/>
          </rPr>
          <t>The F5 BIG-IP appliance providing user access control intermediary services must enforce approved authorizations for logical access to information and system resources by employing identity-based, role-based, and/or attribute-based security policies.</t>
        </r>
      </text>
    </comment>
    <comment ref="J52" authorId="0" shapeId="0" xr:uid="{00000000-0006-0000-0800-000015000000}">
      <text>
        <r>
          <rPr>
            <sz val="11"/>
            <rFont val="Calibri"/>
          </rPr>
          <t>The F5 BIG-IP appliance providing user authentication intermediary services must uniquely identify and authenticate users using redundant authentication servers and multifactor authentication (MFA).</t>
        </r>
      </text>
    </comment>
    <comment ref="G53" authorId="0" shapeId="0" xr:uid="{00000000-0006-0000-0800-000016000000}">
      <text>
        <r>
          <rPr>
            <sz val="11"/>
            <rFont val="Calibri"/>
          </rPr>
          <t>The F5 BIG-IP appliance must be configured to use multifactor authentication (MFA) for interactive logins.</t>
        </r>
      </text>
    </comment>
    <comment ref="H53" authorId="0" shapeId="0" xr:uid="{00000000-0006-0000-0800-000017000000}">
      <text>
        <r>
          <rPr>
            <sz val="11"/>
            <rFont val="Calibri"/>
          </rPr>
          <t>The F5 BIG-IP appliance providing user authentication intermediary services must uniquely identify and authenticate users using redundant authentication servers and multifactor authentication (MFA).</t>
        </r>
      </text>
    </comment>
    <comment ref="G55" authorId="0" shapeId="0" xr:uid="{00000000-0006-0000-0800-000018000000}">
      <text>
        <r>
          <rPr>
            <sz val="11"/>
            <rFont val="Calibri"/>
          </rPr>
          <t>The F5 BIG-IP appliance must be configured to audit the execution of privileged functions such as accounts additions and changes.</t>
        </r>
      </text>
    </comment>
    <comment ref="G63" authorId="0" shapeId="0" xr:uid="{00000000-0006-0000-0800-000019000000}">
      <text>
        <r>
          <rPr>
            <sz val="11"/>
            <rFont val="Calibri"/>
          </rPr>
          <t>The F5 BIG-IP appliance must be running an operating system release that is currently supported by the vendor.</t>
        </r>
      </text>
    </comment>
    <comment ref="G64" authorId="0" shapeId="0" xr:uid="{00000000-0006-0000-0800-00001A000000}">
      <text>
        <r>
          <rPr>
            <sz val="11"/>
            <rFont val="Calibri"/>
          </rPr>
          <t>The F5 BIG-IP appliance must be configured to prohibit the use of all unnecessary and/or nonsecure functions, ports, protocols, and/or services.</t>
        </r>
      </text>
    </comment>
    <comment ref="H64" authorId="0" shapeId="0" xr:uid="{00000000-0006-0000-0800-00001B000000}">
      <text>
        <r>
          <rPr>
            <sz val="11"/>
            <rFont val="Calibri"/>
          </rPr>
          <t>The F5 BIG-IP appliance must be configured to prohibit or restrict the use of unnecessary or prohibited functions, ports, protocols, and/or services, including those defined in the PPSM CAL and vulnerability assessments.</t>
        </r>
      </text>
    </comment>
    <comment ref="G69" authorId="0" shapeId="0" xr:uid="{00000000-0006-0000-0800-00001C000000}">
      <text>
        <r>
          <rPr>
            <sz val="11"/>
            <rFont val="Calibri"/>
          </rPr>
          <t>The F5 BIG-IP appliance must generate audit records and send records to redundant central syslog servers that are separate from the appliance.</t>
        </r>
      </text>
    </comment>
    <comment ref="H69" authorId="0" shapeId="0" xr:uid="{00000000-0006-0000-0800-00001E000000}">
      <text>
        <r>
          <rPr>
            <sz val="11"/>
            <rFont val="Calibri"/>
          </rPr>
          <t>The F5 BIG-IP appliance must record time stamps for audit records that can be mapped to Coordinated Universal Time (UTC).</t>
        </r>
      </text>
    </comment>
    <comment ref="I69" authorId="0" shapeId="0" xr:uid="{00000000-0006-0000-0800-00001F000000}">
      <text>
        <r>
          <rPr>
            <sz val="11"/>
            <rFont val="Calibri"/>
          </rPr>
          <t>The F5 BIG-IP appliance providing content filtering must automatically update malicious code protection mechanisms.</t>
        </r>
      </text>
    </comment>
    <comment ref="J69" authorId="0" shapeId="0" xr:uid="{00000000-0006-0000-0800-000020000000}">
      <text>
        <r>
          <rPr>
            <sz val="11"/>
            <rFont val="Calibri"/>
          </rPr>
          <t>The F5 BIG-IP appliance providing content filtering must detect use of network services that have not been authorized or approved by the information system security manager (ISSM) and information system security officer (ISSO), at a minimum.</t>
        </r>
      </text>
    </comment>
    <comment ref="K69" authorId="0" shapeId="0" xr:uid="{00000000-0006-0000-0800-000021000000}">
      <text>
        <r>
          <rPr>
            <sz val="11"/>
            <rFont val="Calibri"/>
          </rPr>
          <t>The F5 BIG-IP appliance must generate traffic log entries containing information to establish the details of the event, including success or failure of the application of the firewall rule.</t>
        </r>
      </text>
    </comment>
    <comment ref="L69" authorId="0" shapeId="0" xr:uid="{00000000-0006-0000-0800-000022000000}">
      <text>
        <r>
          <rPr>
            <sz val="11"/>
            <rFont val="Calibri"/>
          </rPr>
          <t>In the event that communication with the central audit server is lost, the F5 BIG-IP appliance must continue to queue traffic log records locally.</t>
        </r>
      </text>
    </comment>
    <comment ref="M69" authorId="0" shapeId="0" xr:uid="{00000000-0006-0000-0800-00001D000000}">
      <text>
        <r>
          <rPr>
            <sz val="11"/>
            <rFont val="Calibri"/>
          </rPr>
          <t>The F5 BIG-IP appliance must be configured to use TCP when sending log records to the central audit server.</t>
        </r>
      </text>
    </comment>
    <comment ref="G74" authorId="0" shapeId="0" xr:uid="{00000000-0006-0000-0800-000023000000}">
      <text>
        <r>
          <rPr>
            <sz val="11"/>
            <rFont val="Calibri"/>
          </rPr>
          <t>The F5 BIG-IP appliance providing content filtering must employ rate-based attack prevention behavior analysis.</t>
        </r>
      </text>
    </comment>
    <comment ref="H74" authorId="0" shapeId="0" xr:uid="{00000000-0006-0000-0800-000025000000}">
      <text>
        <r>
          <rPr>
            <sz val="11"/>
            <rFont val="Calibri"/>
          </rPr>
          <t>The F5 BIG-IP appliance providing content filtering must protect against or limit the effects of known and unknown types of denial-of-service (DoS) attacks by employing pattern recognition pre-processors.</t>
        </r>
      </text>
    </comment>
    <comment ref="I74" authorId="0" shapeId="0" xr:uid="{00000000-0006-0000-0800-000026000000}">
      <text>
        <r>
          <rPr>
            <sz val="11"/>
            <rFont val="Calibri"/>
          </rPr>
          <t>The F5 BIG-IP appliance that filters traffic from the VPN access points must be configured with organization-defined filtering rules that apply to the monitoring of remote access traffic.</t>
        </r>
      </text>
    </comment>
    <comment ref="J74" authorId="0" shapeId="0" xr:uid="{00000000-0006-0000-0800-000027000000}">
      <text>
        <r>
          <rPr>
            <sz val="11"/>
            <rFont val="Calibri"/>
          </rPr>
          <t>The F5 BIG-IP appliance must be configured to use filters that use packet headers and packet attributes, including source and destination IP addresses and ports, to prevent the flow of unauthorized or suspicious traffic between interconnected networks with different security policies, including perimeter firewalls and server VLANs.</t>
        </r>
      </text>
    </comment>
    <comment ref="K74" authorId="0" shapeId="0" xr:uid="{00000000-0006-0000-0800-000028000000}">
      <text>
        <r>
          <rPr>
            <sz val="11"/>
            <rFont val="Calibri"/>
          </rPr>
          <t>The F5 BIG-IP appliance must employ filters that prevent or limit the effects of all types of commonly known denial-of-service (DoS) attacks, including flooding, packet sweeps, and unauthorized port scanning.</t>
        </r>
      </text>
    </comment>
    <comment ref="L74" authorId="0" shapeId="0" xr:uid="{00000000-0006-0000-0800-000029000000}">
      <text>
        <r>
          <rPr>
            <sz val="11"/>
            <rFont val="Calibri"/>
          </rPr>
          <t>The F5 BIG-IP appliance must generate an alert that can be forwarded to, at a minimum, the information system security officer (ISSO) and information system security manager (ISSM) when denial-of-service (DoS) incidents are detected.</t>
        </r>
      </text>
    </comment>
    <comment ref="M74" authorId="0" shapeId="0" xr:uid="{00000000-0006-0000-0800-00002A000000}">
      <text>
        <r>
          <rPr>
            <sz val="11"/>
            <rFont val="Calibri"/>
          </rPr>
          <t>The F5 BIG-IP appliance must be configured to inspect all inbound and outbound traffic at the application layer.</t>
        </r>
      </text>
    </comment>
    <comment ref="N74" authorId="0" shapeId="0" xr:uid="{00000000-0006-0000-0800-000024000000}">
      <text>
        <r>
          <rPr>
            <sz val="11"/>
            <rFont val="Calibri"/>
          </rPr>
          <t>The BIG-IP appliance perimeter firewall must be configured to filter traffic destined to the enclave in accordance with the specific traffic that is approved and registered in the Ports, Protocols, and Services Management (PPSM) Category Assurance List (CAL) and vulnerability assessments.</t>
        </r>
      </text>
    </comment>
    <comment ref="G77" authorId="0" shapeId="0" xr:uid="{00000000-0006-0000-0800-00002B000000}">
      <text>
        <r>
          <rPr>
            <sz val="11"/>
            <rFont val="Calibri"/>
          </rPr>
          <t>The F5 BIG-IP appliance that filters traffic from the VPN access points must be configured with organization-defined filtering rules that apply to the monitoring of remote access traffic.</t>
        </r>
      </text>
    </comment>
    <comment ref="H77" authorId="0" shapeId="0" xr:uid="{00000000-0006-0000-0800-00002C000000}">
      <text>
        <r>
          <rPr>
            <sz val="11"/>
            <rFont val="Calibri"/>
          </rPr>
          <t>The F5 BIG-IP appliance must be configured to use filters that use packet headers and packet attributes, including source and destination IP addresses and ports, to prevent the flow of unauthorized or suspicious traffic between interconnected networks with different security policies, including perimeter firewalls and server VLANs.</t>
        </r>
      </text>
    </comment>
    <comment ref="I77" authorId="0" shapeId="0" xr:uid="{00000000-0006-0000-0800-00002D000000}">
      <text>
        <r>
          <rPr>
            <sz val="11"/>
            <rFont val="Calibri"/>
          </rPr>
          <t>The F5 BIG-IP appliance must be configured to inspect all inbound and outbound traffic at the application layer.</t>
        </r>
      </text>
    </comment>
    <comment ref="J77" authorId="0" shapeId="0" xr:uid="{00000000-0006-0000-0800-00002E000000}">
      <text>
        <r>
          <rPr>
            <sz val="11"/>
            <rFont val="Calibri"/>
          </rPr>
          <t>The BIG-IP appliance perimeter firewall must be configured to filter traffic destined to the enclave in accordance with the specific traffic that is approved and registered in the Ports, Protocols, and Services Management (PPSM) Category Assurance List (CAL) and vulnerability assessments.</t>
        </r>
      </text>
    </comment>
    <comment ref="G81" authorId="0" shapeId="0" xr:uid="{00000000-0006-0000-0800-00002F000000}">
      <text>
        <r>
          <rPr>
            <sz val="11"/>
            <rFont val="Calibri"/>
          </rPr>
          <t>The F5 BIG-IP appliance providing intermediary services for remote access communications traffic must ensure inbound and outbound traffic is monitored for compliance with remote access security policies.</t>
        </r>
      </text>
    </comment>
    <comment ref="G82" authorId="0" shapeId="0" xr:uid="{00000000-0006-0000-0800-000030000000}">
      <text>
        <r>
          <rPr>
            <sz val="11"/>
            <rFont val="Calibri"/>
          </rPr>
          <t>The F5 BIG-IP appliance providing intermediary services for remote access must use FIPS-validated cryptographic algorithms, including TLS 1.2 at a minimum.</t>
        </r>
      </text>
    </comment>
    <comment ref="H82" authorId="0" shapeId="0" xr:uid="{00000000-0006-0000-0800-000035000000}">
      <text>
        <r>
          <rPr>
            <sz val="11"/>
            <rFont val="Calibri"/>
          </rPr>
          <t>The F5 BIG-IP appliance must be configured to use cryptographic algorithms approved by NSA to protect NSS for remote access to a classified network.</t>
        </r>
      </text>
    </comment>
    <comment ref="I82" authorId="0" shapeId="0" xr:uid="{00000000-0006-0000-0800-000036000000}">
      <text>
        <r>
          <rPr>
            <sz val="11"/>
            <rFont val="Calibri"/>
          </rPr>
          <t>The F5 BIG-IP appliance providing remote access intermediary services must disable split-tunneling for remote clients</t>
        </r>
        <r>
          <rPr>
            <sz val="11"/>
            <color rgb="FF000000"/>
            <rFont val="Calibri"/>
          </rPr>
          <t>'</t>
        </r>
        <r>
          <rPr>
            <sz val="11"/>
            <color rgb="FF000000"/>
            <rFont val="Calibri"/>
          </rPr>
          <t xml:space="preserve"> VPNs.</t>
        </r>
      </text>
    </comment>
    <comment ref="J82" authorId="0" shapeId="0" xr:uid="{00000000-0006-0000-0800-000037000000}">
      <text>
        <r>
          <rPr>
            <sz val="11"/>
            <rFont val="Calibri"/>
          </rPr>
          <t>The F5 BIG-IP appliance providing remote access intermediary services must be configured to route sessions to an IDPS for inspection.</t>
        </r>
      </text>
    </comment>
    <comment ref="K82" authorId="0" shapeId="0" xr:uid="{00000000-0006-0000-0800-000038000000}">
      <text>
        <r>
          <rPr>
            <sz val="11"/>
            <rFont val="Calibri"/>
          </rPr>
          <t>The F5 BIG-IP appliance must be configured to use a Diffie-Hellman (DH) Group of 16 or greater for Internet Key Exchange (IKE) Phase 1.</t>
        </r>
      </text>
    </comment>
    <comment ref="L82" authorId="0" shapeId="0" xr:uid="{00000000-0006-0000-0800-000039000000}">
      <text>
        <r>
          <rPr>
            <sz val="11"/>
            <rFont val="Calibri"/>
          </rPr>
          <t>The F5 BIG-IP appliance IPsec VPN Gateway must use AES256 or higher encryption for the Internet Key Exchange (IKE) proposal to protect confidentiality of remote access sessions.</t>
        </r>
      </text>
    </comment>
    <comment ref="M82" authorId="0" shapeId="0" xr:uid="{00000000-0006-0000-0800-00003A000000}">
      <text>
        <r>
          <rPr>
            <sz val="11"/>
            <rFont val="Calibri"/>
          </rPr>
          <t>The F5 BIG-IP appliance IPsec VPN must use AES256 or greater encryption for the IPsec proposal.</t>
        </r>
      </text>
    </comment>
    <comment ref="N82" authorId="0" shapeId="0" xr:uid="{00000000-0006-0000-0800-00003B000000}">
      <text>
        <r>
          <rPr>
            <sz val="11"/>
            <rFont val="Calibri"/>
          </rPr>
          <t>The F5 BIG-IP appliance IPsec VPN must ensure inbound and outbound traffic is configured with a security policy.</t>
        </r>
      </text>
    </comment>
    <comment ref="O82" authorId="0" shapeId="0" xr:uid="{00000000-0006-0000-0800-000031000000}">
      <text>
        <r>
          <rPr>
            <sz val="11"/>
            <rFont val="Calibri"/>
          </rPr>
          <t>For accounts using password authentication, the F5 BIG-IP appliance site-to-site IPsec VPN Gateway must use SHA-2 or later protocol to protect the integrity of the password authentication process.</t>
        </r>
      </text>
    </comment>
    <comment ref="P82" authorId="0" shapeId="0" xr:uid="{00000000-0006-0000-0800-000032000000}">
      <text>
        <r>
          <rPr>
            <sz val="11"/>
            <rFont val="Calibri"/>
          </rPr>
          <t>The F5 BIG-IP appliance IPsec VPN must use cryptographic algorithms approved by NSA to protect NSS when transporting classified traffic across an unclassified network.</t>
        </r>
      </text>
    </comment>
    <comment ref="Q82" authorId="0" shapeId="0" xr:uid="{00000000-0006-0000-0800-000033000000}">
      <text>
        <r>
          <rPr>
            <sz val="11"/>
            <rFont val="Calibri"/>
          </rPr>
          <t>The F5 BIG-IP appliance IPsec VPN must be configured to use FIPS-validated SHA-2 or higher for Internet Key Exchange (IKE).</t>
        </r>
      </text>
    </comment>
    <comment ref="R82" authorId="0" shapeId="0" xr:uid="{00000000-0006-0000-0800-000034000000}">
      <text>
        <r>
          <rPr>
            <sz val="11"/>
            <rFont val="Calibri"/>
          </rPr>
          <t>The F5 BIG-IP appliance IPsec VPN Gateway must specify Perfect Forward Secrecy (PFS) during Internet Key Exchange (IKE) negotiation.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The F5 BIG-IP appliance must be configured to restrict a consistent inbound IP for the entire management session.</t>
        </r>
      </text>
    </comment>
    <comment ref="M16" authorId="0" shapeId="0" xr:uid="{00000000-0006-0000-0A00-000009000000}">
      <text>
        <r>
          <rPr>
            <sz val="11"/>
            <rFont val="Calibri"/>
          </rPr>
          <t>The F5 BIG-IP appliance that provides intermediary services for SMTP must inspect inbound and outbound SMTP and Extended SMTP communications traffic for protocol compliance and protocol anomalies.</t>
        </r>
      </text>
    </comment>
    <comment ref="N16" authorId="0" shapeId="0" xr:uid="{00000000-0006-0000-0A00-000002000000}">
      <text>
        <r>
          <rPr>
            <sz val="11"/>
            <rFont val="Calibri"/>
          </rPr>
          <t>The F5 BIG-IP appliance that intermediary services for FTP must inspect inbound and outbound FTP communications traffic for protocol compliance and protocol anomalies.</t>
        </r>
      </text>
    </comment>
    <comment ref="O16" authorId="0" shapeId="0" xr:uid="{00000000-0006-0000-0A00-000003000000}">
      <text>
        <r>
          <rPr>
            <sz val="11"/>
            <rFont val="Calibri"/>
          </rPr>
          <t>The F5 BIG-IP appliance that provides intermediary services for HTTP must inspect inbound and outbound HTTP traffic for protocol compliance and protocol anomalies.</t>
        </r>
      </text>
    </comment>
    <comment ref="P16" authorId="0" shapeId="0" xr:uid="{00000000-0006-0000-0A00-000004000000}">
      <text>
        <r>
          <rPr>
            <sz val="11"/>
            <rFont val="Calibri"/>
          </rPr>
          <t>The F5 BIG-IP appliance must be configured to restrict a consistent inbound IP for the entire management session.</t>
        </r>
      </text>
    </comment>
    <comment ref="Q16" authorId="0" shapeId="0" xr:uid="{00000000-0006-0000-0A00-000005000000}">
      <text>
        <r>
          <rPr>
            <sz val="11"/>
            <rFont val="Calibri"/>
          </rPr>
          <t>The F5 BIG-IP appliance that filters traffic from the VPN access points must be configured with organization-defined filtering rules that apply to the monitoring of remote access traffic.</t>
        </r>
      </text>
    </comment>
    <comment ref="R16" authorId="0" shapeId="0" xr:uid="{00000000-0006-0000-0A00-000006000000}">
      <text>
        <r>
          <rPr>
            <sz val="11"/>
            <rFont val="Calibri"/>
          </rPr>
          <t>The F5 BIG-IP appliance must be configured to use filters that use packet headers and packet attributes, including source and destination IP addresses and ports, to prevent the flow of unauthorized or suspicious traffic between interconnected networks with different security policies, including perimeter firewalls and server VLANs.</t>
        </r>
      </text>
    </comment>
    <comment ref="S16" authorId="0" shapeId="0" xr:uid="{00000000-0006-0000-0A00-000007000000}">
      <text>
        <r>
          <rPr>
            <sz val="11"/>
            <rFont val="Calibri"/>
          </rPr>
          <t>The F5 BIG-IP appliance must be configured to inspect all inbound and outbound traffic at the application layer.</t>
        </r>
      </text>
    </comment>
    <comment ref="T16" authorId="0" shapeId="0" xr:uid="{00000000-0006-0000-0A00-000008000000}">
      <text>
        <r>
          <rPr>
            <sz val="11"/>
            <rFont val="Calibri"/>
          </rPr>
          <t>The BIG-IP appliance perimeter firewall must be configured to filter traffic destined to the enclave in accordance with the specific traffic that is approved and registered in the Ports, Protocols, and Services Management (PPSM) Category Assurance List (CAL) and vulnerability assessments.</t>
        </r>
      </text>
    </comment>
    <comment ref="L17" authorId="0" shapeId="0" xr:uid="{00000000-0006-0000-0A00-00000A000000}">
      <text>
        <r>
          <rPr>
            <sz val="11"/>
            <rFont val="Calibri"/>
          </rPr>
          <t>The F5 BIG-IP appliance that filters traffic from the VPN access points must be configured with organization-defined filtering rules that apply to the monitoring of remote access traffic.</t>
        </r>
      </text>
    </comment>
    <comment ref="M17" authorId="0" shapeId="0" xr:uid="{00000000-0006-0000-0A00-00000B000000}">
      <text>
        <r>
          <rPr>
            <sz val="11"/>
            <rFont val="Calibri"/>
          </rPr>
          <t>The F5 BIG-IP appliance must be configured to use filters that use packet headers and packet attributes, including source and destination IP addresses and ports, to prevent the flow of unauthorized or suspicious traffic between interconnected networks with different security policies, including perimeter firewalls and server VLANs.</t>
        </r>
      </text>
    </comment>
    <comment ref="N17" authorId="0" shapeId="0" xr:uid="{00000000-0006-0000-0A00-00000C000000}">
      <text>
        <r>
          <rPr>
            <sz val="11"/>
            <rFont val="Calibri"/>
          </rPr>
          <t>The F5 BIG-IP appliance must be configured to inspect all inbound and outbound traffic at the application layer.</t>
        </r>
      </text>
    </comment>
    <comment ref="O17" authorId="0" shapeId="0" xr:uid="{00000000-0006-0000-0A00-00000D000000}">
      <text>
        <r>
          <rPr>
            <sz val="11"/>
            <rFont val="Calibri"/>
          </rPr>
          <t>The BIG-IP appliance perimeter firewall must be configured to filter traffic destined to the enclave in accordance with the specific traffic that is approved and registered in the Ports, Protocols, and Services Management (PPSM) Category Assurance List (CAL) and vulnerability assessments.</t>
        </r>
      </text>
    </comment>
    <comment ref="L35" authorId="0" shapeId="0" xr:uid="{00000000-0006-0000-0A00-00000E000000}">
      <text>
        <r>
          <rPr>
            <sz val="11"/>
            <rFont val="Calibri"/>
          </rPr>
          <t>The F5 BIG-IP appliance must be configured to prohibit the use of all unnecessary and/or nonsecure functions, ports, protocols, and/or services.</t>
        </r>
      </text>
    </comment>
    <comment ref="M35" authorId="0" shapeId="0" xr:uid="{00000000-0006-0000-0A00-00000F000000}">
      <text>
        <r>
          <rPr>
            <sz val="11"/>
            <rFont val="Calibri"/>
          </rPr>
          <t>The F5 BIG-IP appliance must be configured to prohibit or restrict the use of unnecessary or prohibited functions, ports, protocols, and/or services, including those defined in the PPSM CAL and vulnerability assessments.</t>
        </r>
      </text>
    </comment>
    <comment ref="L38" authorId="0" shapeId="0" xr:uid="{00000000-0006-0000-0A00-000010000000}">
      <text>
        <r>
          <rPr>
            <sz val="11"/>
            <rFont val="Calibri"/>
          </rPr>
          <t>The F5 BIG-IP appliance providing intermediary services for remote access must use FIPS-validated cryptographic algorithms, including TLS 1.2 at a minimum.</t>
        </r>
      </text>
    </comment>
    <comment ref="M38" authorId="0" shapeId="0" xr:uid="{00000000-0006-0000-0A00-000011000000}">
      <text>
        <r>
          <rPr>
            <sz val="11"/>
            <rFont val="Calibri"/>
          </rPr>
          <t>The F5 BIG-IP appliance must be configured to use cryptographic algorithms approved by NSA to protect NSS for remote access to a classified network.</t>
        </r>
      </text>
    </comment>
    <comment ref="N38" authorId="0" shapeId="0" xr:uid="{00000000-0006-0000-0A00-000012000000}">
      <text>
        <r>
          <rPr>
            <sz val="11"/>
            <rFont val="Calibri"/>
          </rPr>
          <t>The F5 BIG-IP appliance IPsec VPN must use AES256 or greater encryption for the IPsec proposal.</t>
        </r>
      </text>
    </comment>
    <comment ref="O38" authorId="0" shapeId="0" xr:uid="{00000000-0006-0000-0A00-000013000000}">
      <text>
        <r>
          <rPr>
            <sz val="11"/>
            <rFont val="Calibri"/>
          </rPr>
          <t>The F5 BIG-IP appliance IPsec VPN must use cryptographic algorithms approved by NSA to protect NSS when transporting classified traffic across an unclassified network.</t>
        </r>
      </text>
    </comment>
    <comment ref="L84" authorId="0" shapeId="0" xr:uid="{00000000-0006-0000-0A00-000014000000}">
      <text>
        <r>
          <rPr>
            <sz val="11"/>
            <rFont val="Calibri"/>
          </rPr>
          <t>The validity period for the RRSIGs covering a zone</t>
        </r>
        <r>
          <rPr>
            <sz val="11"/>
            <color rgb="FF000000"/>
            <rFont val="Calibri"/>
          </rPr>
          <t>'</t>
        </r>
        <r>
          <rPr>
            <sz val="11"/>
            <color rgb="FF000000"/>
            <rFont val="Calibri"/>
          </rPr>
          <t>s DNSKEY RRSet must be no less than two days and no more than one week.</t>
        </r>
      </text>
    </comment>
    <comment ref="M84" authorId="0" shapeId="0" xr:uid="{00000000-0006-0000-0A00-000028000000}">
      <text>
        <r>
          <rPr>
            <sz val="11"/>
            <rFont val="Calibri"/>
          </rPr>
          <t>An authoritative name server must be configured to enable DNSSEC Resource Records.</t>
        </r>
      </text>
    </comment>
    <comment ref="N84" authorId="0" shapeId="0" xr:uid="{00000000-0006-0000-0A00-000029000000}">
      <text>
        <r>
          <rPr>
            <sz val="11"/>
            <rFont val="Calibri"/>
          </rPr>
          <t>The F5 BIG-IP DNS must use valid root name servers in the local root zone file.</t>
        </r>
      </text>
    </comment>
    <comment ref="O84" authorId="0" shapeId="0" xr:uid="{00000000-0006-0000-0A00-00002A000000}">
      <text>
        <r>
          <rPr>
            <sz val="11"/>
            <rFont val="Calibri"/>
          </rPr>
          <t>The platform on which the name server software is hosted must be configured to respond to DNS traffic only.</t>
        </r>
      </text>
    </comment>
    <comment ref="P84" authorId="0" shapeId="0" xr:uid="{00000000-0006-0000-0A00-00002B000000}">
      <text>
        <r>
          <rPr>
            <sz val="11"/>
            <rFont val="Calibri"/>
          </rPr>
          <t>The digital signature algorithm used for DNSSEC-enabled zones must be set to use RSA/SHA256 or RSA/SHA512.</t>
        </r>
      </text>
    </comment>
    <comment ref="Q84" authorId="0" shapeId="0" xr:uid="{00000000-0006-0000-0A00-00002C000000}">
      <text>
        <r>
          <rPr>
            <sz val="11"/>
            <rFont val="Calibri"/>
          </rPr>
          <t>A BIG-IP DNS server implementation must provide additional data origin artifacts along with the authoritative data the system returns in response to external name/address resolution queries.</t>
        </r>
      </text>
    </comment>
    <comment ref="R84" authorId="0" shapeId="0" xr:uid="{00000000-0006-0000-0A00-00002D000000}">
      <text>
        <r>
          <rPr>
            <sz val="11"/>
            <rFont val="Calibri"/>
          </rPr>
          <t>The validity period for the RRSIGs covering the DS RR for a zones delegated children must be no less than two days and no more than one week.</t>
        </r>
      </text>
    </comment>
    <comment ref="S84" authorId="0" shapeId="0" xr:uid="{00000000-0006-0000-0A00-00002E000000}">
      <text>
        <r>
          <rPr>
            <sz val="11"/>
            <rFont val="Calibri"/>
          </rPr>
          <t>The F5 BIG-IP appliance must obtain its public key certificates from an appropriate certificate policy through an approved service provider.</t>
        </r>
      </text>
    </comment>
    <comment ref="T84" authorId="0" shapeId="0" xr:uid="{00000000-0006-0000-0A00-00002F000000}">
      <text>
        <r>
          <rPr>
            <sz val="11"/>
            <rFont val="Calibri"/>
          </rPr>
          <t>The F5 BIG-IP appliance must be configured to use DOD approved OCSP responders or CRLs to validate certificates used for PKI-based authentication.</t>
        </r>
      </text>
    </comment>
    <comment ref="U84" authorId="0" shapeId="0" xr:uid="{00000000-0006-0000-0A00-000015000000}">
      <text>
        <r>
          <rPr>
            <sz val="11"/>
            <rFont val="Calibri"/>
          </rPr>
          <t>The F5 BIG-IP appliance providing intermediary services for remote access must use FIPS-validated cryptographic algorithms, including TLS 1.2 at a minimum.</t>
        </r>
      </text>
    </comment>
    <comment ref="V84" authorId="0" shapeId="0" xr:uid="{00000000-0006-0000-0A00-000016000000}">
      <text>
        <r>
          <rPr>
            <sz val="11"/>
            <rFont val="Calibri"/>
          </rPr>
          <t>The F5 BIG-IP appliance must configure certification path validation to ensure revoked machine credentials are prohibited from establishing an allowed session.</t>
        </r>
      </text>
    </comment>
    <comment ref="W84" authorId="0" shapeId="0" xr:uid="{00000000-0006-0000-0A00-000017000000}">
      <text>
        <r>
          <rPr>
            <sz val="11"/>
            <rFont val="Calibri"/>
          </rPr>
          <t>The F5 BIG-IP appliance providing user authentication intermediary services using PKI-based user authentication must implement a local cache of revocation data to support path discovery and validation in case of the inability to access revocation information via the network.</t>
        </r>
      </text>
    </comment>
    <comment ref="X84" authorId="0" shapeId="0" xr:uid="{00000000-0006-0000-0A00-000018000000}">
      <text>
        <r>
          <rPr>
            <sz val="11"/>
            <rFont val="Calibri"/>
          </rPr>
          <t>The F5 BIG-IP appliance must configure certificate path validation to ensure revoked user credentials are prohibited from establishing an allowed session.</t>
        </r>
      </text>
    </comment>
    <comment ref="Y84" authorId="0" shapeId="0" xr:uid="{00000000-0006-0000-0A00-000019000000}">
      <text>
        <r>
          <rPr>
            <sz val="11"/>
            <rFont val="Calibri"/>
          </rPr>
          <t>The F5 BIG-IP appliance must be configured to use cryptographic algorithms approved by NSA to protect NSS for remote access to a classified network.</t>
        </r>
      </text>
    </comment>
    <comment ref="Z84" authorId="0" shapeId="0" xr:uid="{00000000-0006-0000-0A00-00001A000000}">
      <text>
        <r>
          <rPr>
            <sz val="11"/>
            <rFont val="Calibri"/>
          </rPr>
          <t>The F5 BIG-IP appliance providing remote access intermediary services must disable split-tunneling for remote clients</t>
        </r>
        <r>
          <rPr>
            <sz val="11"/>
            <color rgb="FF000000"/>
            <rFont val="Calibri"/>
          </rPr>
          <t>'</t>
        </r>
        <r>
          <rPr>
            <sz val="11"/>
            <color rgb="FF000000"/>
            <rFont val="Calibri"/>
          </rPr>
          <t xml:space="preserve"> VPNs.</t>
        </r>
      </text>
    </comment>
    <comment ref="AA84" authorId="0" shapeId="0" xr:uid="{00000000-0006-0000-0A00-00001B000000}">
      <text>
        <r>
          <rPr>
            <sz val="11"/>
            <rFont val="Calibri"/>
          </rPr>
          <t>The F5 BIG-IP appliance providing remote access intermediary services must be configured to route sessions to an IDPS for inspection.</t>
        </r>
      </text>
    </comment>
    <comment ref="AB84" authorId="0" shapeId="0" xr:uid="{00000000-0006-0000-0A00-00001C000000}">
      <text>
        <r>
          <rPr>
            <sz val="11"/>
            <rFont val="Calibri"/>
          </rPr>
          <t>The F5 BIG-IP appliance must be configured to use a Diffie-Hellman (DH) Group of 16 or greater for Internet Key Exchange (IKE) Phase 1.</t>
        </r>
      </text>
    </comment>
    <comment ref="AC84" authorId="0" shapeId="0" xr:uid="{00000000-0006-0000-0A00-00001D000000}">
      <text>
        <r>
          <rPr>
            <sz val="11"/>
            <rFont val="Calibri"/>
          </rPr>
          <t>The F5 BIG-IP appliance IPsec VPN Gateway must use AES256 or higher encryption for the Internet Key Exchange (IKE) proposal to protect confidentiality of remote access sessions.</t>
        </r>
      </text>
    </comment>
    <comment ref="AD84" authorId="0" shapeId="0" xr:uid="{00000000-0006-0000-0A00-00001E000000}">
      <text>
        <r>
          <rPr>
            <sz val="11"/>
            <rFont val="Calibri"/>
          </rPr>
          <t>The F5 BIG-IP appliance IPsec VPN must use AES256 or greater encryption for the IPsec proposal.</t>
        </r>
      </text>
    </comment>
    <comment ref="AE84" authorId="0" shapeId="0" xr:uid="{00000000-0006-0000-0A00-00001F000000}">
      <text>
        <r>
          <rPr>
            <sz val="11"/>
            <rFont val="Calibri"/>
          </rPr>
          <t>The F5 BIG-IP appliance IPsec VPN must ensure inbound and outbound traffic is configured with a security policy.</t>
        </r>
      </text>
    </comment>
    <comment ref="AF84" authorId="0" shapeId="0" xr:uid="{00000000-0006-0000-0A00-000020000000}">
      <text>
        <r>
          <rPr>
            <sz val="11"/>
            <rFont val="Calibri"/>
          </rPr>
          <t>The F5 BIG-IP appliance IPsec VPN Gateway must use Internet Key Exchange (IKE) for IPsec VPN Security Associations (SAs).</t>
        </r>
      </text>
    </comment>
    <comment ref="AG84" authorId="0" shapeId="0" xr:uid="{00000000-0006-0000-0A00-000021000000}">
      <text>
        <r>
          <rPr>
            <sz val="11"/>
            <rFont val="Calibri"/>
          </rPr>
          <t>The IPsec BIG-IP appliance must use IKEv2 for IPsec VPN security associations.</t>
        </r>
      </text>
    </comment>
    <comment ref="AH84" authorId="0" shapeId="0" xr:uid="{00000000-0006-0000-0A00-000022000000}">
      <text>
        <r>
          <rPr>
            <sz val="11"/>
            <rFont val="Calibri"/>
          </rPr>
          <t>The F5 BIG-IP appliance IPsec VPN Gateway must renegotiate the IPsec Phase 1 security association after eight hours or less.</t>
        </r>
      </text>
    </comment>
    <comment ref="AI84" authorId="0" shapeId="0" xr:uid="{00000000-0006-0000-0A00-000023000000}">
      <text>
        <r>
          <rPr>
            <sz val="11"/>
            <rFont val="Calibri"/>
          </rPr>
          <t>The F5 BIG-IP appliance IPsec VPN must renegotiate the IKE Phase 2 security association after eight hours or less.</t>
        </r>
      </text>
    </comment>
    <comment ref="AJ84" authorId="0" shapeId="0" xr:uid="{00000000-0006-0000-0A00-000024000000}">
      <text>
        <r>
          <rPr>
            <sz val="11"/>
            <rFont val="Calibri"/>
          </rPr>
          <t>For accounts using password authentication, the F5 BIG-IP appliance site-to-site IPsec VPN Gateway must use SHA-2 or later protocol to protect the integrity of the password authentication process.</t>
        </r>
      </text>
    </comment>
    <comment ref="AK84" authorId="0" shapeId="0" xr:uid="{00000000-0006-0000-0A00-000025000000}">
      <text>
        <r>
          <rPr>
            <sz val="11"/>
            <rFont val="Calibri"/>
          </rPr>
          <t>The F5 BIG-IP appliance IPsec VPN must use cryptographic algorithms approved by NSA to protect NSS when transporting classified traffic across an unclassified network.</t>
        </r>
      </text>
    </comment>
    <comment ref="AL84" authorId="0" shapeId="0" xr:uid="{00000000-0006-0000-0A00-000026000000}">
      <text>
        <r>
          <rPr>
            <sz val="11"/>
            <rFont val="Calibri"/>
          </rPr>
          <t>The F5 BIG-IP appliance IPsec VPN must be configured to use FIPS-validated SHA-2 or higher for Internet Key Exchange (IKE).</t>
        </r>
      </text>
    </comment>
    <comment ref="AM84" authorId="0" shapeId="0" xr:uid="{00000000-0006-0000-0A00-000027000000}">
      <text>
        <r>
          <rPr>
            <sz val="11"/>
            <rFont val="Calibri"/>
          </rPr>
          <t>The F5 BIG-IP appliance IPsec VPN Gateway must specify Perfect Forward Secrecy (PFS) during Internet Key Exchange (IKE) negotiation.</t>
        </r>
      </text>
    </comment>
    <comment ref="L98" authorId="0" shapeId="0" xr:uid="{00000000-0006-0000-0A00-000030000000}">
      <text>
        <r>
          <rPr>
            <sz val="11"/>
            <rFont val="Calibri"/>
          </rPr>
          <t>The F5 BIG-IP appliance providing content filtering must automatically update malicious code protection mechanisms.</t>
        </r>
      </text>
    </comment>
    <comment ref="M98" authorId="0" shapeId="0" xr:uid="{00000000-0006-0000-0A00-000031000000}">
      <text>
        <r>
          <rPr>
            <sz val="11"/>
            <rFont val="Calibri"/>
          </rPr>
          <t>The F5 BIG-IP appliance providing content filtering must detect use of network services that have not been authorized or approved by the information system security manager (ISSM) and information system security officer (ISSO), at a minimum.</t>
        </r>
      </text>
    </comment>
    <comment ref="L101" authorId="0" shapeId="0" xr:uid="{00000000-0006-0000-0A00-000032000000}">
      <text>
        <r>
          <rPr>
            <sz val="11"/>
            <rFont val="Calibri"/>
          </rPr>
          <t>The F5 BIG-IP appliance providing content filtering must automatically update malicious code protection mechanisms.</t>
        </r>
      </text>
    </comment>
    <comment ref="M101" authorId="0" shapeId="0" xr:uid="{00000000-0006-0000-0A00-000033000000}">
      <text>
        <r>
          <rPr>
            <sz val="11"/>
            <rFont val="Calibri"/>
          </rPr>
          <t>The F5 BIG-IP appliance providing content filtering must detect use of network services that have not been authorized or approved by the information system security manager (ISSM) and information system security officer (ISSO), at a minimum.</t>
        </r>
      </text>
    </comment>
    <comment ref="L111" authorId="0" shapeId="0" xr:uid="{00000000-0006-0000-0A00-000034000000}">
      <text>
        <r>
          <rPr>
            <sz val="11"/>
            <rFont val="Calibri"/>
          </rPr>
          <t>The F5 BIG-IP appliance must be configured to prevent the installation of patches, service packs, or application components without verification the software component has been digitally signed using a certificate that is recognized and approved by the organization.</t>
        </r>
      </text>
    </comment>
    <comment ref="L115" authorId="0" shapeId="0" xr:uid="{00000000-0006-0000-0A00-000035000000}">
      <text>
        <r>
          <rPr>
            <sz val="11"/>
            <rFont val="Calibri"/>
          </rPr>
          <t>The F5 BIG-IP appliance must be configured to prohibit the use of all unnecessary and/or nonsecure functions, ports, protocols, and/or services.</t>
        </r>
      </text>
    </comment>
    <comment ref="M115" authorId="0" shapeId="0" xr:uid="{00000000-0006-0000-0A00-000036000000}">
      <text>
        <r>
          <rPr>
            <sz val="11"/>
            <rFont val="Calibri"/>
          </rPr>
          <t>The F5 BIG-IP appliance must be configured to prohibit or restrict the use of unnecessary or prohibited functions, ports, protocols, and/or services, including those defined in the PPSM CAL and vulnerability assessments.</t>
        </r>
      </text>
    </comment>
    <comment ref="N115" authorId="0" shapeId="0" xr:uid="{00000000-0006-0000-0A00-000037000000}">
      <text>
        <r>
          <rPr>
            <sz val="11"/>
            <rFont val="Calibri"/>
          </rPr>
          <t>The F5 BIG-IP appliance must check the validity of all data inputs except those specifically identified by the organization.</t>
        </r>
      </text>
    </comment>
    <comment ref="O115" authorId="0" shapeId="0" xr:uid="{00000000-0006-0000-0A00-000038000000}">
      <text>
        <r>
          <rPr>
            <sz val="11"/>
            <rFont val="Calibri"/>
          </rPr>
          <t>The F5 BIG-IP appliance must be configured to enable the secure cookie flag.</t>
        </r>
      </text>
    </comment>
    <comment ref="P115" authorId="0" shapeId="0" xr:uid="{00000000-0006-0000-0A00-000039000000}">
      <text>
        <r>
          <rPr>
            <sz val="11"/>
            <rFont val="Calibri"/>
          </rPr>
          <t>The F5 BIG-IP appliance must be configured to disable the persistent cookie flag.</t>
        </r>
      </text>
    </comment>
    <comment ref="L119" authorId="0" shapeId="0" xr:uid="{00000000-0006-0000-0A00-00003A000000}">
      <text>
        <r>
          <rPr>
            <sz val="11"/>
            <rFont val="Calibri"/>
          </rPr>
          <t>The F5 BIG-IP appliance must be running an operating system release that is currently supported by the vendor.</t>
        </r>
      </text>
    </comment>
    <comment ref="L121" authorId="0" shapeId="0" xr:uid="{00000000-0006-0000-0A00-00003B000000}">
      <text>
        <r>
          <rPr>
            <sz val="11"/>
            <rFont val="Calibri"/>
          </rPr>
          <t>To protect against data mining, the F5 BIG-IP appliance providing content filtering must prevent code injection attacks from being launched against data storage objects, including, at a minimum, databases, database records, queries, and fields.</t>
        </r>
      </text>
    </comment>
    <comment ref="M121" authorId="0" shapeId="0" xr:uid="{00000000-0006-0000-0A00-00003C000000}">
      <text>
        <r>
          <rPr>
            <sz val="11"/>
            <rFont val="Calibri"/>
          </rPr>
          <t>To protect against data mining, the F5 BIG-IP appliance providing content filtering must prevent code injection attacks launched against application objects including, at a minimum, application URLs and application code.</t>
        </r>
      </text>
    </comment>
    <comment ref="N121" authorId="0" shapeId="0" xr:uid="{00000000-0006-0000-0A00-00003D000000}">
      <text>
        <r>
          <rPr>
            <sz val="11"/>
            <rFont val="Calibri"/>
          </rPr>
          <t>To protect against data mining, the F5 BIG-IP appliance providing content filtering must prevent SQL injection attacks launched against data storage objects, including, at a minimum, databases, database records, and database fields.</t>
        </r>
      </text>
    </comment>
    <comment ref="L122" authorId="0" shapeId="0" xr:uid="{00000000-0006-0000-0A00-00003E000000}">
      <text>
        <r>
          <rPr>
            <sz val="11"/>
            <rFont val="Calibri"/>
          </rPr>
          <t>To protect against data mining, the F5 BIG-IP appliance providing content filtering must prevent code injection attacks from being launched against data storage objects, including, at a minimum, databases, database records, queries, and fields.</t>
        </r>
      </text>
    </comment>
    <comment ref="M122" authorId="0" shapeId="0" xr:uid="{00000000-0006-0000-0A00-00003F000000}">
      <text>
        <r>
          <rPr>
            <sz val="11"/>
            <rFont val="Calibri"/>
          </rPr>
          <t>To protect against data mining, the F5 BIG-IP appliance providing content filtering must prevent code injection attacks launched against application objects including, at a minimum, application URLs and application code.</t>
        </r>
      </text>
    </comment>
    <comment ref="N122" authorId="0" shapeId="0" xr:uid="{00000000-0006-0000-0A00-000040000000}">
      <text>
        <r>
          <rPr>
            <sz val="11"/>
            <rFont val="Calibri"/>
          </rPr>
          <t>To protect against data mining, the F5 BIG-IP appliance providing content filtering must prevent SQL injection attacks launched against data storage objects, including, at a minimum, databases, database records, and database fields.</t>
        </r>
      </text>
    </comment>
    <comment ref="L136" authorId="0" shapeId="0" xr:uid="{00000000-0006-0000-0A00-000041000000}">
      <text>
        <r>
          <rPr>
            <sz val="11"/>
            <rFont val="Calibri"/>
          </rPr>
          <t>The F5 BIG-IP appliance must be configured to assign appropriate user roles or access levels to authenticated users.</t>
        </r>
      </text>
    </comment>
    <comment ref="M136" authorId="0" shapeId="0" xr:uid="{00000000-0006-0000-0A00-000042000000}">
      <text>
        <r>
          <rPr>
            <sz val="11"/>
            <rFont val="Calibri"/>
          </rPr>
          <t>The F5 BIG-IP appliance providing user access control intermediary services must enforce approved authorizations for logical access to information and system resources by employing identity-based, role-based, and/or attribute-based security policies.</t>
        </r>
      </text>
    </comment>
    <comment ref="L137" authorId="0" shapeId="0" xr:uid="{00000000-0006-0000-0A00-000043000000}">
      <text>
        <r>
          <rPr>
            <sz val="11"/>
            <rFont val="Calibri"/>
          </rPr>
          <t>The F5 BIG-IP appliance must be configured to assign appropriate user roles or access levels to authenticated users.</t>
        </r>
      </text>
    </comment>
    <comment ref="M137" authorId="0" shapeId="0" xr:uid="{00000000-0006-0000-0A00-000044000000}">
      <text>
        <r>
          <rPr>
            <sz val="11"/>
            <rFont val="Calibri"/>
          </rPr>
          <t>The F5 BIG-IP appliance providing user access control intermediary services must enforce approved authorizations for logical access to information and system resources by employing identity-based, role-based, and/or attribute-based security policies.</t>
        </r>
      </text>
    </comment>
    <comment ref="L139" authorId="0" shapeId="0" xr:uid="{00000000-0006-0000-0A00-000045000000}">
      <text>
        <r>
          <rPr>
            <sz val="11"/>
            <rFont val="Calibri"/>
          </rPr>
          <t>The F5 BIG-IP appliance must be configured to audit the execution of privileged functions such as accounts additions and changes.</t>
        </r>
      </text>
    </comment>
    <comment ref="M139" authorId="0" shapeId="0" xr:uid="{00000000-0006-0000-0A00-000046000000}">
      <text>
        <r>
          <rPr>
            <sz val="11"/>
            <rFont val="Calibri"/>
          </rPr>
          <t>The F5 BIG-IP appliance must not use the On-demand Cert Auth VPE agent as part of the APM Policy Profiles.</t>
        </r>
      </text>
    </comment>
    <comment ref="L152" authorId="0" shapeId="0" xr:uid="{00000000-0006-0000-0A00-000047000000}">
      <text>
        <r>
          <rPr>
            <sz val="11"/>
            <rFont val="Calibri"/>
          </rPr>
          <t>The F5 BIG-IP appliance must terminate shared/group account credentials when members leave the group.</t>
        </r>
      </text>
    </comment>
    <comment ref="M152" authorId="0" shapeId="0" xr:uid="{00000000-0006-0000-0A00-000048000000}">
      <text>
        <r>
          <rPr>
            <sz val="11"/>
            <rFont val="Calibri"/>
          </rPr>
          <t>The F5 BIG-IP appliance must be configured with only one local account to be used as the account of last resort in the event the authentication server is unavailable.</t>
        </r>
      </text>
    </comment>
    <comment ref="L154" authorId="0" shapeId="0" xr:uid="{00000000-0006-0000-0A00-000049000000}">
      <text>
        <r>
          <rPr>
            <sz val="11"/>
            <rFont val="Calibri"/>
          </rPr>
          <t>The F5 BIG-IP appliance must be configured to audit the execution of privileged functions such as accounts additions and changes.</t>
        </r>
      </text>
    </comment>
    <comment ref="L155" authorId="0" shapeId="0" xr:uid="{00000000-0006-0000-0A00-00004A000000}">
      <text>
        <r>
          <rPr>
            <sz val="11"/>
            <rFont val="Calibri"/>
          </rPr>
          <t>The F5 BIG-IP appliance must be configured to limit the number of concurrent sessions to the Configuration Utility to 10 or an organization-defined number.</t>
        </r>
      </text>
    </comment>
    <comment ref="M155" authorId="0" shapeId="0" xr:uid="{00000000-0006-0000-0A00-00004B000000}">
      <text>
        <r>
          <rPr>
            <sz val="11"/>
            <rFont val="Calibri"/>
          </rPr>
          <t>The F5 BIG-IP appliance providing user access control intermediary services must limit the number of concurrent sessions to one or an organization-defined number for each access profile.</t>
        </r>
      </text>
    </comment>
    <comment ref="N155" authorId="0" shapeId="0" xr:uid="{00000000-0006-0000-0A00-00004C000000}">
      <text>
        <r>
          <rPr>
            <sz val="11"/>
            <rFont val="Calibri"/>
          </rPr>
          <t>The F5 BIG-IP appliance must be configured to limit authenticated client sessions to initial session source IP.</t>
        </r>
      </text>
    </comment>
    <comment ref="O155" authorId="0" shapeId="0" xr:uid="{00000000-0006-0000-0A00-00004D000000}">
      <text>
        <r>
          <rPr>
            <sz val="11"/>
            <rFont val="Calibri"/>
          </rPr>
          <t xml:space="preserve">The F5 BIG-IP appliance must be configured to set the </t>
        </r>
        <r>
          <rPr>
            <sz val="11"/>
            <color rgb="FF000000"/>
            <rFont val="Calibri"/>
          </rPr>
          <t>"</t>
        </r>
        <r>
          <rPr>
            <b/>
            <sz val="11"/>
            <color rgb="FF000000"/>
            <rFont val="Calibri"/>
          </rPr>
          <t>Max In Progress Sessions per Client IP</t>
        </r>
        <r>
          <rPr>
            <sz val="11"/>
            <color rgb="FF000000"/>
            <rFont val="Calibri"/>
          </rPr>
          <t>"</t>
        </r>
        <r>
          <rPr>
            <sz val="11"/>
            <color rgb="FF000000"/>
            <rFont val="Calibri"/>
          </rPr>
          <t xml:space="preserve"> value to 10 or an organizational-defined number.</t>
        </r>
      </text>
    </comment>
    <comment ref="L156" authorId="0" shapeId="0" xr:uid="{00000000-0006-0000-0A00-00004E000000}">
      <text>
        <r>
          <rPr>
            <sz val="11"/>
            <rFont val="Calibri"/>
          </rPr>
          <t>The F5 BIG-IP appliance must be configured with only one local account to be used as the account of last resort in the event the authentication server is unavailable.</t>
        </r>
      </text>
    </comment>
    <comment ref="L159" authorId="0" shapeId="0" xr:uid="{00000000-0006-0000-0A00-00004F000000}">
      <text>
        <r>
          <rPr>
            <sz val="11"/>
            <rFont val="Calibri"/>
          </rPr>
          <t>The F5 BIG-IP appliance must be configured to display the Standard Mandatory DOD Notice and Consent Banner upon access to the TMOS User Interface.</t>
        </r>
      </text>
    </comment>
    <comment ref="M159" authorId="0" shapeId="0" xr:uid="{00000000-0006-0000-0A00-000050000000}">
      <text>
        <r>
          <rPr>
            <sz val="11"/>
            <rFont val="Calibri"/>
          </rPr>
          <t>The F5 BIG-IP appliance must set the idle time before automatic logout to five minutes of inactivity except to fulfill documented and validated mission requirements.</t>
        </r>
      </text>
    </comment>
    <comment ref="N159" authorId="0" shapeId="0" xr:uid="{00000000-0006-0000-0A00-000051000000}">
      <text>
        <r>
          <rPr>
            <sz val="11"/>
            <rFont val="Calibri"/>
          </rPr>
          <t>The F5 BIG-IP appliance must be configured to display the Standard Mandatory DOD Notice and Consent Banner when accessing via SSH.</t>
        </r>
      </text>
    </comment>
    <comment ref="O159" authorId="0" shapeId="0" xr:uid="{00000000-0006-0000-0A00-000052000000}">
      <text>
        <r>
          <rPr>
            <sz val="11"/>
            <rFont val="Calibri"/>
          </rPr>
          <t>The F5 BIG-IP appliance providing user access control intermediary services must display the Standard Mandatory DOD-approved Notice and Consent Banner before granting access to the network.</t>
        </r>
      </text>
    </comment>
    <comment ref="P159" authorId="0" shapeId="0" xr:uid="{00000000-0006-0000-0A00-000053000000}">
      <text>
        <r>
          <rPr>
            <sz val="11"/>
            <rFont val="Calibri"/>
          </rPr>
          <t>The F5 BIG-IP appliance must terminate all network connections associated with a communications session at the end of the session or after 15 minutes of inactivity.</t>
        </r>
      </text>
    </comment>
    <comment ref="Q159" authorId="0" shapeId="0" xr:uid="{00000000-0006-0000-0A00-000054000000}">
      <text>
        <r>
          <rPr>
            <sz val="11"/>
            <rFont val="Calibri"/>
          </rPr>
          <t>The F5 BIG-IP appliance must be configured to limit authenticated client sessions to initial session source IP.</t>
        </r>
      </text>
    </comment>
    <comment ref="L164" authorId="0" shapeId="0" xr:uid="{00000000-0006-0000-0A00-000055000000}">
      <text>
        <r>
          <rPr>
            <sz val="11"/>
            <rFont val="Calibri"/>
          </rPr>
          <t>The F5 BIG-IP appliance must be configured to enforce the limit of three consecutive invalid logon attempts, after which time it must block any login attempt for at least 15 minutes.</t>
        </r>
      </text>
    </comment>
    <comment ref="L166" authorId="0" shapeId="0" xr:uid="{00000000-0006-0000-0A00-000056000000}">
      <text>
        <r>
          <rPr>
            <sz val="11"/>
            <rFont val="Calibri"/>
          </rPr>
          <t>The F5 BIG-IP appliance must enforce a minimum 15-character password length.</t>
        </r>
      </text>
    </comment>
    <comment ref="M166" authorId="0" shapeId="0" xr:uid="{00000000-0006-0000-0A00-000057000000}">
      <text>
        <r>
          <rPr>
            <sz val="11"/>
            <rFont val="Calibri"/>
          </rPr>
          <t>The F5 BIG-IP appliance must enforce password complexity by requiring that at least one uppercase character be used.</t>
        </r>
      </text>
    </comment>
    <comment ref="N166" authorId="0" shapeId="0" xr:uid="{00000000-0006-0000-0A00-000058000000}">
      <text>
        <r>
          <rPr>
            <sz val="11"/>
            <rFont val="Calibri"/>
          </rPr>
          <t>The F5 BIG-IP appliance must enforce password complexity by requiring that at least one lowercase character be used.</t>
        </r>
      </text>
    </comment>
    <comment ref="O166" authorId="0" shapeId="0" xr:uid="{00000000-0006-0000-0A00-000059000000}">
      <text>
        <r>
          <rPr>
            <sz val="11"/>
            <rFont val="Calibri"/>
          </rPr>
          <t>The F5 BIG-IP appliance must enforce password complexity by requiring that at least one numeric character be used.</t>
        </r>
      </text>
    </comment>
    <comment ref="P166" authorId="0" shapeId="0" xr:uid="{00000000-0006-0000-0A00-00005A000000}">
      <text>
        <r>
          <rPr>
            <sz val="11"/>
            <rFont val="Calibri"/>
          </rPr>
          <t>The F5 BIG-IP appliance must enforce password complexity by requiring that at least one special character be used.</t>
        </r>
      </text>
    </comment>
    <comment ref="L167" authorId="0" shapeId="0" xr:uid="{00000000-0006-0000-0A00-00005B000000}">
      <text>
        <r>
          <rPr>
            <sz val="11"/>
            <rFont val="Calibri"/>
          </rPr>
          <t>The F5 BIG-IP appliance must enforce a minimum 15-character password length.</t>
        </r>
      </text>
    </comment>
    <comment ref="M167" authorId="0" shapeId="0" xr:uid="{00000000-0006-0000-0A00-00005C000000}">
      <text>
        <r>
          <rPr>
            <sz val="11"/>
            <rFont val="Calibri"/>
          </rPr>
          <t>The F5 BIG-IP appliance must enforce password complexity by requiring that at least one uppercase character be used.</t>
        </r>
      </text>
    </comment>
    <comment ref="N167" authorId="0" shapeId="0" xr:uid="{00000000-0006-0000-0A00-00005D000000}">
      <text>
        <r>
          <rPr>
            <sz val="11"/>
            <rFont val="Calibri"/>
          </rPr>
          <t>The F5 BIG-IP appliance must enforce password complexity by requiring that at least one lowercase character be used.</t>
        </r>
      </text>
    </comment>
    <comment ref="O167" authorId="0" shapeId="0" xr:uid="{00000000-0006-0000-0A00-00005E000000}">
      <text>
        <r>
          <rPr>
            <sz val="11"/>
            <rFont val="Calibri"/>
          </rPr>
          <t>The F5 BIG-IP appliance must enforce password complexity by requiring that at least one numeric character be used.</t>
        </r>
      </text>
    </comment>
    <comment ref="P167" authorId="0" shapeId="0" xr:uid="{00000000-0006-0000-0A00-00005F000000}">
      <text>
        <r>
          <rPr>
            <sz val="11"/>
            <rFont val="Calibri"/>
          </rPr>
          <t>The F5 BIG-IP appliance must enforce password complexity by requiring that at least one special character be used.</t>
        </r>
      </text>
    </comment>
    <comment ref="Q167" authorId="0" shapeId="0" xr:uid="{00000000-0006-0000-0A00-000060000000}">
      <text>
        <r>
          <rPr>
            <sz val="11"/>
            <rFont val="Calibri"/>
          </rPr>
          <t>The F5 BIG-IP appliance must require that when a password is changed, the characters are changed in at least eight of the positions within the password.</t>
        </r>
      </text>
    </comment>
    <comment ref="L169" authorId="0" shapeId="0" xr:uid="{00000000-0006-0000-0A00-000061000000}">
      <text>
        <r>
          <rPr>
            <sz val="11"/>
            <rFont val="Calibri"/>
          </rPr>
          <t>The F5 BIG-IP appliance must require that when a password is changed, the characters are changed in at least eight of the positions within the password.</t>
        </r>
      </text>
    </comment>
    <comment ref="M169" authorId="0" shapeId="0" xr:uid="{00000000-0006-0000-0A00-000062000000}">
      <text>
        <r>
          <rPr>
            <sz val="11"/>
            <rFont val="Calibri"/>
          </rPr>
          <t>The F5 BIG-IP appliance must prohibit the use of cached authenticators after eight hours or less.</t>
        </r>
      </text>
    </comment>
    <comment ref="L174" authorId="0" shapeId="0" xr:uid="{00000000-0006-0000-0A00-000063000000}">
      <text>
        <r>
          <rPr>
            <sz val="11"/>
            <rFont val="Calibri"/>
          </rPr>
          <t>The F5 BIG-IP appliance must be configured to use multifactor authentication (MFA) for interactive logins.</t>
        </r>
      </text>
    </comment>
    <comment ref="M174" authorId="0" shapeId="0" xr:uid="{00000000-0006-0000-0A00-000064000000}">
      <text>
        <r>
          <rPr>
            <sz val="11"/>
            <rFont val="Calibri"/>
          </rPr>
          <t>The F5 BIG-IP appliance providing intermediary services for remote access communications traffic must ensure inbound and outbound traffic is monitored for compliance with remote access security policies.</t>
        </r>
      </text>
    </comment>
    <comment ref="N174" authorId="0" shapeId="0" xr:uid="{00000000-0006-0000-0A00-000065000000}">
      <text>
        <r>
          <rPr>
            <sz val="11"/>
            <rFont val="Calibri"/>
          </rPr>
          <t>The F5 BIG-IP appliance providing user authentication intermediary services must uniquely identify and authenticate users using redundant authentication servers and multifactor authentication (MFA).</t>
        </r>
      </text>
    </comment>
    <comment ref="L175" authorId="0" shapeId="0" xr:uid="{00000000-0006-0000-0A00-000066000000}">
      <text>
        <r>
          <rPr>
            <sz val="11"/>
            <rFont val="Calibri"/>
          </rPr>
          <t>The F5 BIG-IP appliance must be configured to use multifactor authentication (MFA) for interactive logins.</t>
        </r>
      </text>
    </comment>
    <comment ref="M175" authorId="0" shapeId="0" xr:uid="{00000000-0006-0000-0A00-000067000000}">
      <text>
        <r>
          <rPr>
            <sz val="11"/>
            <rFont val="Calibri"/>
          </rPr>
          <t>The F5 BIG-IP appliance providing user authentication intermediary services must uniquely identify and authenticate users using redundant authentication servers and multifactor authentication (MFA).</t>
        </r>
      </text>
    </comment>
    <comment ref="L221" authorId="0" shapeId="0" xr:uid="{00000000-0006-0000-0A00-000068000000}">
      <text>
        <r>
          <rPr>
            <sz val="11"/>
            <rFont val="Calibri"/>
          </rPr>
          <t>The F5 BIG-IP appliance must generate audit records and send records to redundant central syslog servers that are separate from the appliance.</t>
        </r>
      </text>
    </comment>
    <comment ref="M221" authorId="0" shapeId="0" xr:uid="{00000000-0006-0000-0A00-000069000000}">
      <text>
        <r>
          <rPr>
            <sz val="11"/>
            <rFont val="Calibri"/>
          </rPr>
          <t>The F5 BIG-IP appliance must record time stamps for audit records that can be mapped to Coordinated Universal Time (UTC).</t>
        </r>
      </text>
    </comment>
    <comment ref="N221" authorId="0" shapeId="0" xr:uid="{00000000-0006-0000-0A00-00006A000000}">
      <text>
        <r>
          <rPr>
            <sz val="11"/>
            <rFont val="Calibri"/>
          </rPr>
          <t>The F5 BIG-IP appliance must generate traffic log entries containing information to establish the details of the event, including success or failure of the application of the firewall rule.</t>
        </r>
      </text>
    </comment>
    <comment ref="O221" authorId="0" shapeId="0" xr:uid="{00000000-0006-0000-0A00-00006B000000}">
      <text>
        <r>
          <rPr>
            <sz val="11"/>
            <rFont val="Calibri"/>
          </rPr>
          <t>In the event that communication with the central audit server is lost, the F5 BIG-IP appliance must continue to queue traffic log records locally.</t>
        </r>
      </text>
    </comment>
    <comment ref="L231" authorId="0" shapeId="0" xr:uid="{00000000-0006-0000-0A00-00006C000000}">
      <text>
        <r>
          <rPr>
            <sz val="11"/>
            <rFont val="Calibri"/>
          </rPr>
          <t>The F5 BIG-IP appliance must generate audit records and send records to redundant central syslog servers that are separate from the appliance.</t>
        </r>
      </text>
    </comment>
    <comment ref="M231" authorId="0" shapeId="0" xr:uid="{00000000-0006-0000-0A00-00006D000000}">
      <text>
        <r>
          <rPr>
            <sz val="11"/>
            <rFont val="Calibri"/>
          </rPr>
          <t>The F5 BIG-IP appliance must generate traffic log entries containing information to establish the details of the event, including success or failure of the application of the firewall rule.</t>
        </r>
      </text>
    </comment>
    <comment ref="N231" authorId="0" shapeId="0" xr:uid="{00000000-0006-0000-0A00-00006E000000}">
      <text>
        <r>
          <rPr>
            <sz val="11"/>
            <rFont val="Calibri"/>
          </rPr>
          <t>In the event that communication with the central audit server is lost, the F5 BIG-IP appliance must continue to queue traffic log records locally.</t>
        </r>
      </text>
    </comment>
    <comment ref="L232" authorId="0" shapeId="0" xr:uid="{00000000-0006-0000-0A00-00006F000000}">
      <text>
        <r>
          <rPr>
            <sz val="11"/>
            <rFont val="Calibri"/>
          </rPr>
          <t>The F5 BIG-IP appliance must manage local audit storage capacity in accordance with organization-defined audit record storage requirements.</t>
        </r>
      </text>
    </comment>
    <comment ref="M232" authorId="0" shapeId="0" xr:uid="{00000000-0006-0000-0A00-000070000000}">
      <text>
        <r>
          <rPr>
            <sz val="11"/>
            <rFont val="Calibri"/>
          </rPr>
          <t>The F5 BIG-IP appliance must be configured to use TCP when sending log records to the central audit server.</t>
        </r>
      </text>
    </comment>
    <comment ref="L233" authorId="0" shapeId="0" xr:uid="{00000000-0006-0000-0A00-000071000000}">
      <text>
        <r>
          <rPr>
            <sz val="11"/>
            <rFont val="Calibri"/>
          </rPr>
          <t>The F5 BIG-IP appliance must be configured to use TCP when sending log records to the central audit server.</t>
        </r>
      </text>
    </comment>
    <comment ref="L242" authorId="0" shapeId="0" xr:uid="{00000000-0006-0000-0A00-000072000000}">
      <text>
        <r>
          <rPr>
            <sz val="11"/>
            <rFont val="Calibri"/>
          </rPr>
          <t>The F5 BIG-IP appliance must manage local audit storage capacity in accordance with organization-defined audit record storage requirements.</t>
        </r>
      </text>
    </comment>
    <comment ref="L244" authorId="0" shapeId="0" xr:uid="{00000000-0006-0000-0A00-000073000000}">
      <text>
        <r>
          <rPr>
            <sz val="11"/>
            <rFont val="Calibri"/>
          </rPr>
          <t>The F5 BIG-IP appliance must record time stamps for audit records that can be mapped to Coordinated Universal Time (UTC).</t>
        </r>
      </text>
    </comment>
    <comment ref="M244" authorId="0" shapeId="0" xr:uid="{00000000-0006-0000-0A00-000074000000}">
      <text>
        <r>
          <rPr>
            <sz val="11"/>
            <rFont val="Calibri"/>
          </rPr>
          <t>The F5 BIG-IP appliance must authenticate Network Time Protocol (NTP) sources using authentication that is cryptographically based.</t>
        </r>
      </text>
    </comment>
    <comment ref="L274" authorId="0" shapeId="0" xr:uid="{00000000-0006-0000-0A00-000075000000}">
      <text>
        <r>
          <rPr>
            <sz val="11"/>
            <rFont val="Calibri"/>
          </rPr>
          <t>The F5 BIG-IP appliance providing content filtering must employ rate-based attack prevention behavior analysis.</t>
        </r>
      </text>
    </comment>
    <comment ref="M274" authorId="0" shapeId="0" xr:uid="{00000000-0006-0000-0A00-000076000000}">
      <text>
        <r>
          <rPr>
            <sz val="11"/>
            <rFont val="Calibri"/>
          </rPr>
          <t>The F5 BIG-IP appliance providing content filtering must protect against or limit the effects of known and unknown types of denial-of-service (DoS) attacks by employing pattern recognition pre-processors.</t>
        </r>
      </text>
    </comment>
    <comment ref="N274" authorId="0" shapeId="0" xr:uid="{00000000-0006-0000-0A00-000077000000}">
      <text>
        <r>
          <rPr>
            <sz val="11"/>
            <rFont val="Calibri"/>
          </rPr>
          <t>The F5 BIG-IP appliance must employ filters that prevent or limit the effects of all types of commonly known denial-of-service (DoS) attacks, including flooding, packet sweeps, and unauthorized port scanning.</t>
        </r>
      </text>
    </comment>
    <comment ref="O274" authorId="0" shapeId="0" xr:uid="{00000000-0006-0000-0A00-000078000000}">
      <text>
        <r>
          <rPr>
            <sz val="11"/>
            <rFont val="Calibri"/>
          </rPr>
          <t>The F5 BIG-IP appliance must generate an alert that can be forwarded to, at a minimum, the information system security officer (ISSO) and information system security manager (ISSM) when denial-of-service (DoS) incidents are detected.</t>
        </r>
      </text>
    </comment>
    <comment ref="L291" authorId="0" shapeId="0" xr:uid="{00000000-0006-0000-0A00-000079000000}">
      <text>
        <r>
          <rPr>
            <sz val="11"/>
            <rFont val="Calibri"/>
          </rPr>
          <t>The F5 BIG-IP appliance must conduct backups of the configuration at a weekly or organization-defined frequency and store on a separate device.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1" authorId="0" shapeId="0" xr:uid="{00000000-0006-0000-0B00-000001000000}">
      <text>
        <r>
          <rPr>
            <sz val="11"/>
            <rFont val="Calibri"/>
          </rPr>
          <t>The F5 BIG-IP DNS server implementation must manage excess capacity, bandwidth, or other redundancy to limit the effects of information flooding types of denial-of-service (DoS) attacks.</t>
        </r>
      </text>
    </comment>
    <comment ref="H25" authorId="0" shapeId="0" xr:uid="{00000000-0006-0000-0B00-000002000000}">
      <text>
        <r>
          <rPr>
            <sz val="11"/>
            <rFont val="Calibri"/>
          </rPr>
          <t>The F5 BIG-IP appliance must conduct backups of the configuration at a weekly or organization-defined frequency and store on a separate device.</t>
        </r>
      </text>
    </comment>
    <comment ref="H111" authorId="0" shapeId="0" xr:uid="{00000000-0006-0000-0B00-000003000000}">
      <text>
        <r>
          <rPr>
            <sz val="11"/>
            <rFont val="Calibri"/>
          </rPr>
          <t>The F5 BIG-IP appliance providing intermediary services for remote access must use FIPS-validated cryptographic algorithms, including TLS 1.2 at a minimum.</t>
        </r>
      </text>
    </comment>
    <comment ref="I111" authorId="0" shapeId="0" xr:uid="{00000000-0006-0000-0B00-000006000000}">
      <text>
        <r>
          <rPr>
            <sz val="11"/>
            <rFont val="Calibri"/>
          </rPr>
          <t>The F5 BIG-IP appliance must be configured to use cryptographic algorithms approved by NSA to protect NSS for remote access to a classified network.</t>
        </r>
      </text>
    </comment>
    <comment ref="J111" authorId="0" shapeId="0" xr:uid="{00000000-0006-0000-0B00-000004000000}">
      <text>
        <r>
          <rPr>
            <sz val="11"/>
            <rFont val="Calibri"/>
          </rPr>
          <t>The F5 BIG-IP appliance IPsec VPN must use AES256 or greater encryption for the IPsec proposal.</t>
        </r>
      </text>
    </comment>
    <comment ref="K111" authorId="0" shapeId="0" xr:uid="{00000000-0006-0000-0B00-000005000000}">
      <text>
        <r>
          <rPr>
            <sz val="11"/>
            <rFont val="Calibri"/>
          </rPr>
          <t>The F5 BIG-IP appliance IPsec VPN must use cryptographic algorithms approved by NSA to protect NSS when transporting classified traffic across an unclassified network.</t>
        </r>
      </text>
    </comment>
    <comment ref="H112" authorId="0" shapeId="0" xr:uid="{00000000-0006-0000-0B00-000007000000}">
      <text>
        <r>
          <rPr>
            <sz val="11"/>
            <rFont val="Calibri"/>
          </rPr>
          <t>The F5 BIG-IP appliance providing intermediary services for remote access must use FIPS-validated cryptographic algorithms, including TLS 1.2 at a minimum.</t>
        </r>
      </text>
    </comment>
    <comment ref="I112" authorId="0" shapeId="0" xr:uid="{00000000-0006-0000-0B00-00000F000000}">
      <text>
        <r>
          <rPr>
            <sz val="11"/>
            <rFont val="Calibri"/>
          </rPr>
          <t>The F5 BIG-IP appliance must be configured to use cryptographic algorithms approved by NSA to protect NSS for remote access to a classified network.</t>
        </r>
      </text>
    </comment>
    <comment ref="J112" authorId="0" shapeId="0" xr:uid="{00000000-0006-0000-0B00-000010000000}">
      <text>
        <r>
          <rPr>
            <sz val="11"/>
            <rFont val="Calibri"/>
          </rPr>
          <t>The F5 BIG-IP appliance must be configured to use a Diffie-Hellman (DH) Group of 16 or greater for Internet Key Exchange (IKE) Phase 1.</t>
        </r>
      </text>
    </comment>
    <comment ref="K112" authorId="0" shapeId="0" xr:uid="{00000000-0006-0000-0B00-000011000000}">
      <text>
        <r>
          <rPr>
            <sz val="11"/>
            <rFont val="Calibri"/>
          </rPr>
          <t>The F5 BIG-IP appliance IPsec VPN Gateway must use AES256 or higher encryption for the Internet Key Exchange (IKE) proposal to protect confidentiality of remote access sessions.</t>
        </r>
      </text>
    </comment>
    <comment ref="L112" authorId="0" shapeId="0" xr:uid="{00000000-0006-0000-0B00-000008000000}">
      <text>
        <r>
          <rPr>
            <sz val="11"/>
            <rFont val="Calibri"/>
          </rPr>
          <t>The F5 BIG-IP appliance IPsec VPN must use AES256 or greater encryption for the IPsec proposal.</t>
        </r>
      </text>
    </comment>
    <comment ref="M112" authorId="0" shapeId="0" xr:uid="{00000000-0006-0000-0B00-000009000000}">
      <text>
        <r>
          <rPr>
            <sz val="11"/>
            <rFont val="Calibri"/>
          </rPr>
          <t>The F5 BIG-IP appliance IPsec VPN Gateway must use Internet Key Exchange (IKE) for IPsec VPN Security Associations (SAs).</t>
        </r>
      </text>
    </comment>
    <comment ref="N112" authorId="0" shapeId="0" xr:uid="{00000000-0006-0000-0B00-00000A000000}">
      <text>
        <r>
          <rPr>
            <sz val="11"/>
            <rFont val="Calibri"/>
          </rPr>
          <t>The IPsec BIG-IP appliance must use IKEv2 for IPsec VPN security associations.</t>
        </r>
      </text>
    </comment>
    <comment ref="O112" authorId="0" shapeId="0" xr:uid="{00000000-0006-0000-0B00-00000B000000}">
      <text>
        <r>
          <rPr>
            <sz val="11"/>
            <rFont val="Calibri"/>
          </rPr>
          <t>The F5 BIG-IP appliance IPsec VPN Gateway must renegotiate the IPsec Phase 1 security association after eight hours or less.</t>
        </r>
      </text>
    </comment>
    <comment ref="P112" authorId="0" shapeId="0" xr:uid="{00000000-0006-0000-0B00-00000C000000}">
      <text>
        <r>
          <rPr>
            <sz val="11"/>
            <rFont val="Calibri"/>
          </rPr>
          <t>The F5 BIG-IP appliance IPsec VPN must renegotiate the IKE Phase 2 security association after eight hours or less.</t>
        </r>
      </text>
    </comment>
    <comment ref="Q112" authorId="0" shapeId="0" xr:uid="{00000000-0006-0000-0B00-00000D000000}">
      <text>
        <r>
          <rPr>
            <sz val="11"/>
            <rFont val="Calibri"/>
          </rPr>
          <t>The F5 BIG-IP appliance IPsec VPN must use cryptographic algorithms approved by NSA to protect NSS when transporting classified traffic across an unclassified network.</t>
        </r>
      </text>
    </comment>
    <comment ref="R112" authorId="0" shapeId="0" xr:uid="{00000000-0006-0000-0B00-00000E000000}">
      <text>
        <r>
          <rPr>
            <sz val="11"/>
            <rFont val="Calibri"/>
          </rPr>
          <t>The F5 BIG-IP appliance IPsec VPN must be configured to use FIPS-validated SHA-2 or higher for Internet Key Exchange (IKE).</t>
        </r>
      </text>
    </comment>
    <comment ref="H113" authorId="0" shapeId="0" xr:uid="{00000000-0006-0000-0B00-000012000000}">
      <text>
        <r>
          <rPr>
            <sz val="11"/>
            <rFont val="Calibri"/>
          </rPr>
          <t>The F5 BIG-IP appliance providing remote access intermediary services must disable split-tunneling for remote clients</t>
        </r>
        <r>
          <rPr>
            <sz val="11"/>
            <color rgb="FF000000"/>
            <rFont val="Calibri"/>
          </rPr>
          <t>'</t>
        </r>
        <r>
          <rPr>
            <sz val="11"/>
            <color rgb="FF000000"/>
            <rFont val="Calibri"/>
          </rPr>
          <t xml:space="preserve"> VPNs.</t>
        </r>
      </text>
    </comment>
    <comment ref="I113" authorId="0" shapeId="0" xr:uid="{00000000-0006-0000-0B00-000013000000}">
      <text>
        <r>
          <rPr>
            <sz val="11"/>
            <rFont val="Calibri"/>
          </rPr>
          <t>The F5 BIG-IP appliance providing remote access intermediary services must be configured to route sessions to an IDPS for inspection.</t>
        </r>
      </text>
    </comment>
    <comment ref="J113" authorId="0" shapeId="0" xr:uid="{00000000-0006-0000-0B00-000014000000}">
      <text>
        <r>
          <rPr>
            <sz val="11"/>
            <rFont val="Calibri"/>
          </rPr>
          <t>The VPN Gateway must use Always On VPN connections for remote computing.</t>
        </r>
      </text>
    </comment>
    <comment ref="K113" authorId="0" shapeId="0" xr:uid="{00000000-0006-0000-0B00-000015000000}">
      <text>
        <r>
          <rPr>
            <sz val="11"/>
            <rFont val="Calibri"/>
          </rPr>
          <t>The F5 BIG-IP appliance IPsec VPN must ensure inbound and outbound traffic is configured with a security policy.</t>
        </r>
      </text>
    </comment>
    <comment ref="L113" authorId="0" shapeId="0" xr:uid="{00000000-0006-0000-0B00-000016000000}">
      <text>
        <r>
          <rPr>
            <sz val="11"/>
            <rFont val="Calibri"/>
          </rPr>
          <t>The F5 BIG-IP appliance IPsec VPN Gateway must use Internet Key Exchange (IKE) for IPsec VPN Security Associations (SAs).</t>
        </r>
      </text>
    </comment>
    <comment ref="M113" authorId="0" shapeId="0" xr:uid="{00000000-0006-0000-0B00-000017000000}">
      <text>
        <r>
          <rPr>
            <sz val="11"/>
            <rFont val="Calibri"/>
          </rPr>
          <t>The IPsec BIG-IP appliance must use IKEv2 for IPsec VPN security associations.</t>
        </r>
      </text>
    </comment>
    <comment ref="N113" authorId="0" shapeId="0" xr:uid="{00000000-0006-0000-0B00-000018000000}">
      <text>
        <r>
          <rPr>
            <sz val="11"/>
            <rFont val="Calibri"/>
          </rPr>
          <t>The F5 BIG-IP appliance IPsec VPN Gateway must renegotiate the IPsec Phase 1 security association after eight hours or less.</t>
        </r>
      </text>
    </comment>
    <comment ref="O113" authorId="0" shapeId="0" xr:uid="{00000000-0006-0000-0B00-000019000000}">
      <text>
        <r>
          <rPr>
            <sz val="11"/>
            <rFont val="Calibri"/>
          </rPr>
          <t>The F5 BIG-IP appliance IPsec VPN must renegotiate the IKE Phase 2 security association after eight hours or less.</t>
        </r>
      </text>
    </comment>
    <comment ref="P113" authorId="0" shapeId="0" xr:uid="{00000000-0006-0000-0B00-00001A000000}">
      <text>
        <r>
          <rPr>
            <sz val="11"/>
            <rFont val="Calibri"/>
          </rPr>
          <t>For accounts using password authentication, the F5 BIG-IP appliance site-to-site IPsec VPN Gateway must use SHA-2 or later protocol to protect the integrity of the password authentication process.</t>
        </r>
      </text>
    </comment>
    <comment ref="Q113" authorId="0" shapeId="0" xr:uid="{00000000-0006-0000-0B00-00001B000000}">
      <text>
        <r>
          <rPr>
            <sz val="11"/>
            <rFont val="Calibri"/>
          </rPr>
          <t>The F5 BIG-IP appliance IPsec VPN Gateway must specify Perfect Forward Secrecy (PFS) during Internet Key Exchange (IKE) negotiation.</t>
        </r>
      </text>
    </comment>
    <comment ref="H114" authorId="0" shapeId="0" xr:uid="{00000000-0006-0000-0B00-00001C000000}">
      <text>
        <r>
          <rPr>
            <sz val="11"/>
            <rFont val="Calibri"/>
          </rPr>
          <t>The validity period for the RRSIGs covering a zone</t>
        </r>
        <r>
          <rPr>
            <sz val="11"/>
            <color rgb="FF000000"/>
            <rFont val="Calibri"/>
          </rPr>
          <t>'</t>
        </r>
        <r>
          <rPr>
            <sz val="11"/>
            <color rgb="FF000000"/>
            <rFont val="Calibri"/>
          </rPr>
          <t>s DNSKEY RRSet must be no less than two days and no more than one week.</t>
        </r>
      </text>
    </comment>
    <comment ref="I114" authorId="0" shapeId="0" xr:uid="{00000000-0006-0000-0B00-000026000000}">
      <text>
        <r>
          <rPr>
            <sz val="11"/>
            <rFont val="Calibri"/>
          </rPr>
          <t>An authoritative name server must be configured to enable DNSSEC Resource Records.</t>
        </r>
      </text>
    </comment>
    <comment ref="J114" authorId="0" shapeId="0" xr:uid="{00000000-0006-0000-0B00-000027000000}">
      <text>
        <r>
          <rPr>
            <sz val="11"/>
            <rFont val="Calibri"/>
          </rPr>
          <t>The F5 BIG-IP DNS must use valid root name servers in the local root zone file.</t>
        </r>
      </text>
    </comment>
    <comment ref="K114" authorId="0" shapeId="0" xr:uid="{00000000-0006-0000-0B00-000028000000}">
      <text>
        <r>
          <rPr>
            <sz val="11"/>
            <rFont val="Calibri"/>
          </rPr>
          <t>The platform on which the name server software is hosted must be configured to respond to DNS traffic only.</t>
        </r>
      </text>
    </comment>
    <comment ref="L114" authorId="0" shapeId="0" xr:uid="{00000000-0006-0000-0B00-000029000000}">
      <text>
        <r>
          <rPr>
            <sz val="11"/>
            <rFont val="Calibri"/>
          </rPr>
          <t>The digital signature algorithm used for DNSSEC-enabled zones must be set to use RSA/SHA256 or RSA/SHA512.</t>
        </r>
      </text>
    </comment>
    <comment ref="M114" authorId="0" shapeId="0" xr:uid="{00000000-0006-0000-0B00-00002A000000}">
      <text>
        <r>
          <rPr>
            <sz val="11"/>
            <rFont val="Calibri"/>
          </rPr>
          <t>A BIG-IP DNS server implementation must provide additional data origin artifacts along with the authoritative data the system returns in response to external name/address resolution queries.</t>
        </r>
      </text>
    </comment>
    <comment ref="N114" authorId="0" shapeId="0" xr:uid="{00000000-0006-0000-0B00-00002B000000}">
      <text>
        <r>
          <rPr>
            <sz val="11"/>
            <rFont val="Calibri"/>
          </rPr>
          <t>The validity period for the RRSIGs covering the DS RR for a zones delegated children must be no less than two days and no more than one week.</t>
        </r>
      </text>
    </comment>
    <comment ref="O114" authorId="0" shapeId="0" xr:uid="{00000000-0006-0000-0B00-00002C000000}">
      <text>
        <r>
          <rPr>
            <sz val="11"/>
            <rFont val="Calibri"/>
          </rPr>
          <t>The F5 BIG-IP appliance must obtain its public key certificates from an appropriate certificate policy through an approved service provider.</t>
        </r>
      </text>
    </comment>
    <comment ref="P114" authorId="0" shapeId="0" xr:uid="{00000000-0006-0000-0B00-00002D000000}">
      <text>
        <r>
          <rPr>
            <sz val="11"/>
            <rFont val="Calibri"/>
          </rPr>
          <t>The F5 BIG-IP appliance must be configured to use DOD approved OCSP responders or CRLs to validate certificates used for PKI-based authentication.</t>
        </r>
      </text>
    </comment>
    <comment ref="Q114" authorId="0" shapeId="0" xr:uid="{00000000-0006-0000-0B00-00002E000000}">
      <text>
        <r>
          <rPr>
            <sz val="11"/>
            <rFont val="Calibri"/>
          </rPr>
          <t>The F5 BIG-IP appliance must configure certification path validation to ensure revoked machine credentials are prohibited from establishing an allowed session.</t>
        </r>
      </text>
    </comment>
    <comment ref="R114" authorId="0" shapeId="0" xr:uid="{00000000-0006-0000-0B00-00002F000000}">
      <text>
        <r>
          <rPr>
            <sz val="11"/>
            <rFont val="Calibri"/>
          </rPr>
          <t>The F5 BIG-IP appliance providing user authentication intermediary services using PKI-based user authentication must implement a local cache of revocation data to support path discovery and validation in case of the inability to access revocation information via the network.</t>
        </r>
      </text>
    </comment>
    <comment ref="S114" authorId="0" shapeId="0" xr:uid="{00000000-0006-0000-0B00-00001D000000}">
      <text>
        <r>
          <rPr>
            <sz val="11"/>
            <rFont val="Calibri"/>
          </rPr>
          <t>The F5 BIG-IP appliance must configure certificate path validation to ensure revoked user credentials are prohibited from establishing an allowed session.</t>
        </r>
      </text>
    </comment>
    <comment ref="T114" authorId="0" shapeId="0" xr:uid="{00000000-0006-0000-0B00-00001E000000}">
      <text>
        <r>
          <rPr>
            <sz val="11"/>
            <rFont val="Calibri"/>
          </rPr>
          <t>The F5 BIG-IP appliance providing remote access intermediary services must disable split-tunneling for remote clients</t>
        </r>
        <r>
          <rPr>
            <sz val="11"/>
            <color rgb="FF000000"/>
            <rFont val="Calibri"/>
          </rPr>
          <t>'</t>
        </r>
        <r>
          <rPr>
            <sz val="11"/>
            <color rgb="FF000000"/>
            <rFont val="Calibri"/>
          </rPr>
          <t xml:space="preserve"> VPNs.</t>
        </r>
      </text>
    </comment>
    <comment ref="U114" authorId="0" shapeId="0" xr:uid="{00000000-0006-0000-0B00-00001F000000}">
      <text>
        <r>
          <rPr>
            <sz val="11"/>
            <rFont val="Calibri"/>
          </rPr>
          <t>The F5 BIG-IP appliance providing remote access intermediary services must be configured to route sessions to an IDPS for inspection.</t>
        </r>
      </text>
    </comment>
    <comment ref="V114" authorId="0" shapeId="0" xr:uid="{00000000-0006-0000-0B00-000020000000}">
      <text>
        <r>
          <rPr>
            <sz val="11"/>
            <rFont val="Calibri"/>
          </rPr>
          <t>The F5 BIG-IP appliance must be configured to use a Diffie-Hellman (DH) Group of 16 or greater for Internet Key Exchange (IKE) Phase 1.</t>
        </r>
      </text>
    </comment>
    <comment ref="W114" authorId="0" shapeId="0" xr:uid="{00000000-0006-0000-0B00-000021000000}">
      <text>
        <r>
          <rPr>
            <sz val="11"/>
            <rFont val="Calibri"/>
          </rPr>
          <t>The F5 BIG-IP appliance IPsec VPN Gateway must use AES256 or higher encryption for the Internet Key Exchange (IKE) proposal to protect confidentiality of remote access sessions.</t>
        </r>
      </text>
    </comment>
    <comment ref="X114" authorId="0" shapeId="0" xr:uid="{00000000-0006-0000-0B00-000022000000}">
      <text>
        <r>
          <rPr>
            <sz val="11"/>
            <rFont val="Calibri"/>
          </rPr>
          <t>The F5 BIG-IP appliance IPsec VPN must ensure inbound and outbound traffic is configured with a security policy.</t>
        </r>
      </text>
    </comment>
    <comment ref="Y114" authorId="0" shapeId="0" xr:uid="{00000000-0006-0000-0B00-000023000000}">
      <text>
        <r>
          <rPr>
            <sz val="11"/>
            <rFont val="Calibri"/>
          </rPr>
          <t>For accounts using password authentication, the F5 BIG-IP appliance site-to-site IPsec VPN Gateway must use SHA-2 or later protocol to protect the integrity of the password authentication process.</t>
        </r>
      </text>
    </comment>
    <comment ref="Z114" authorId="0" shapeId="0" xr:uid="{00000000-0006-0000-0B00-000024000000}">
      <text>
        <r>
          <rPr>
            <sz val="11"/>
            <rFont val="Calibri"/>
          </rPr>
          <t>The F5 BIG-IP appliance IPsec VPN must be configured to use FIPS-validated SHA-2 or higher for Internet Key Exchange (IKE).</t>
        </r>
      </text>
    </comment>
    <comment ref="AA114" authorId="0" shapeId="0" xr:uid="{00000000-0006-0000-0B00-000025000000}">
      <text>
        <r>
          <rPr>
            <sz val="11"/>
            <rFont val="Calibri"/>
          </rPr>
          <t>The F5 BIG-IP appliance IPsec VPN Gateway must specify Perfect Forward Secrecy (PFS) during Internet Key Exchange (IKE) negotiation.</t>
        </r>
      </text>
    </comment>
    <comment ref="H115" authorId="0" shapeId="0" xr:uid="{00000000-0006-0000-0B00-000030000000}">
      <text>
        <r>
          <rPr>
            <sz val="11"/>
            <rFont val="Calibri"/>
          </rPr>
          <t>The F5 BIG-IP appliance must be configured to use DOD approved OCSP responders or CRLs to validate certificates used for PKI-based authentication.</t>
        </r>
      </text>
    </comment>
    <comment ref="I115" authorId="0" shapeId="0" xr:uid="{00000000-0006-0000-0B00-000031000000}">
      <text>
        <r>
          <rPr>
            <sz val="11"/>
            <rFont val="Calibri"/>
          </rPr>
          <t>The F5 BIG-IP appliance must configure certification path validation to ensure revoked machine credentials are prohibited from establishing an allowed session.</t>
        </r>
      </text>
    </comment>
    <comment ref="J115" authorId="0" shapeId="0" xr:uid="{00000000-0006-0000-0B00-000032000000}">
      <text>
        <r>
          <rPr>
            <sz val="11"/>
            <rFont val="Calibri"/>
          </rPr>
          <t>The F5 BIG-IP appliance providing user authentication intermediary services using PKI-based user authentication must implement a local cache of revocation data to support path discovery and validation in case of the inability to access revocation information via the network.</t>
        </r>
      </text>
    </comment>
    <comment ref="K115" authorId="0" shapeId="0" xr:uid="{00000000-0006-0000-0B00-000033000000}">
      <text>
        <r>
          <rPr>
            <sz val="11"/>
            <rFont val="Calibri"/>
          </rPr>
          <t>The F5 BIG-IP appliance must configure certificate path validation to ensure revoked user credentials are prohibited from establishing an allowed session.</t>
        </r>
      </text>
    </comment>
    <comment ref="H223" authorId="0" shapeId="0" xr:uid="{00000000-0006-0000-0B00-000034000000}">
      <text>
        <r>
          <rPr>
            <sz val="11"/>
            <rFont val="Calibri"/>
          </rPr>
          <t>The F5 BIG-IP appliance must be configured to prevent the installation of patches, service packs, or application components without verification the software component has been digitally signed using a certificate that is recognized and approved by the organization.</t>
        </r>
      </text>
    </comment>
    <comment ref="H238" authorId="0" shapeId="0" xr:uid="{00000000-0006-0000-0B00-000035000000}">
      <text>
        <r>
          <rPr>
            <sz val="11"/>
            <rFont val="Calibri"/>
          </rPr>
          <t>The F5 BIG-IP appliance must be running an operating system release that is currently supported by the vendor.</t>
        </r>
      </text>
    </comment>
    <comment ref="H239" authorId="0" shapeId="0" xr:uid="{00000000-0006-0000-0B00-000036000000}">
      <text>
        <r>
          <rPr>
            <sz val="11"/>
            <rFont val="Calibri"/>
          </rPr>
          <t>The F5 BIG-IP appliance must be configured to prevent the installation of patches, service packs, or application components without verification the software component has been digitally signed using a certificate that is recognized and approved by the organization.</t>
        </r>
      </text>
    </comment>
    <comment ref="H240" authorId="0" shapeId="0" xr:uid="{00000000-0006-0000-0B00-000037000000}">
      <text>
        <r>
          <rPr>
            <sz val="11"/>
            <rFont val="Calibri"/>
          </rPr>
          <t>The F5 BIG-IP DNS implementation must prohibit recursion on authoritative name servers.</t>
        </r>
      </text>
    </comment>
    <comment ref="I240" authorId="0" shapeId="0" xr:uid="{00000000-0006-0000-0B00-000038000000}">
      <text>
        <r>
          <rPr>
            <sz val="11"/>
            <rFont val="Calibri"/>
          </rPr>
          <t>The F5 BIG-IP appliance must be configured to prohibit the use of all unnecessary and/or nonsecure functions, ports, protocols, and/or services.</t>
        </r>
      </text>
    </comment>
    <comment ref="J240" authorId="0" shapeId="0" xr:uid="{00000000-0006-0000-0B00-000039000000}">
      <text>
        <r>
          <rPr>
            <sz val="11"/>
            <rFont val="Calibri"/>
          </rPr>
          <t>The F5 BIG-IP appliance must be configured to prohibit or restrict the use of unnecessary or prohibited functions, ports, protocols, and/or services, including those defined in the PPSM CAL and vulnerability assessments.</t>
        </r>
      </text>
    </comment>
    <comment ref="H241" authorId="0" shapeId="0" xr:uid="{00000000-0006-0000-0B00-00003A000000}">
      <text>
        <r>
          <rPr>
            <sz val="11"/>
            <rFont val="Calibri"/>
          </rPr>
          <t>The F5 BIG-IP appliance must be configured to prohibit the use of all unnecessary and/or nonsecure functions, ports, protocols, and/or services.</t>
        </r>
      </text>
    </comment>
    <comment ref="I241" authorId="0" shapeId="0" xr:uid="{00000000-0006-0000-0B00-00003B000000}">
      <text>
        <r>
          <rPr>
            <sz val="11"/>
            <rFont val="Calibri"/>
          </rPr>
          <t>The F5 BIG-IP appliance must be configured to prohibit or restrict the use of unnecessary or prohibited functions, ports, protocols, and/or services, including those defined in the PPSM CAL and vulnerability assessments.</t>
        </r>
      </text>
    </comment>
    <comment ref="H242" authorId="0" shapeId="0" xr:uid="{00000000-0006-0000-0B00-00003C000000}">
      <text>
        <r>
          <rPr>
            <sz val="11"/>
            <rFont val="Calibri"/>
          </rPr>
          <t>The F5 BIG-IP appliance must be configured to enable the secure cookie flag.</t>
        </r>
      </text>
    </comment>
    <comment ref="I242" authorId="0" shapeId="0" xr:uid="{00000000-0006-0000-0B00-00003D000000}">
      <text>
        <r>
          <rPr>
            <sz val="11"/>
            <rFont val="Calibri"/>
          </rPr>
          <t>The F5 BIG-IP appliance must be configured to disable the persistent cookie flag.</t>
        </r>
      </text>
    </comment>
    <comment ref="H277" authorId="0" shapeId="0" xr:uid="{00000000-0006-0000-0B00-00003E000000}">
      <text>
        <r>
          <rPr>
            <sz val="11"/>
            <rFont val="Calibri"/>
          </rPr>
          <t>The F5 BIG-IP appliance providing content filtering must automatically update malicious code protection mechanisms.</t>
        </r>
      </text>
    </comment>
    <comment ref="I277" authorId="0" shapeId="0" xr:uid="{00000000-0006-0000-0B00-00003F000000}">
      <text>
        <r>
          <rPr>
            <sz val="11"/>
            <rFont val="Calibri"/>
          </rPr>
          <t>The F5 BIG-IP appliance providing content filtering must detect use of network services that have not been authorized or approved by the information system security manager (ISSM) and information system security officer (ISSO), at a minimum.</t>
        </r>
      </text>
    </comment>
    <comment ref="H279" authorId="0" shapeId="0" xr:uid="{00000000-0006-0000-0B00-000040000000}">
      <text>
        <r>
          <rPr>
            <sz val="11"/>
            <rFont val="Calibri"/>
          </rPr>
          <t>To protect against data mining, the F5 BIG-IP appliance providing content filtering must prevent code injection attacks from being launched against data storage objects, including, at a minimum, databases, database records, queries, and fields.</t>
        </r>
      </text>
    </comment>
    <comment ref="I279" authorId="0" shapeId="0" xr:uid="{00000000-0006-0000-0B00-000041000000}">
      <text>
        <r>
          <rPr>
            <sz val="11"/>
            <rFont val="Calibri"/>
          </rPr>
          <t>To protect against data mining, the F5 BIG-IP appliance providing content filtering must prevent code injection attacks launched against application objects including, at a minimum, application URLs and application code.</t>
        </r>
      </text>
    </comment>
    <comment ref="J279" authorId="0" shapeId="0" xr:uid="{00000000-0006-0000-0B00-000042000000}">
      <text>
        <r>
          <rPr>
            <sz val="11"/>
            <rFont val="Calibri"/>
          </rPr>
          <t>To protect against data mining, the F5 BIG-IP appliance providing content filtering must prevent SQL injection attacks launched against data storage objects, including, at a minimum, databases, database records, and database fields.</t>
        </r>
      </text>
    </comment>
    <comment ref="K279" authorId="0" shapeId="0" xr:uid="{00000000-0006-0000-0B00-000043000000}">
      <text>
        <r>
          <rPr>
            <sz val="11"/>
            <rFont val="Calibri"/>
          </rPr>
          <t>The F5 BIG-IP appliance that provides intermediary services for SMTP must inspect inbound and outbound SMTP and Extended SMTP communications traffic for protocol compliance and protocol anomalies.</t>
        </r>
      </text>
    </comment>
    <comment ref="L279" authorId="0" shapeId="0" xr:uid="{00000000-0006-0000-0B00-000044000000}">
      <text>
        <r>
          <rPr>
            <sz val="11"/>
            <rFont val="Calibri"/>
          </rPr>
          <t>The F5 BIG-IP appliance that intermediary services for FTP must inspect inbound and outbound FTP communications traffic for protocol compliance and protocol anomalies.</t>
        </r>
      </text>
    </comment>
    <comment ref="M279" authorId="0" shapeId="0" xr:uid="{00000000-0006-0000-0B00-000045000000}">
      <text>
        <r>
          <rPr>
            <sz val="11"/>
            <rFont val="Calibri"/>
          </rPr>
          <t>The F5 BIG-IP appliance that provides intermediary services for HTTP must inspect inbound and outbound HTTP traffic for protocol compliance and protocol anomalies.</t>
        </r>
      </text>
    </comment>
    <comment ref="N279" authorId="0" shapeId="0" xr:uid="{00000000-0006-0000-0B00-000046000000}">
      <text>
        <r>
          <rPr>
            <sz val="11"/>
            <rFont val="Calibri"/>
          </rPr>
          <t>The F5 BIG-IP appliance must check the validity of all data inputs except those specifically identified by the organization.</t>
        </r>
      </text>
    </comment>
    <comment ref="H304" authorId="0" shapeId="0" xr:uid="{00000000-0006-0000-0B00-000047000000}">
      <text>
        <r>
          <rPr>
            <sz val="11"/>
            <rFont val="Calibri"/>
          </rPr>
          <t>The F5 BIG-IP appliance must be configured to assign appropriate user roles or access levels to authenticated users.</t>
        </r>
      </text>
    </comment>
    <comment ref="I304" authorId="0" shapeId="0" xr:uid="{00000000-0006-0000-0B00-000048000000}">
      <text>
        <r>
          <rPr>
            <sz val="11"/>
            <rFont val="Calibri"/>
          </rPr>
          <t>The F5 BIG-IP appliance must be configured to audit the execution of privileged functions such as accounts additions and changes.</t>
        </r>
      </text>
    </comment>
    <comment ref="J304" authorId="0" shapeId="0" xr:uid="{00000000-0006-0000-0B00-000049000000}">
      <text>
        <r>
          <rPr>
            <sz val="11"/>
            <rFont val="Calibri"/>
          </rPr>
          <t>The F5 BIG-IP appliance providing user access control intermediary services must enforce approved authorizations for logical access to information and system resources by employing identity-based, role-based, and/or attribute-based security policies.</t>
        </r>
      </text>
    </comment>
    <comment ref="K304" authorId="0" shapeId="0" xr:uid="{00000000-0006-0000-0B00-00004A000000}">
      <text>
        <r>
          <rPr>
            <sz val="11"/>
            <rFont val="Calibri"/>
          </rPr>
          <t>The F5 BIG-IP appliance must not use the On-demand Cert Auth VPE agent as part of the APM Policy Profiles.</t>
        </r>
      </text>
    </comment>
    <comment ref="H305" authorId="0" shapeId="0" xr:uid="{00000000-0006-0000-0B00-00004B000000}">
      <text>
        <r>
          <rPr>
            <sz val="11"/>
            <rFont val="Calibri"/>
          </rPr>
          <t>The F5 BIG-IP appliance must terminate shared/group account credentials when members leave the group.</t>
        </r>
      </text>
    </comment>
    <comment ref="I305" authorId="0" shapeId="0" xr:uid="{00000000-0006-0000-0B00-00004C000000}">
      <text>
        <r>
          <rPr>
            <sz val="11"/>
            <rFont val="Calibri"/>
          </rPr>
          <t>The F5 BIG-IP appliance must be configured with only one local account to be used as the account of last resort in the event the authentication server is unavailable.</t>
        </r>
      </text>
    </comment>
    <comment ref="J305" authorId="0" shapeId="0" xr:uid="{00000000-0006-0000-0B00-00004D000000}">
      <text>
        <r>
          <rPr>
            <sz val="11"/>
            <rFont val="Calibri"/>
          </rPr>
          <t>The F5 BIG-IP appliance must be configured to audit the execution of privileged functions such as accounts additions and changes.</t>
        </r>
      </text>
    </comment>
    <comment ref="H328" authorId="0" shapeId="0" xr:uid="{00000000-0006-0000-0B00-00004E000000}">
      <text>
        <r>
          <rPr>
            <sz val="11"/>
            <rFont val="Calibri"/>
          </rPr>
          <t>To protect against data mining, the F5 BIG-IP appliance providing content filtering must prevent code injection attacks from being launched against data storage objects, including, at a minimum, databases, database records, queries, and fields.</t>
        </r>
      </text>
    </comment>
    <comment ref="I328" authorId="0" shapeId="0" xr:uid="{00000000-0006-0000-0B00-00004F000000}">
      <text>
        <r>
          <rPr>
            <sz val="11"/>
            <rFont val="Calibri"/>
          </rPr>
          <t>To protect against data mining, the F5 BIG-IP appliance providing content filtering must prevent code injection attacks launched against application objects including, at a minimum, application URLs and application code.</t>
        </r>
      </text>
    </comment>
    <comment ref="J328" authorId="0" shapeId="0" xr:uid="{00000000-0006-0000-0B00-000050000000}">
      <text>
        <r>
          <rPr>
            <sz val="11"/>
            <rFont val="Calibri"/>
          </rPr>
          <t>To protect against data mining, the F5 BIG-IP appliance providing content filtering must prevent SQL injection attacks launched against data storage objects, including, at a minimum, databases, database records, and database fields.</t>
        </r>
      </text>
    </comment>
    <comment ref="H355" authorId="0" shapeId="0" xr:uid="{00000000-0006-0000-0B00-000051000000}">
      <text>
        <r>
          <rPr>
            <sz val="11"/>
            <rFont val="Calibri"/>
          </rPr>
          <t>The F5 BIG-IP appliance must be configured to audit the execution of privileged functions such as accounts additions and changes.</t>
        </r>
      </text>
    </comment>
    <comment ref="I355" authorId="0" shapeId="0" xr:uid="{00000000-0006-0000-0B00-000052000000}">
      <text>
        <r>
          <rPr>
            <sz val="11"/>
            <rFont val="Calibri"/>
          </rPr>
          <t>The F5 BIG-IP appliance must manage local audit storage capacity in accordance with organization-defined audit record storage requirements.</t>
        </r>
      </text>
    </comment>
    <comment ref="J355" authorId="0" shapeId="0" xr:uid="{00000000-0006-0000-0B00-000053000000}">
      <text>
        <r>
          <rPr>
            <sz val="11"/>
            <rFont val="Calibri"/>
          </rPr>
          <t>The F5 BIG-IP appliance must generate audit records and send records to redundant central syslog servers that are separate from the appliance.</t>
        </r>
      </text>
    </comment>
    <comment ref="K355" authorId="0" shapeId="0" xr:uid="{00000000-0006-0000-0B00-000054000000}">
      <text>
        <r>
          <rPr>
            <sz val="11"/>
            <rFont val="Calibri"/>
          </rPr>
          <t>The F5 BIG-IP appliance must record time stamps for audit records that can be mapped to Coordinated Universal Time (UTC).</t>
        </r>
      </text>
    </comment>
    <comment ref="L355" authorId="0" shapeId="0" xr:uid="{00000000-0006-0000-0B00-000055000000}">
      <text>
        <r>
          <rPr>
            <sz val="11"/>
            <rFont val="Calibri"/>
          </rPr>
          <t>The F5 BIG-IP appliance must generate traffic log entries containing information to establish the details of the event, including success or failure of the application of the firewall rule.</t>
        </r>
      </text>
    </comment>
    <comment ref="M355" authorId="0" shapeId="0" xr:uid="{00000000-0006-0000-0B00-000056000000}">
      <text>
        <r>
          <rPr>
            <sz val="11"/>
            <rFont val="Calibri"/>
          </rPr>
          <t>In the event that communication with the central audit server is lost, the F5 BIG-IP appliance must continue to queue traffic log records locally.</t>
        </r>
      </text>
    </comment>
    <comment ref="N355" authorId="0" shapeId="0" xr:uid="{00000000-0006-0000-0B00-000057000000}">
      <text>
        <r>
          <rPr>
            <sz val="11"/>
            <rFont val="Calibri"/>
          </rPr>
          <t>The F5 BIG-IP appliance must be configured to use TCP when sending log records to the central audit server.</t>
        </r>
      </text>
    </comment>
    <comment ref="H356" authorId="0" shapeId="0" xr:uid="{00000000-0006-0000-0B00-000058000000}">
      <text>
        <r>
          <rPr>
            <sz val="11"/>
            <rFont val="Calibri"/>
          </rPr>
          <t>The F5 BIG-IP appliance must generate audit records and send records to redundant central syslog servers that are separate from the appliance.</t>
        </r>
      </text>
    </comment>
    <comment ref="I356" authorId="0" shapeId="0" xr:uid="{00000000-0006-0000-0B00-000059000000}">
      <text>
        <r>
          <rPr>
            <sz val="11"/>
            <rFont val="Calibri"/>
          </rPr>
          <t>The F5 BIG-IP appliance must generate traffic log entries containing information to establish the details of the event, including success or failure of the application of the firewall rule.</t>
        </r>
      </text>
    </comment>
    <comment ref="J356" authorId="0" shapeId="0" xr:uid="{00000000-0006-0000-0B00-00005A000000}">
      <text>
        <r>
          <rPr>
            <sz val="11"/>
            <rFont val="Calibri"/>
          </rPr>
          <t>In the event that communication with the central audit server is lost, the F5 BIG-IP appliance must continue to queue traffic log records locally.</t>
        </r>
      </text>
    </comment>
    <comment ref="H357" authorId="0" shapeId="0" xr:uid="{00000000-0006-0000-0B00-00005B000000}">
      <text>
        <r>
          <rPr>
            <sz val="11"/>
            <rFont val="Calibri"/>
          </rPr>
          <t>The F5 BIG-IP appliance must manage local audit storage capacity in accordance with organization-defined audit record storage requirements.</t>
        </r>
      </text>
    </comment>
    <comment ref="I357" authorId="0" shapeId="0" xr:uid="{00000000-0006-0000-0B00-00005C000000}">
      <text>
        <r>
          <rPr>
            <sz val="11"/>
            <rFont val="Calibri"/>
          </rPr>
          <t>The F5 BIG-IP appliance must be configured to use TCP when sending log records to the central audit server.</t>
        </r>
      </text>
    </comment>
    <comment ref="H359" authorId="0" shapeId="0" xr:uid="{00000000-0006-0000-0B00-00005D000000}">
      <text>
        <r>
          <rPr>
            <sz val="11"/>
            <rFont val="Calibri"/>
          </rPr>
          <t>The F5 BIG-IP appliance must record time stamps for audit records that can be mapped to Coordinated Universal Time (UTC).</t>
        </r>
      </text>
    </comment>
    <comment ref="I359" authorId="0" shapeId="0" xr:uid="{00000000-0006-0000-0B00-00005E000000}">
      <text>
        <r>
          <rPr>
            <sz val="11"/>
            <rFont val="Calibri"/>
          </rPr>
          <t>The F5 BIG-IP appliance must authenticate Network Time Protocol (NTP) sources using authentication that is cryptographically based.</t>
        </r>
      </text>
    </comment>
    <comment ref="H376" authorId="0" shapeId="0" xr:uid="{00000000-0006-0000-0B00-00005F000000}">
      <text>
        <r>
          <rPr>
            <sz val="11"/>
            <rFont val="Calibri"/>
          </rPr>
          <t>The F5 BIG-IP appliance must authenticate Network Time Protocol (NTP) sources using authentication that is cryptographically based.</t>
        </r>
      </text>
    </comment>
    <comment ref="H378" authorId="0" shapeId="0" xr:uid="{00000000-0006-0000-0B00-000060000000}">
      <text>
        <r>
          <rPr>
            <sz val="11"/>
            <rFont val="Calibri"/>
          </rPr>
          <t>The F5 BIG-IP appliance must be configured to block all outbound management traffic.</t>
        </r>
      </text>
    </comment>
    <comment ref="H379" authorId="0" shapeId="0" xr:uid="{00000000-0006-0000-0B00-000061000000}">
      <text>
        <r>
          <rPr>
            <sz val="11"/>
            <rFont val="Calibri"/>
          </rPr>
          <t>The F5 BIG-IP appliance must set the idle time before automatic logout to five minutes of inactivity except to fulfill documented and validated mission requirements.</t>
        </r>
      </text>
    </comment>
    <comment ref="I379" authorId="0" shapeId="0" xr:uid="{00000000-0006-0000-0B00-000062000000}">
      <text>
        <r>
          <rPr>
            <sz val="11"/>
            <rFont val="Calibri"/>
          </rPr>
          <t>The F5 BIG-IP appliance must terminate all network connections associated with a communications session at the end of the session or after 15 minutes of inactivity.</t>
        </r>
      </text>
    </comment>
    <comment ref="J379" authorId="0" shapeId="0" xr:uid="{00000000-0006-0000-0B00-000063000000}">
      <text>
        <r>
          <rPr>
            <sz val="11"/>
            <rFont val="Calibri"/>
          </rPr>
          <t>The F5 BIG-IP appliance must be configured to limit authenticated client sessions to initial session source IP.</t>
        </r>
      </text>
    </comment>
    <comment ref="H380" authorId="0" shapeId="0" xr:uid="{00000000-0006-0000-0B00-000064000000}">
      <text>
        <r>
          <rPr>
            <sz val="11"/>
            <rFont val="Calibri"/>
          </rPr>
          <t>The F5 BIG-IP appliance must be configured to display the Standard Mandatory DOD Notice and Consent Banner upon access to the TMOS User Interface.</t>
        </r>
      </text>
    </comment>
    <comment ref="I380" authorId="0" shapeId="0" xr:uid="{00000000-0006-0000-0B00-000065000000}">
      <text>
        <r>
          <rPr>
            <sz val="11"/>
            <rFont val="Calibri"/>
          </rPr>
          <t>The F5 BIG-IP appliance must be configured to display the Standard Mandatory DOD Notice and Consent Banner when accessing via SSH.</t>
        </r>
      </text>
    </comment>
    <comment ref="J380" authorId="0" shapeId="0" xr:uid="{00000000-0006-0000-0B00-000066000000}">
      <text>
        <r>
          <rPr>
            <sz val="11"/>
            <rFont val="Calibri"/>
          </rPr>
          <t>The F5 BIG-IP appliance providing user access control intermediary services must display the Standard Mandatory DOD-approved Notice and Consent Banner before granting access to the network.</t>
        </r>
      </text>
    </comment>
    <comment ref="H381" authorId="0" shapeId="0" xr:uid="{00000000-0006-0000-0B00-000067000000}">
      <text>
        <r>
          <rPr>
            <sz val="11"/>
            <rFont val="Calibri"/>
          </rPr>
          <t>The F5 BIG-IP appliance must be configured to limit the number of concurrent sessions to the Configuration Utility to 10 or an organization-defined number.</t>
        </r>
      </text>
    </comment>
    <comment ref="I381" authorId="0" shapeId="0" xr:uid="{00000000-0006-0000-0B00-000068000000}">
      <text>
        <r>
          <rPr>
            <sz val="11"/>
            <rFont val="Calibri"/>
          </rPr>
          <t>The F5 BIG-IP appliance providing user access control intermediary services must limit the number of concurrent sessions to one or an organization-defined number for each access profile.</t>
        </r>
      </text>
    </comment>
    <comment ref="J381" authorId="0" shapeId="0" xr:uid="{00000000-0006-0000-0B00-000069000000}">
      <text>
        <r>
          <rPr>
            <sz val="11"/>
            <rFont val="Calibri"/>
          </rPr>
          <t>The F5 BIG-IP appliance must be configured to limit authenticated client sessions to initial session source IP.</t>
        </r>
      </text>
    </comment>
    <comment ref="K381" authorId="0" shapeId="0" xr:uid="{00000000-0006-0000-0B00-00006A000000}">
      <text>
        <r>
          <rPr>
            <sz val="11"/>
            <rFont val="Calibri"/>
          </rPr>
          <t xml:space="preserve">The F5 BIG-IP appliance must be configured to set the </t>
        </r>
        <r>
          <rPr>
            <sz val="11"/>
            <color rgb="FF000000"/>
            <rFont val="Calibri"/>
          </rPr>
          <t>"</t>
        </r>
        <r>
          <rPr>
            <b/>
            <sz val="11"/>
            <color rgb="FF000000"/>
            <rFont val="Calibri"/>
          </rPr>
          <t>Max In Progress Sessions per Client IP</t>
        </r>
        <r>
          <rPr>
            <sz val="11"/>
            <color rgb="FF000000"/>
            <rFont val="Calibri"/>
          </rPr>
          <t>"</t>
        </r>
        <r>
          <rPr>
            <sz val="11"/>
            <color rgb="FF000000"/>
            <rFont val="Calibri"/>
          </rPr>
          <t xml:space="preserve"> value to 10 or an organizational-defined number.</t>
        </r>
      </text>
    </comment>
    <comment ref="H385" authorId="0" shapeId="0" xr:uid="{00000000-0006-0000-0B00-00006B000000}">
      <text>
        <r>
          <rPr>
            <sz val="11"/>
            <rFont val="Calibri"/>
          </rPr>
          <t>The F5 BIG-IP appliance must be configured to block all outbound management traffic.</t>
        </r>
      </text>
    </comment>
    <comment ref="H387" authorId="0" shapeId="0" xr:uid="{00000000-0006-0000-0B00-00006C000000}">
      <text>
        <r>
          <rPr>
            <sz val="11"/>
            <rFont val="Calibri"/>
          </rPr>
          <t>The F5 BIG-IP appliance must be configured to restrict a consistent inbound IP for the entire management session.</t>
        </r>
      </text>
    </comment>
    <comment ref="I387" authorId="0" shapeId="0" xr:uid="{00000000-0006-0000-0B00-00006D000000}">
      <text>
        <r>
          <rPr>
            <sz val="11"/>
            <rFont val="Calibri"/>
          </rPr>
          <t>The F5 BIG-IP appliance must be configured to restrict a consistent inbound IP for the entire management session.</t>
        </r>
      </text>
    </comment>
    <comment ref="J387" authorId="0" shapeId="0" xr:uid="{00000000-0006-0000-0B00-00006E000000}">
      <text>
        <r>
          <rPr>
            <sz val="11"/>
            <rFont val="Calibri"/>
          </rPr>
          <t>The F5 BIG-IP appliance that filters traffic from the VPN access points must be configured with organization-defined filtering rules that apply to the monitoring of remote access traffic.</t>
        </r>
      </text>
    </comment>
    <comment ref="K387" authorId="0" shapeId="0" xr:uid="{00000000-0006-0000-0B00-00006F000000}">
      <text>
        <r>
          <rPr>
            <sz val="11"/>
            <rFont val="Calibri"/>
          </rPr>
          <t>The F5 BIG-IP appliance must be configured to use filters that use packet headers and packet attributes, including source and destination IP addresses and ports, to prevent the flow of unauthorized or suspicious traffic between interconnected networks with different security policies, including perimeter firewalls and server VLANs.</t>
        </r>
      </text>
    </comment>
    <comment ref="L387" authorId="0" shapeId="0" xr:uid="{00000000-0006-0000-0B00-000070000000}">
      <text>
        <r>
          <rPr>
            <sz val="11"/>
            <rFont val="Calibri"/>
          </rPr>
          <t>The F5 BIG-IP appliance must be configured to inspect all inbound and outbound traffic at the application layer.</t>
        </r>
      </text>
    </comment>
    <comment ref="M387" authorId="0" shapeId="0" xr:uid="{00000000-0006-0000-0B00-000071000000}">
      <text>
        <r>
          <rPr>
            <sz val="11"/>
            <rFont val="Calibri"/>
          </rPr>
          <t>The BIG-IP appliance perimeter firewall must be configured to filter traffic destined to the enclave in accordance with the specific traffic that is approved and registered in the Ports, Protocols, and Services Management (PPSM) Category Assurance List (CAL) and vulnerability assessments.</t>
        </r>
      </text>
    </comment>
    <comment ref="H388" authorId="0" shapeId="0" xr:uid="{00000000-0006-0000-0B00-000072000000}">
      <text>
        <r>
          <rPr>
            <sz val="11"/>
            <rFont val="Calibri"/>
          </rPr>
          <t>The F5 BIG-IP appliance that provides intermediary services for SMTP must inspect inbound and outbound SMTP and Extended SMTP communications traffic for protocol compliance and protocol anomalies.</t>
        </r>
      </text>
    </comment>
    <comment ref="I388" authorId="0" shapeId="0" xr:uid="{00000000-0006-0000-0B00-000073000000}">
      <text>
        <r>
          <rPr>
            <sz val="11"/>
            <rFont val="Calibri"/>
          </rPr>
          <t>The F5 BIG-IP appliance that intermediary services for FTP must inspect inbound and outbound FTP communications traffic for protocol compliance and protocol anomalies.</t>
        </r>
      </text>
    </comment>
    <comment ref="J388" authorId="0" shapeId="0" xr:uid="{00000000-0006-0000-0B00-000074000000}">
      <text>
        <r>
          <rPr>
            <sz val="11"/>
            <rFont val="Calibri"/>
          </rPr>
          <t>The F5 BIG-IP appliance that provides intermediary services for HTTP must inspect inbound and outbound HTTP traffic for protocol compliance and protocol anomalies.</t>
        </r>
      </text>
    </comment>
    <comment ref="K388" authorId="0" shapeId="0" xr:uid="{00000000-0006-0000-0B00-000075000000}">
      <text>
        <r>
          <rPr>
            <sz val="11"/>
            <rFont val="Calibri"/>
          </rPr>
          <t>The F5 BIG-IP appliance that filters traffic from the VPN access points must be configured with organization-defined filtering rules that apply to the monitoring of remote access traffic.</t>
        </r>
      </text>
    </comment>
    <comment ref="L388" authorId="0" shapeId="0" xr:uid="{00000000-0006-0000-0B00-000076000000}">
      <text>
        <r>
          <rPr>
            <sz val="11"/>
            <rFont val="Calibri"/>
          </rPr>
          <t>The F5 BIG-IP appliance must be configured to use filters that use packet headers and packet attributes, including source and destination IP addresses and ports, to prevent the flow of unauthorized or suspicious traffic between interconnected networks with different security policies, including perimeter firewalls and server VLANs.</t>
        </r>
      </text>
    </comment>
    <comment ref="M388" authorId="0" shapeId="0" xr:uid="{00000000-0006-0000-0B00-000077000000}">
      <text>
        <r>
          <rPr>
            <sz val="11"/>
            <rFont val="Calibri"/>
          </rPr>
          <t>The F5 BIG-IP appliance must be configured to inspect all inbound and outbound traffic at the application layer.</t>
        </r>
      </text>
    </comment>
    <comment ref="N388" authorId="0" shapeId="0" xr:uid="{00000000-0006-0000-0B00-000078000000}">
      <text>
        <r>
          <rPr>
            <sz val="11"/>
            <rFont val="Calibri"/>
          </rPr>
          <t>The BIG-IP appliance perimeter firewall must be configured to filter traffic destined to the enclave in accordance with the specific traffic that is approved and registered in the Ports, Protocols, and Services Management (PPSM) Category Assurance List (CAL) and vulnerability assessments.</t>
        </r>
      </text>
    </comment>
    <comment ref="H395" authorId="0" shapeId="0" xr:uid="{00000000-0006-0000-0B00-000079000000}">
      <text>
        <r>
          <rPr>
            <sz val="11"/>
            <rFont val="Calibri"/>
          </rPr>
          <t>The F5 BIG-IP appliance providing intermediary services for remote access communications traffic must ensure inbound and outbound traffic is monitored for compliance with remote access security policies.</t>
        </r>
      </text>
    </comment>
    <comment ref="H401" authorId="0" shapeId="0" xr:uid="{00000000-0006-0000-0B00-00007A000000}">
      <text>
        <r>
          <rPr>
            <sz val="11"/>
            <rFont val="Calibri"/>
          </rPr>
          <t>The F5 BIG-IP DNS server implementation must manage excess capacity, bandwidth, or other redundancy to limit the effects of information flooding types of denial-of-service (DoS) attacks.</t>
        </r>
      </text>
    </comment>
    <comment ref="I401" authorId="0" shapeId="0" xr:uid="{00000000-0006-0000-0B00-00007B000000}">
      <text>
        <r>
          <rPr>
            <sz val="11"/>
            <rFont val="Calibri"/>
          </rPr>
          <t>The F5 BIG-IP appliance providing content filtering must employ rate-based attack prevention behavior analysis.</t>
        </r>
      </text>
    </comment>
    <comment ref="J401" authorId="0" shapeId="0" xr:uid="{00000000-0006-0000-0B00-00007C000000}">
      <text>
        <r>
          <rPr>
            <sz val="11"/>
            <rFont val="Calibri"/>
          </rPr>
          <t>The F5 BIG-IP appliance providing content filtering must protect against or limit the effects of known and unknown types of denial-of-service (DoS) attacks by employing pattern recognition pre-processors.</t>
        </r>
      </text>
    </comment>
    <comment ref="K401" authorId="0" shapeId="0" xr:uid="{00000000-0006-0000-0B00-00007D000000}">
      <text>
        <r>
          <rPr>
            <sz val="11"/>
            <rFont val="Calibri"/>
          </rPr>
          <t>The F5 BIG-IP appliance must employ filters that prevent or limit the effects of all types of commonly known denial-of-service (DoS) attacks, including flooding, packet sweeps, and unauthorized port scanning.</t>
        </r>
      </text>
    </comment>
    <comment ref="L401" authorId="0" shapeId="0" xr:uid="{00000000-0006-0000-0B00-00007E000000}">
      <text>
        <r>
          <rPr>
            <sz val="11"/>
            <rFont val="Calibri"/>
          </rPr>
          <t>The F5 BIG-IP appliance must generate an alert that can be forwarded to, at a minimum, the information system security officer (ISSO) and information system security manager (ISSM) when denial-of-service (DoS) incidents are detected.</t>
        </r>
      </text>
    </comment>
    <comment ref="H402" authorId="0" shapeId="0" xr:uid="{00000000-0006-0000-0B00-00007F000000}">
      <text>
        <r>
          <rPr>
            <sz val="11"/>
            <rFont val="Calibri"/>
          </rPr>
          <t>The F5 BIG-IP appliance providing content filtering must employ rate-based attack prevention behavior analysis.</t>
        </r>
      </text>
    </comment>
    <comment ref="I402" authorId="0" shapeId="0" xr:uid="{00000000-0006-0000-0B00-000080000000}">
      <text>
        <r>
          <rPr>
            <sz val="11"/>
            <rFont val="Calibri"/>
          </rPr>
          <t>The F5 BIG-IP appliance providing content filtering must protect against or limit the effects of known and unknown types of denial-of-service (DoS) attacks by employing pattern recognition pre-processors.</t>
        </r>
      </text>
    </comment>
    <comment ref="J402" authorId="0" shapeId="0" xr:uid="{00000000-0006-0000-0B00-000081000000}">
      <text>
        <r>
          <rPr>
            <sz val="11"/>
            <rFont val="Calibri"/>
          </rPr>
          <t>The F5 BIG-IP appliance must employ filters that prevent or limit the effects of all types of commonly known denial-of-service (DoS) attacks, including flooding, packet sweeps, and unauthorized port scanning.</t>
        </r>
      </text>
    </comment>
    <comment ref="K402" authorId="0" shapeId="0" xr:uid="{00000000-0006-0000-0B00-000082000000}">
      <text>
        <r>
          <rPr>
            <sz val="11"/>
            <rFont val="Calibri"/>
          </rPr>
          <t>The F5 BIG-IP appliance must generate an alert that can be forwarded to, at a minimum, the information system security officer (ISSO) and information system security manager (ISSM) when denial-of-service (DoS) incidents are detected.</t>
        </r>
      </text>
    </comment>
    <comment ref="H407" authorId="0" shapeId="0" xr:uid="{00000000-0006-0000-0B00-000083000000}">
      <text>
        <r>
          <rPr>
            <sz val="11"/>
            <rFont val="Calibri"/>
          </rPr>
          <t>The F5 BIG-IP DNS implementation must prohibit recursion on authoritative name servers.</t>
        </r>
      </text>
    </comment>
    <comment ref="I407" authorId="0" shapeId="0" xr:uid="{00000000-0006-0000-0B00-000084000000}">
      <text>
        <r>
          <rPr>
            <sz val="11"/>
            <rFont val="Calibri"/>
          </rPr>
          <t>The validity period for the RRSIGs covering a zone</t>
        </r>
        <r>
          <rPr>
            <sz val="11"/>
            <color rgb="FF000000"/>
            <rFont val="Calibri"/>
          </rPr>
          <t>'</t>
        </r>
        <r>
          <rPr>
            <sz val="11"/>
            <color rgb="FF000000"/>
            <rFont val="Calibri"/>
          </rPr>
          <t>s DNSKEY RRSet must be no less than two days and no more than one week.</t>
        </r>
      </text>
    </comment>
    <comment ref="J407" authorId="0" shapeId="0" xr:uid="{00000000-0006-0000-0B00-000085000000}">
      <text>
        <r>
          <rPr>
            <sz val="11"/>
            <rFont val="Calibri"/>
          </rPr>
          <t>An authoritative name server must be configured to enable DNSSEC Resource Records.</t>
        </r>
      </text>
    </comment>
    <comment ref="K407" authorId="0" shapeId="0" xr:uid="{00000000-0006-0000-0B00-000086000000}">
      <text>
        <r>
          <rPr>
            <sz val="11"/>
            <rFont val="Calibri"/>
          </rPr>
          <t>Primary authoritative name servers must be configured to only receive zone transfer requests from specified secondary name servers.</t>
        </r>
      </text>
    </comment>
    <comment ref="L407" authorId="0" shapeId="0" xr:uid="{00000000-0006-0000-0B00-000087000000}">
      <text>
        <r>
          <rPr>
            <sz val="11"/>
            <rFont val="Calibri"/>
          </rPr>
          <t>The F5 BIG-IP DNS must use valid root name servers in the local root zone file.</t>
        </r>
      </text>
    </comment>
    <comment ref="M407" authorId="0" shapeId="0" xr:uid="{00000000-0006-0000-0B00-000088000000}">
      <text>
        <r>
          <rPr>
            <sz val="11"/>
            <rFont val="Calibri"/>
          </rPr>
          <t>The platform on which the name server software is hosted must be configured to respond to DNS traffic only.</t>
        </r>
      </text>
    </comment>
    <comment ref="N407" authorId="0" shapeId="0" xr:uid="{00000000-0006-0000-0B00-000089000000}">
      <text>
        <r>
          <rPr>
            <sz val="11"/>
            <rFont val="Calibri"/>
          </rPr>
          <t>The digital signature algorithm used for DNSSEC-enabled zones must be set to use RSA/SHA256 or RSA/SHA512.</t>
        </r>
      </text>
    </comment>
    <comment ref="O407" authorId="0" shapeId="0" xr:uid="{00000000-0006-0000-0B00-00008A000000}">
      <text>
        <r>
          <rPr>
            <sz val="11"/>
            <rFont val="Calibri"/>
          </rPr>
          <t>The F5 BIG-IP DNS server implementation must validate the binding of the other DNS server</t>
        </r>
        <r>
          <rPr>
            <sz val="11"/>
            <color rgb="FF000000"/>
            <rFont val="Calibri"/>
          </rPr>
          <t>'</t>
        </r>
        <r>
          <rPr>
            <sz val="11"/>
            <color rgb="FF000000"/>
            <rFont val="Calibri"/>
          </rPr>
          <t>s identity to the DNS information for a server-to-server transaction (e.g., zone transfer).</t>
        </r>
      </text>
    </comment>
    <comment ref="P407" authorId="0" shapeId="0" xr:uid="{00000000-0006-0000-0B00-00008B000000}">
      <text>
        <r>
          <rPr>
            <sz val="11"/>
            <rFont val="Calibri"/>
          </rPr>
          <t>A BIG-IP DNS server implementation must provide additional data origin artifacts along with the authoritative data the system returns in response to external name/address resolution queries.</t>
        </r>
      </text>
    </comment>
    <comment ref="Q407" authorId="0" shapeId="0" xr:uid="{00000000-0006-0000-0B00-00008C000000}">
      <text>
        <r>
          <rPr>
            <sz val="11"/>
            <rFont val="Calibri"/>
          </rPr>
          <t>The validity period for the RRSIGs covering the DS RR for a zones delegated children must be no less than two days and no more than one week.</t>
        </r>
      </text>
    </comment>
    <comment ref="R407" authorId="0" shapeId="0" xr:uid="{00000000-0006-0000-0B00-00008D000000}">
      <text>
        <r>
          <rPr>
            <sz val="11"/>
            <rFont val="Calibri"/>
          </rPr>
          <t>The F5 BIG-IP DNS implementation must protect the authenticity of communications sessions for zone transfers.</t>
        </r>
      </text>
    </comment>
    <comment ref="H411" authorId="0" shapeId="0" xr:uid="{00000000-0006-0000-0B00-00008E000000}">
      <text>
        <r>
          <rPr>
            <sz val="11"/>
            <rFont val="Calibri"/>
          </rPr>
          <t>The F5 BIG-IP appliance must terminate shared/group account credentials when members leave the group.</t>
        </r>
      </text>
    </comment>
    <comment ref="I411" authorId="0" shapeId="0" xr:uid="{00000000-0006-0000-0B00-00008F000000}">
      <text>
        <r>
          <rPr>
            <sz val="11"/>
            <rFont val="Calibri"/>
          </rPr>
          <t>The F5 BIG-IP appliance must be configured with only one local account to be used as the account of last resort in the event the authentication server is unavailable.</t>
        </r>
      </text>
    </comment>
    <comment ref="H413" authorId="0" shapeId="0" xr:uid="{00000000-0006-0000-0B00-000090000000}">
      <text>
        <r>
          <rPr>
            <sz val="11"/>
            <rFont val="Calibri"/>
          </rPr>
          <t>The F5 BIG-IP appliance providing intermediary services for remote access communications traffic must ensure inbound and outbound traffic is monitored for compliance with remote access security policies.</t>
        </r>
      </text>
    </comment>
    <comment ref="H414" authorId="0" shapeId="0" xr:uid="{00000000-0006-0000-0B00-000091000000}">
      <text>
        <r>
          <rPr>
            <sz val="11"/>
            <rFont val="Calibri"/>
          </rPr>
          <t>The F5 BIG-IP appliance must be configured to use multifactor authentication (MFA) for interactive logins.</t>
        </r>
      </text>
    </comment>
    <comment ref="I414" authorId="0" shapeId="0" xr:uid="{00000000-0006-0000-0B00-000092000000}">
      <text>
        <r>
          <rPr>
            <sz val="11"/>
            <rFont val="Calibri"/>
          </rPr>
          <t>The F5 BIG-IP appliance providing user authentication intermediary services must uniquely identify and authenticate users using redundant authentication servers and multifactor authentication (MFA).</t>
        </r>
      </text>
    </comment>
    <comment ref="H415" authorId="0" shapeId="0" xr:uid="{00000000-0006-0000-0B00-000093000000}">
      <text>
        <r>
          <rPr>
            <sz val="11"/>
            <rFont val="Calibri"/>
          </rPr>
          <t>The F5 BIG-IP appliance must be configured to use multifactor authentication (MFA) for interactive logins.</t>
        </r>
      </text>
    </comment>
    <comment ref="I415" authorId="0" shapeId="0" xr:uid="{00000000-0006-0000-0B00-000094000000}">
      <text>
        <r>
          <rPr>
            <sz val="11"/>
            <rFont val="Calibri"/>
          </rPr>
          <t>The F5 BIG-IP appliance providing user authentication intermediary services must uniquely identify and authenticate users using redundant authentication servers and multifactor authentication (MFA).</t>
        </r>
      </text>
    </comment>
    <comment ref="H416" authorId="0" shapeId="0" xr:uid="{00000000-0006-0000-0B00-000095000000}">
      <text>
        <r>
          <rPr>
            <sz val="11"/>
            <rFont val="Calibri"/>
          </rPr>
          <t>The F5 BIG-IP appliance must be configured to assign appropriate user roles or access levels to authenticated users.</t>
        </r>
      </text>
    </comment>
    <comment ref="I416" authorId="0" shapeId="0" xr:uid="{00000000-0006-0000-0B00-000096000000}">
      <text>
        <r>
          <rPr>
            <sz val="11"/>
            <rFont val="Calibri"/>
          </rPr>
          <t>The F5 BIG-IP appliance providing user access control intermediary services must enforce approved authorizations for logical access to information and system resources by employing identity-based, role-based, and/or attribute-based security policies.</t>
        </r>
      </text>
    </comment>
    <comment ref="H420" authorId="0" shapeId="0" xr:uid="{00000000-0006-0000-0B00-000097000000}">
      <text>
        <r>
          <rPr>
            <sz val="11"/>
            <rFont val="Calibri"/>
          </rPr>
          <t>The F5 BIG-IP appliance must be configured to enforce the limit of three consecutive invalid logon attempts, after which time it must block any login attempt for at least 15 minutes.</t>
        </r>
      </text>
    </comment>
    <comment ref="H421" authorId="0" shapeId="0" xr:uid="{00000000-0006-0000-0B00-000098000000}">
      <text>
        <r>
          <rPr>
            <sz val="11"/>
            <rFont val="Calibri"/>
          </rPr>
          <t>The F5 BIG-IP appliance must enforce a minimum 15-character password length.</t>
        </r>
      </text>
    </comment>
    <comment ref="I421" authorId="0" shapeId="0" xr:uid="{00000000-0006-0000-0B00-000099000000}">
      <text>
        <r>
          <rPr>
            <sz val="11"/>
            <rFont val="Calibri"/>
          </rPr>
          <t>The F5 BIG-IP appliance must enforce password complexity by requiring that at least one uppercase character be used.</t>
        </r>
      </text>
    </comment>
    <comment ref="J421" authorId="0" shapeId="0" xr:uid="{00000000-0006-0000-0B00-00009A000000}">
      <text>
        <r>
          <rPr>
            <sz val="11"/>
            <rFont val="Calibri"/>
          </rPr>
          <t>The F5 BIG-IP appliance must enforce password complexity by requiring that at least one lowercase character be used.</t>
        </r>
      </text>
    </comment>
    <comment ref="K421" authorId="0" shapeId="0" xr:uid="{00000000-0006-0000-0B00-00009B000000}">
      <text>
        <r>
          <rPr>
            <sz val="11"/>
            <rFont val="Calibri"/>
          </rPr>
          <t>The F5 BIG-IP appliance must enforce password complexity by requiring that at least one numeric character be used.</t>
        </r>
      </text>
    </comment>
    <comment ref="L421" authorId="0" shapeId="0" xr:uid="{00000000-0006-0000-0B00-00009C000000}">
      <text>
        <r>
          <rPr>
            <sz val="11"/>
            <rFont val="Calibri"/>
          </rPr>
          <t>The F5 BIG-IP appliance must enforce password complexity by requiring that at least one special character be used.</t>
        </r>
      </text>
    </comment>
    <comment ref="M421" authorId="0" shapeId="0" xr:uid="{00000000-0006-0000-0B00-00009D000000}">
      <text>
        <r>
          <rPr>
            <sz val="11"/>
            <rFont val="Calibri"/>
          </rPr>
          <t>The F5 BIG-IP appliance must require that when a password is changed, the characters are changed in at least eight of the positions within the password.</t>
        </r>
      </text>
    </comment>
    <comment ref="N421" authorId="0" shapeId="0" xr:uid="{00000000-0006-0000-0B00-00009E000000}">
      <text>
        <r>
          <rPr>
            <sz val="11"/>
            <rFont val="Calibri"/>
          </rPr>
          <t>The F5 BIG-IP appliance must prohibit the use of cached authenticators after eight hours or less.</t>
        </r>
      </text>
    </comment>
    <comment ref="H422" authorId="0" shapeId="0" xr:uid="{00000000-0006-0000-0B00-00009F000000}">
      <text>
        <r>
          <rPr>
            <sz val="11"/>
            <rFont val="Calibri"/>
          </rPr>
          <t>The F5 BIG-IP appliance must enforce a minimum 15-character password length.</t>
        </r>
      </text>
    </comment>
    <comment ref="I422" authorId="0" shapeId="0" xr:uid="{00000000-0006-0000-0B00-0000A0000000}">
      <text>
        <r>
          <rPr>
            <sz val="11"/>
            <rFont val="Calibri"/>
          </rPr>
          <t>The F5 BIG-IP appliance must enforce password complexity by requiring that at least one uppercase character be used.</t>
        </r>
      </text>
    </comment>
    <comment ref="J422" authorId="0" shapeId="0" xr:uid="{00000000-0006-0000-0B00-0000A1000000}">
      <text>
        <r>
          <rPr>
            <sz val="11"/>
            <rFont val="Calibri"/>
          </rPr>
          <t>The F5 BIG-IP appliance must enforce password complexity by requiring that at least one lowercase character be used.</t>
        </r>
      </text>
    </comment>
    <comment ref="K422" authorId="0" shapeId="0" xr:uid="{00000000-0006-0000-0B00-0000A2000000}">
      <text>
        <r>
          <rPr>
            <sz val="11"/>
            <rFont val="Calibri"/>
          </rPr>
          <t>The F5 BIG-IP appliance must enforce password complexity by requiring that at least one numeric character be used.</t>
        </r>
      </text>
    </comment>
    <comment ref="L422" authorId="0" shapeId="0" xr:uid="{00000000-0006-0000-0B00-0000A3000000}">
      <text>
        <r>
          <rPr>
            <sz val="11"/>
            <rFont val="Calibri"/>
          </rPr>
          <t>The F5 BIG-IP appliance must enforce password complexity by requiring that at least one special character be used.</t>
        </r>
      </text>
    </comment>
    <comment ref="M422" authorId="0" shapeId="0" xr:uid="{00000000-0006-0000-0B00-0000A4000000}">
      <text>
        <r>
          <rPr>
            <sz val="11"/>
            <rFont val="Calibri"/>
          </rPr>
          <t>The F5 BIG-IP appliance must require that when a password is changed, the characters are changed in at least eight of the positions within the password.</t>
        </r>
      </text>
    </comment>
  </commentList>
</comments>
</file>

<file path=xl/sharedStrings.xml><?xml version="1.0" encoding="utf-8"?>
<sst xmlns="http://schemas.openxmlformats.org/spreadsheetml/2006/main" count="12901" uniqueCount="6246">
  <si>
    <t>Id</t>
  </si>
  <si>
    <t>Title</t>
  </si>
  <si>
    <t>Severity</t>
  </si>
  <si>
    <t>Component</t>
  </si>
  <si>
    <t>MoSCoW</t>
  </si>
  <si>
    <t>OpsImpact</t>
  </si>
  <si>
    <t>Phase</t>
  </si>
  <si>
    <t>ImplStatus</t>
  </si>
  <si>
    <t>Notes</t>
  </si>
  <si>
    <t>Remediation</t>
  </si>
  <si>
    <t>Description</t>
  </si>
  <si>
    <t>Audit</t>
  </si>
  <si>
    <t>Status</t>
  </si>
  <si>
    <t>LogID</t>
  </si>
  <si>
    <t>V-265980</t>
  </si>
  <si>
    <r>
      <rPr>
        <sz val="11"/>
        <rFont val="Calibri"/>
      </rPr>
      <t>The F5 BIG-IP DNS implementation must prohibit recursion on authoritative name servers.</t>
    </r>
  </si>
  <si>
    <t>CAT II (Medium)</t>
  </si>
  <si>
    <t>DNS</t>
  </si>
  <si>
    <t>Unassigned</t>
  </si>
  <si>
    <t>Unassessed</t>
  </si>
  <si>
    <t>Pending</t>
  </si>
  <si>
    <t/>
  </si>
  <si>
    <r>
      <rPr>
        <sz val="11"/>
        <color rgb="FF000000"/>
        <rFont val="Calibri"/>
      </rPr>
      <t>If the BIG-IP has the role of authoritative DNS server, then configure as follows.</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DNS.</t>
    </r>
    <r>
      <rPr>
        <sz val="11"/>
        <color rgb="FF000000"/>
        <rFont val="Calibri"/>
      </rPr>
      <t xml:space="preserve">
</t>
    </r>
    <r>
      <rPr>
        <sz val="11"/>
        <color rgb="FF000000"/>
        <rFont val="Calibri"/>
      </rPr>
      <t>2. Delivery.</t>
    </r>
    <r>
      <rPr>
        <sz val="11"/>
        <color rgb="FF000000"/>
        <rFont val="Calibri"/>
      </rPr>
      <t xml:space="preserve">
</t>
    </r>
    <r>
      <rPr>
        <sz val="11"/>
        <color rgb="FF000000"/>
        <rFont val="Calibri"/>
      </rPr>
      <t>3. Profiles.</t>
    </r>
    <r>
      <rPr>
        <sz val="11"/>
        <color rgb="FF000000"/>
        <rFont val="Calibri"/>
      </rPr>
      <t xml:space="preserve">
</t>
    </r>
    <r>
      <rPr>
        <sz val="11"/>
        <color rgb="FF000000"/>
        <rFont val="Calibri"/>
      </rPr>
      <t>4. DNS.</t>
    </r>
    <r>
      <rPr>
        <sz val="11"/>
        <color rgb="FF000000"/>
        <rFont val="Calibri"/>
      </rPr>
      <t xml:space="preserve">
</t>
    </r>
    <r>
      <rPr>
        <sz val="11"/>
        <color rgb="FF000000"/>
        <rFont val="Calibri"/>
      </rPr>
      <t>5. Click the name of the profile used for the authoritative listener.</t>
    </r>
    <r>
      <rPr>
        <sz val="11"/>
        <color rgb="FF000000"/>
        <rFont val="Calibri"/>
      </rPr>
      <t xml:space="preserve">
</t>
    </r>
    <r>
      <rPr>
        <sz val="11"/>
        <color rgb="FF000000"/>
        <rFont val="Calibri"/>
      </rPr>
      <t>6. Configure the following settings:</t>
    </r>
    <r>
      <rPr>
        <sz val="11"/>
        <color rgb="FF000000"/>
        <rFont val="Calibri"/>
      </rPr>
      <t xml:space="preserve">
</t>
    </r>
    <r>
      <rPr>
        <sz val="11"/>
        <color rgb="FF000000"/>
        <rFont val="Calibri"/>
      </rPr>
      <t>a. Use BIND Server on BIG-IP: Disabled</t>
    </r>
    <r>
      <rPr>
        <sz val="11"/>
        <color rgb="FF000000"/>
        <rFont val="Calibri"/>
      </rPr>
      <t xml:space="preserve">
</t>
    </r>
    <r>
      <rPr>
        <sz val="11"/>
        <color rgb="FF000000"/>
        <rFont val="Calibri"/>
      </rPr>
      <t>b. DNS Cache: Disabled</t>
    </r>
    <r>
      <rPr>
        <sz val="11"/>
        <color rgb="FF000000"/>
        <rFont val="Calibri"/>
      </rPr>
      <t xml:space="preserve">
</t>
    </r>
    <r>
      <rPr>
        <sz val="11"/>
        <color rgb="FF000000"/>
        <rFont val="Calibri"/>
      </rPr>
      <t>7. Click "Update".</t>
    </r>
  </si>
  <si>
    <r>
      <rPr>
        <sz val="11"/>
        <color rgb="FF000000"/>
        <rFont val="Calibri"/>
      </rPr>
      <t xml:space="preserve">A potential vulnerability of DNS is that an attacker can poison a name server's cache by sending queries that will cause the server to obtain host-to-IP address mappings from bogus name servers that respond with incorrect information. Once a name server has been poisoned, legitimate clients may be directed to nonexistent hosts (which constitutes a denial of service), or worse, hosts that masquerade as legitimate ones to obtain sensitive data or passwords. </t>
    </r>
    <r>
      <rPr>
        <sz val="11"/>
        <color rgb="FF000000"/>
        <rFont val="Calibri"/>
      </rPr>
      <t xml:space="preserve">
</t>
    </r>
    <r>
      <rPr>
        <sz val="11"/>
        <color rgb="FF000000"/>
        <rFont val="Calibri"/>
      </rPr>
      <t>To guard against poisoning, name servers authoritative for .mil domains must be separated functionally from name servers that resolve queries on behalf of internal clients. Organizations may achieve this separation by dedicating machines to each function or, if possible, by running two instances of the name server software on the same machine: one for the authoritative function and the other for the resolving function. In this design, each name server process may be bound to a different IP address or network interface to implement the required segregation.</t>
    </r>
    <r>
      <rPr>
        <sz val="11"/>
        <color rgb="FF000000"/>
        <rFont val="Calibri"/>
      </rPr>
      <t xml:space="preserve">
</t>
    </r>
    <r>
      <rPr>
        <sz val="11"/>
        <color rgb="FF000000"/>
        <rFont val="Calibri"/>
      </rPr>
      <t xml:space="preserve">DNSSEC ensures that the answer received when querying for name resolution actually comes from a trusted name server. Since DNSSEC is still far from being globally deployed external to DOD, and many resolvers either have not been updated or do not support DNSSEC, maintaining cached zone data separate from authoritative zone data mitigates the gap until all DNS data is validated with DNSSEC. </t>
    </r>
    <r>
      <rPr>
        <sz val="11"/>
        <color rgb="FF000000"/>
        <rFont val="Calibri"/>
      </rPr>
      <t xml:space="preserve">
</t>
    </r>
    <r>
      <rPr>
        <sz val="11"/>
        <color rgb="FF000000"/>
        <rFont val="Calibri"/>
      </rPr>
      <t>Since DNS forwarding of queries can be accomplished in some DNS applications without caching locally, DNS forwarding is the method to be used when providing external DNS resolution to internal clients.</t>
    </r>
  </si>
  <si>
    <r>
      <rPr>
        <sz val="11"/>
        <color rgb="FF000000"/>
        <rFont val="Calibri"/>
      </rPr>
      <t>If the BIG-IP does not have the role of authoritative DNS server, this is not applicable.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DNS.</t>
    </r>
    <r>
      <rPr>
        <sz val="11"/>
        <color rgb="FF000000"/>
        <rFont val="Calibri"/>
      </rPr>
      <t xml:space="preserve">
</t>
    </r>
    <r>
      <rPr>
        <sz val="11"/>
        <color rgb="FF000000"/>
        <rFont val="Calibri"/>
      </rPr>
      <t>2. Delivery.</t>
    </r>
    <r>
      <rPr>
        <sz val="11"/>
        <color rgb="FF000000"/>
        <rFont val="Calibri"/>
      </rPr>
      <t xml:space="preserve">
</t>
    </r>
    <r>
      <rPr>
        <sz val="11"/>
        <color rgb="FF000000"/>
        <rFont val="Calibri"/>
      </rPr>
      <t>3. Profiles.</t>
    </r>
    <r>
      <rPr>
        <sz val="11"/>
        <color rgb="FF000000"/>
        <rFont val="Calibri"/>
      </rPr>
      <t xml:space="preserve">
</t>
    </r>
    <r>
      <rPr>
        <sz val="11"/>
        <color rgb="FF000000"/>
        <rFont val="Calibri"/>
      </rPr>
      <t>4. DNS.</t>
    </r>
    <r>
      <rPr>
        <sz val="11"/>
        <color rgb="FF000000"/>
        <rFont val="Calibri"/>
      </rPr>
      <t xml:space="preserve">
</t>
    </r>
    <r>
      <rPr>
        <sz val="11"/>
        <color rgb="FF000000"/>
        <rFont val="Calibri"/>
      </rPr>
      <t>5. Click the name of the profile used for the authoritative listener.</t>
    </r>
    <r>
      <rPr>
        <sz val="11"/>
        <color rgb="FF000000"/>
        <rFont val="Calibri"/>
      </rPr>
      <t xml:space="preserve">
</t>
    </r>
    <r>
      <rPr>
        <sz val="11"/>
        <color rgb="FF000000"/>
        <rFont val="Calibri"/>
      </rPr>
      <t>6. Verify the following settings:</t>
    </r>
    <r>
      <rPr>
        <sz val="11"/>
        <color rgb="FF000000"/>
        <rFont val="Calibri"/>
      </rPr>
      <t xml:space="preserve">
</t>
    </r>
    <r>
      <rPr>
        <sz val="11"/>
        <color rgb="FF000000"/>
        <rFont val="Calibri"/>
      </rPr>
      <t>a. Use BIND Server on BIG-IP: Disabled</t>
    </r>
    <r>
      <rPr>
        <sz val="11"/>
        <color rgb="FF000000"/>
        <rFont val="Calibri"/>
      </rPr>
      <t xml:space="preserve">
</t>
    </r>
    <r>
      <rPr>
        <sz val="11"/>
        <color rgb="FF000000"/>
        <rFont val="Calibri"/>
      </rPr>
      <t>b. DNS Cache: Disabled</t>
    </r>
    <r>
      <rPr>
        <sz val="11"/>
        <color rgb="FF000000"/>
        <rFont val="Calibri"/>
      </rPr>
      <t xml:space="preserve">
</t>
    </r>
    <r>
      <rPr>
        <sz val="11"/>
        <color rgb="FF000000"/>
        <rFont val="Calibri"/>
      </rPr>
      <t>If the BIG-IP appliance is not configured to prohibit recursion on authoritative name servers, this is a finding.</t>
    </r>
  </si>
  <si>
    <t>V-265981</t>
  </si>
  <si>
    <r>
      <rPr>
        <sz val="11"/>
        <rFont val="Calibri"/>
      </rPr>
      <t>The validity period for the RRSIGs covering a zone</t>
    </r>
    <r>
      <rPr>
        <sz val="11"/>
        <color rgb="FF000000"/>
        <rFont val="Calibri"/>
      </rPr>
      <t>'</t>
    </r>
    <r>
      <rPr>
        <sz val="11"/>
        <color rgb="FF000000"/>
        <rFont val="Calibri"/>
      </rPr>
      <t>s DNSKEY RRSet must be no less than two days and no more than one week.</t>
    </r>
  </si>
  <si>
    <r>
      <rPr>
        <sz val="11"/>
        <color rgb="FF000000"/>
        <rFont val="Calibri"/>
      </rPr>
      <t>KSK validity period:</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DNS.</t>
    </r>
    <r>
      <rPr>
        <sz val="11"/>
        <color rgb="FF000000"/>
        <rFont val="Calibri"/>
      </rPr>
      <t xml:space="preserve">
</t>
    </r>
    <r>
      <rPr>
        <sz val="11"/>
        <color rgb="FF000000"/>
        <rFont val="Calibri"/>
      </rPr>
      <t>2. Delivery.</t>
    </r>
    <r>
      <rPr>
        <sz val="11"/>
        <color rgb="FF000000"/>
        <rFont val="Calibri"/>
      </rPr>
      <t xml:space="preserve">
</t>
    </r>
    <r>
      <rPr>
        <sz val="11"/>
        <color rgb="FF000000"/>
        <rFont val="Calibri"/>
      </rPr>
      <t>3. Keys.</t>
    </r>
    <r>
      <rPr>
        <sz val="11"/>
        <color rgb="FF000000"/>
        <rFont val="Calibri"/>
      </rPr>
      <t xml:space="preserve">
</t>
    </r>
    <r>
      <rPr>
        <sz val="11"/>
        <color rgb="FF000000"/>
        <rFont val="Calibri"/>
      </rPr>
      <t>4. DNSSEC Key List.</t>
    </r>
    <r>
      <rPr>
        <sz val="11"/>
        <color rgb="FF000000"/>
        <rFont val="Calibri"/>
      </rPr>
      <t xml:space="preserve">
</t>
    </r>
    <r>
      <rPr>
        <sz val="11"/>
        <color rgb="FF000000"/>
        <rFont val="Calibri"/>
      </rPr>
      <t>5. Click the Name of the KSK.</t>
    </r>
    <r>
      <rPr>
        <sz val="11"/>
        <color rgb="FF000000"/>
        <rFont val="Calibri"/>
      </rPr>
      <t xml:space="preserve">
</t>
    </r>
    <r>
      <rPr>
        <sz val="11"/>
        <color rgb="FF000000"/>
        <rFont val="Calibri"/>
      </rPr>
      <t>6. Configure the "Signature Validity Period" to between two and seven days.</t>
    </r>
    <r>
      <rPr>
        <sz val="11"/>
        <color rgb="FF000000"/>
        <rFont val="Calibri"/>
      </rPr>
      <t xml:space="preserve">
</t>
    </r>
    <r>
      <rPr>
        <sz val="11"/>
        <color rgb="FF000000"/>
        <rFont val="Calibri"/>
      </rPr>
      <t>7. Click "Update".</t>
    </r>
    <r>
      <rPr>
        <sz val="11"/>
        <color rgb="FF000000"/>
        <rFont val="Calibri"/>
      </rPr>
      <t xml:space="preserve">
</t>
    </r>
    <r>
      <rPr>
        <sz val="11"/>
        <color rgb="FF000000"/>
        <rFont val="Calibri"/>
      </rPr>
      <t>ZSK validity period:</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DNS.</t>
    </r>
    <r>
      <rPr>
        <sz val="11"/>
        <color rgb="FF000000"/>
        <rFont val="Calibri"/>
      </rPr>
      <t xml:space="preserve">
</t>
    </r>
    <r>
      <rPr>
        <sz val="11"/>
        <color rgb="FF000000"/>
        <rFont val="Calibri"/>
      </rPr>
      <t>2. Delivery.</t>
    </r>
    <r>
      <rPr>
        <sz val="11"/>
        <color rgb="FF000000"/>
        <rFont val="Calibri"/>
      </rPr>
      <t xml:space="preserve">
</t>
    </r>
    <r>
      <rPr>
        <sz val="11"/>
        <color rgb="FF000000"/>
        <rFont val="Calibri"/>
      </rPr>
      <t>3. Keys.</t>
    </r>
    <r>
      <rPr>
        <sz val="11"/>
        <color rgb="FF000000"/>
        <rFont val="Calibri"/>
      </rPr>
      <t xml:space="preserve">
</t>
    </r>
    <r>
      <rPr>
        <sz val="11"/>
        <color rgb="FF000000"/>
        <rFont val="Calibri"/>
      </rPr>
      <t>4. DNSSEC Key List.</t>
    </r>
    <r>
      <rPr>
        <sz val="11"/>
        <color rgb="FF000000"/>
        <rFont val="Calibri"/>
      </rPr>
      <t xml:space="preserve">
</t>
    </r>
    <r>
      <rPr>
        <sz val="11"/>
        <color rgb="FF000000"/>
        <rFont val="Calibri"/>
      </rPr>
      <t>5. Click the Name of the ZSK.</t>
    </r>
    <r>
      <rPr>
        <sz val="11"/>
        <color rgb="FF000000"/>
        <rFont val="Calibri"/>
      </rPr>
      <t xml:space="preserve">
</t>
    </r>
    <r>
      <rPr>
        <sz val="11"/>
        <color rgb="FF000000"/>
        <rFont val="Calibri"/>
      </rPr>
      <t>6. Configure the "Signature Validity Period" to between two and seven days.</t>
    </r>
    <r>
      <rPr>
        <sz val="11"/>
        <color rgb="FF000000"/>
        <rFont val="Calibri"/>
      </rPr>
      <t xml:space="preserve">
</t>
    </r>
    <r>
      <rPr>
        <sz val="11"/>
        <color rgb="FF000000"/>
        <rFont val="Calibri"/>
      </rPr>
      <t>7. Click "Update".</t>
    </r>
  </si>
  <si>
    <r>
      <rPr>
        <sz val="11"/>
        <color rgb="FF000000"/>
        <rFont val="Calibri"/>
      </rPr>
      <t>The best way for a zone administrator to minimize the impact of a key compromise is by limiting the validity period of RRSIGs in the zone and in the parent zone. This strategy limits the time during which an attacker can take advantage of a compromised key to forge responses. An attacker that has compromised a ZSK can use that key only during the KSK's signature validity interval. An attacker that has compromised a KSK can use that key for only as long as the signature interval of the RRSIG covering the DS RR in the delegating parent. These validity periods must be short, which will require frequent re-signing.</t>
    </r>
    <r>
      <rPr>
        <sz val="11"/>
        <color rgb="FF000000"/>
        <rFont val="Calibri"/>
      </rPr>
      <t xml:space="preserve">
</t>
    </r>
    <r>
      <rPr>
        <sz val="11"/>
        <color rgb="FF000000"/>
        <rFont val="Calibri"/>
      </rPr>
      <t>To minimize the impact of a compromised ZSK, a zone administrator must set a signature validity period of one week for RRSIGs covering the DNSKEY RRSet in the zone (the RRSet that contains the ZSK and KSK for the zone). The DNSKEY RRSet can be re-signed without performing a ZSK rollover, but scheduled ZSK rollover must still be performed at regular intervals.</t>
    </r>
  </si>
  <si>
    <r>
      <rPr>
        <sz val="11"/>
        <color rgb="FF000000"/>
        <rFont val="Calibri"/>
      </rPr>
      <t>KSK validity period:</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DNS.</t>
    </r>
    <r>
      <rPr>
        <sz val="11"/>
        <color rgb="FF000000"/>
        <rFont val="Calibri"/>
      </rPr>
      <t xml:space="preserve">
</t>
    </r>
    <r>
      <rPr>
        <sz val="11"/>
        <color rgb="FF000000"/>
        <rFont val="Calibri"/>
      </rPr>
      <t>2. Delivery.</t>
    </r>
    <r>
      <rPr>
        <sz val="11"/>
        <color rgb="FF000000"/>
        <rFont val="Calibri"/>
      </rPr>
      <t xml:space="preserve">
</t>
    </r>
    <r>
      <rPr>
        <sz val="11"/>
        <color rgb="FF000000"/>
        <rFont val="Calibri"/>
      </rPr>
      <t>3. Keys.</t>
    </r>
    <r>
      <rPr>
        <sz val="11"/>
        <color rgb="FF000000"/>
        <rFont val="Calibri"/>
      </rPr>
      <t xml:space="preserve">
</t>
    </r>
    <r>
      <rPr>
        <sz val="11"/>
        <color rgb="FF000000"/>
        <rFont val="Calibri"/>
      </rPr>
      <t>4. DNSSEC Key List.</t>
    </r>
    <r>
      <rPr>
        <sz val="11"/>
        <color rgb="FF000000"/>
        <rFont val="Calibri"/>
      </rPr>
      <t xml:space="preserve">
</t>
    </r>
    <r>
      <rPr>
        <sz val="11"/>
        <color rgb="FF000000"/>
        <rFont val="Calibri"/>
      </rPr>
      <t>5. Click the Name of the KSK.</t>
    </r>
    <r>
      <rPr>
        <sz val="11"/>
        <color rgb="FF000000"/>
        <rFont val="Calibri"/>
      </rPr>
      <t xml:space="preserve">
</t>
    </r>
    <r>
      <rPr>
        <sz val="11"/>
        <color rgb="FF000000"/>
        <rFont val="Calibri"/>
      </rPr>
      <t>6. Verify the "Signature Validity Period" is between two and seven days.</t>
    </r>
    <r>
      <rPr>
        <sz val="11"/>
        <color rgb="FF000000"/>
        <rFont val="Calibri"/>
      </rPr>
      <t xml:space="preserve">
</t>
    </r>
    <r>
      <rPr>
        <sz val="11"/>
        <color rgb="FF000000"/>
        <rFont val="Calibri"/>
      </rPr>
      <t>ZSK validity period:</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DNS.</t>
    </r>
    <r>
      <rPr>
        <sz val="11"/>
        <color rgb="FF000000"/>
        <rFont val="Calibri"/>
      </rPr>
      <t xml:space="preserve">
</t>
    </r>
    <r>
      <rPr>
        <sz val="11"/>
        <color rgb="FF000000"/>
        <rFont val="Calibri"/>
      </rPr>
      <t>2. Delivery.</t>
    </r>
    <r>
      <rPr>
        <sz val="11"/>
        <color rgb="FF000000"/>
        <rFont val="Calibri"/>
      </rPr>
      <t xml:space="preserve">
</t>
    </r>
    <r>
      <rPr>
        <sz val="11"/>
        <color rgb="FF000000"/>
        <rFont val="Calibri"/>
      </rPr>
      <t>3. Keys.</t>
    </r>
    <r>
      <rPr>
        <sz val="11"/>
        <color rgb="FF000000"/>
        <rFont val="Calibri"/>
      </rPr>
      <t xml:space="preserve">
</t>
    </r>
    <r>
      <rPr>
        <sz val="11"/>
        <color rgb="FF000000"/>
        <rFont val="Calibri"/>
      </rPr>
      <t>4. DNSSEC Key List.</t>
    </r>
    <r>
      <rPr>
        <sz val="11"/>
        <color rgb="FF000000"/>
        <rFont val="Calibri"/>
      </rPr>
      <t xml:space="preserve">
</t>
    </r>
    <r>
      <rPr>
        <sz val="11"/>
        <color rgb="FF000000"/>
        <rFont val="Calibri"/>
      </rPr>
      <t>5. Click the Name of the ZSK.</t>
    </r>
    <r>
      <rPr>
        <sz val="11"/>
        <color rgb="FF000000"/>
        <rFont val="Calibri"/>
      </rPr>
      <t xml:space="preserve">
</t>
    </r>
    <r>
      <rPr>
        <sz val="11"/>
        <color rgb="FF000000"/>
        <rFont val="Calibri"/>
      </rPr>
      <t>6. Verify the "Signature Validity Period" is between two and seven days.</t>
    </r>
    <r>
      <rPr>
        <sz val="11"/>
        <color rgb="FF000000"/>
        <rFont val="Calibri"/>
      </rPr>
      <t xml:space="preserve">
</t>
    </r>
    <r>
      <rPr>
        <sz val="11"/>
        <color rgb="FF000000"/>
        <rFont val="Calibri"/>
      </rPr>
      <t>If the BIG-IP appliance is not configured with a validity period for the RRSIGs covering a zones DNSKEY RRSet of no less than two days and no more than one week, this is a finding.</t>
    </r>
  </si>
  <si>
    <t>V-265982</t>
  </si>
  <si>
    <r>
      <rPr>
        <sz val="11"/>
        <rFont val="Calibri"/>
      </rPr>
      <t>An authoritative name server must be configured to enable DNSSEC Resource Records.</t>
    </r>
  </si>
  <si>
    <r>
      <rPr>
        <sz val="11"/>
        <color rgb="FF000000"/>
        <rFont val="Calibri"/>
      </rPr>
      <t>DNSSEC Keys:</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DNS.</t>
    </r>
    <r>
      <rPr>
        <sz val="11"/>
        <color rgb="FF000000"/>
        <rFont val="Calibri"/>
      </rPr>
      <t xml:space="preserve">
</t>
    </r>
    <r>
      <rPr>
        <sz val="11"/>
        <color rgb="FF000000"/>
        <rFont val="Calibri"/>
      </rPr>
      <t>2. Zones.</t>
    </r>
    <r>
      <rPr>
        <sz val="11"/>
        <color rgb="FF000000"/>
        <rFont val="Calibri"/>
      </rPr>
      <t xml:space="preserve">
</t>
    </r>
    <r>
      <rPr>
        <sz val="11"/>
        <color rgb="FF000000"/>
        <rFont val="Calibri"/>
      </rPr>
      <t>3. DNSSEC Zones.</t>
    </r>
    <r>
      <rPr>
        <sz val="11"/>
        <color rgb="FF000000"/>
        <rFont val="Calibri"/>
      </rPr>
      <t xml:space="preserve">
</t>
    </r>
    <r>
      <rPr>
        <sz val="11"/>
        <color rgb="FF000000"/>
        <rFont val="Calibri"/>
      </rPr>
      <t>4. DNSSEC Zone List.</t>
    </r>
    <r>
      <rPr>
        <sz val="11"/>
        <color rgb="FF000000"/>
        <rFont val="Calibri"/>
      </rPr>
      <t xml:space="preserve">
</t>
    </r>
    <r>
      <rPr>
        <sz val="11"/>
        <color rgb="FF000000"/>
        <rFont val="Calibri"/>
      </rPr>
      <t>5. Click the name of the zone.</t>
    </r>
    <r>
      <rPr>
        <sz val="11"/>
        <color rgb="FF000000"/>
        <rFont val="Calibri"/>
      </rPr>
      <t xml:space="preserve">
</t>
    </r>
    <r>
      <rPr>
        <sz val="11"/>
        <color rgb="FF000000"/>
        <rFont val="Calibri"/>
      </rPr>
      <t>6. Move a key for both "Zone Signing Key" and "Key Signing Key" into the "Active" column.</t>
    </r>
    <r>
      <rPr>
        <sz val="11"/>
        <color rgb="FF000000"/>
        <rFont val="Calibri"/>
      </rPr>
      <t xml:space="preserve">
</t>
    </r>
    <r>
      <rPr>
        <sz val="11"/>
        <color rgb="FF000000"/>
        <rFont val="Calibri"/>
      </rPr>
      <t>7. Click "Update".</t>
    </r>
    <r>
      <rPr>
        <sz val="11"/>
        <color rgb="FF000000"/>
        <rFont val="Calibri"/>
      </rPr>
      <t xml:space="preserve">
</t>
    </r>
    <r>
      <rPr>
        <sz val="11"/>
        <color rgb="FF000000"/>
        <rFont val="Calibri"/>
      </rPr>
      <t>Note: To create a Zone Signing Key and/or Key Signing Key, go to DNS &gt;&gt; Delivery &gt;&gt; Keys &gt;&gt; DNSSEC Key List.</t>
    </r>
    <r>
      <rPr>
        <sz val="11"/>
        <color rgb="FF000000"/>
        <rFont val="Calibri"/>
      </rPr>
      <t xml:space="preserve">
</t>
    </r>
    <r>
      <rPr>
        <sz val="11"/>
        <color rgb="FF000000"/>
        <rFont val="Calibri"/>
      </rPr>
      <t>TSIG Key:</t>
    </r>
    <r>
      <rPr>
        <sz val="11"/>
        <color rgb="FF000000"/>
        <rFont val="Calibri"/>
      </rPr>
      <t xml:space="preserve">
</t>
    </r>
    <r>
      <rPr>
        <sz val="11"/>
        <color rgb="FF000000"/>
        <rFont val="Calibri"/>
      </rPr>
      <t>1. DNS.</t>
    </r>
    <r>
      <rPr>
        <sz val="11"/>
        <color rgb="FF000000"/>
        <rFont val="Calibri"/>
      </rPr>
      <t xml:space="preserve">
</t>
    </r>
    <r>
      <rPr>
        <sz val="11"/>
        <color rgb="FF000000"/>
        <rFont val="Calibri"/>
      </rPr>
      <t>2. Delivery.</t>
    </r>
    <r>
      <rPr>
        <sz val="11"/>
        <color rgb="FF000000"/>
        <rFont val="Calibri"/>
      </rPr>
      <t xml:space="preserve">
</t>
    </r>
    <r>
      <rPr>
        <sz val="11"/>
        <color rgb="FF000000"/>
        <rFont val="Calibri"/>
      </rPr>
      <t>3. Nameservers.</t>
    </r>
    <r>
      <rPr>
        <sz val="11"/>
        <color rgb="FF000000"/>
        <rFont val="Calibri"/>
      </rPr>
      <t xml:space="preserve">
</t>
    </r>
    <r>
      <rPr>
        <sz val="11"/>
        <color rgb="FF000000"/>
        <rFont val="Calibri"/>
      </rPr>
      <t>4. Nameserver List.</t>
    </r>
    <r>
      <rPr>
        <sz val="11"/>
        <color rgb="FF000000"/>
        <rFont val="Calibri"/>
      </rPr>
      <t xml:space="preserve">
</t>
    </r>
    <r>
      <rPr>
        <sz val="11"/>
        <color rgb="FF000000"/>
        <rFont val="Calibri"/>
      </rPr>
      <t>5. Click on the name of the Nameserver.</t>
    </r>
    <r>
      <rPr>
        <sz val="11"/>
        <color rgb="FF000000"/>
        <rFont val="Calibri"/>
      </rPr>
      <t xml:space="preserve">
</t>
    </r>
    <r>
      <rPr>
        <sz val="11"/>
        <color rgb="FF000000"/>
        <rFont val="Calibri"/>
      </rPr>
      <t>6. Select a value from the drop-down for "TSIG Key".</t>
    </r>
    <r>
      <rPr>
        <sz val="11"/>
        <color rgb="FF000000"/>
        <rFont val="Calibri"/>
      </rPr>
      <t xml:space="preserve">
</t>
    </r>
    <r>
      <rPr>
        <sz val="11"/>
        <color rgb="FF000000"/>
        <rFont val="Calibri"/>
      </rPr>
      <t>7. Click "Update".</t>
    </r>
    <r>
      <rPr>
        <sz val="11"/>
        <color rgb="FF000000"/>
        <rFont val="Calibri"/>
      </rPr>
      <t xml:space="preserve">
</t>
    </r>
    <r>
      <rPr>
        <sz val="11"/>
        <color rgb="FF000000"/>
        <rFont val="Calibri"/>
      </rPr>
      <t>Note: To create a TSIG Key, go to DNS &gt;&gt; Delivery &gt;&gt; Keys &gt;&gt; TSIG Key List.</t>
    </r>
  </si>
  <si>
    <r>
      <rPr>
        <sz val="11"/>
        <color rgb="FF000000"/>
        <rFont val="Calibri"/>
      </rPr>
      <t>The specification for a digital signature mechanism in the context of the DNS infrastructure is in IETF's DNSSEC standard. In DNSSEC, trust in the public key (for signature verification) of the source is established not by going to a third party or a chain of third parties (as in public key infrastructure [PKI] chaining), but by starting from a trusted zone (such as the root zone) and establishing the chain of trust down to the current source of response through successive verifications of signature of the public key of a child by its parent. The public key of the trusted zone is called the trust anchor. After authenticating the source, the next process DNSSEC calls for is to authenticate the response. DNSSEC mechanisms involve two main processes: sign and serve, and verify signature.</t>
    </r>
    <r>
      <rPr>
        <sz val="11"/>
        <color rgb="FF000000"/>
        <rFont val="Calibri"/>
      </rPr>
      <t xml:space="preserve">
</t>
    </r>
    <r>
      <rPr>
        <sz val="11"/>
        <color rgb="FF000000"/>
        <rFont val="Calibri"/>
      </rPr>
      <t>Before a DNSSEC-signed zone can be deployed, a name server must be configured to enable DNSSEC processing.</t>
    </r>
    <r>
      <rPr>
        <sz val="11"/>
        <color rgb="FF000000"/>
        <rFont val="Calibri"/>
      </rPr>
      <t xml:space="preserve">
</t>
    </r>
    <r>
      <rPr>
        <sz val="11"/>
        <color rgb="FF000000"/>
        <rFont val="Calibri"/>
      </rPr>
      <t>Satisfies: SRG-APP-000516-DNS-000089, SRG-APP-000347-DNS-000041, SRG-APP-000348-DNS-000042, SRG-APP-000420-DNS-000053, SRG-APP-000421-DNS-000054, SRG-APP-000158-DNS-000015, SRG-APP-000422-DNS-000055, SRG-APP-000215-DNS-000003, SRG-APP-000423-DNS-000056, SRG-APP-000424-DNS-000057, SRG-APP-000425-DNS-000058, SRG-APP-000426-DNS-000059, SRG-APP-000219-DNS-000030</t>
    </r>
  </si>
  <si>
    <r>
      <rPr>
        <sz val="11"/>
        <color rgb="FF000000"/>
        <rFont val="Calibri"/>
      </rPr>
      <t>DNSSEC Keys:</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DNS.</t>
    </r>
    <r>
      <rPr>
        <sz val="11"/>
        <color rgb="FF000000"/>
        <rFont val="Calibri"/>
      </rPr>
      <t xml:space="preserve">
</t>
    </r>
    <r>
      <rPr>
        <sz val="11"/>
        <color rgb="FF000000"/>
        <rFont val="Calibri"/>
      </rPr>
      <t>2. Zones.</t>
    </r>
    <r>
      <rPr>
        <sz val="11"/>
        <color rgb="FF000000"/>
        <rFont val="Calibri"/>
      </rPr>
      <t xml:space="preserve">
</t>
    </r>
    <r>
      <rPr>
        <sz val="11"/>
        <color rgb="FF000000"/>
        <rFont val="Calibri"/>
      </rPr>
      <t>3. DNSSEC Zones.</t>
    </r>
    <r>
      <rPr>
        <sz val="11"/>
        <color rgb="FF000000"/>
        <rFont val="Calibri"/>
      </rPr>
      <t xml:space="preserve">
</t>
    </r>
    <r>
      <rPr>
        <sz val="11"/>
        <color rgb="FF000000"/>
        <rFont val="Calibri"/>
      </rPr>
      <t>4. DNSSEC Zone List.</t>
    </r>
    <r>
      <rPr>
        <sz val="11"/>
        <color rgb="FF000000"/>
        <rFont val="Calibri"/>
      </rPr>
      <t xml:space="preserve">
</t>
    </r>
    <r>
      <rPr>
        <sz val="11"/>
        <color rgb="FF000000"/>
        <rFont val="Calibri"/>
      </rPr>
      <t>5. Click the name of the zone.</t>
    </r>
    <r>
      <rPr>
        <sz val="11"/>
        <color rgb="FF000000"/>
        <rFont val="Calibri"/>
      </rPr>
      <t xml:space="preserve">
</t>
    </r>
    <r>
      <rPr>
        <sz val="11"/>
        <color rgb="FF000000"/>
        <rFont val="Calibri"/>
      </rPr>
      <t>6. Verify a key is selected for both "Zone Signing Key" and "Key Signing Key".</t>
    </r>
    <r>
      <rPr>
        <sz val="11"/>
        <color rgb="FF000000"/>
        <rFont val="Calibri"/>
      </rPr>
      <t xml:space="preserve">
</t>
    </r>
    <r>
      <rPr>
        <sz val="11"/>
        <color rgb="FF000000"/>
        <rFont val="Calibri"/>
      </rPr>
      <t>TSIG Key:</t>
    </r>
    <r>
      <rPr>
        <sz val="11"/>
        <color rgb="FF000000"/>
        <rFont val="Calibri"/>
      </rPr>
      <t xml:space="preserve">
</t>
    </r>
    <r>
      <rPr>
        <sz val="11"/>
        <color rgb="FF000000"/>
        <rFont val="Calibri"/>
      </rPr>
      <t>1. DNS.</t>
    </r>
    <r>
      <rPr>
        <sz val="11"/>
        <color rgb="FF000000"/>
        <rFont val="Calibri"/>
      </rPr>
      <t xml:space="preserve">
</t>
    </r>
    <r>
      <rPr>
        <sz val="11"/>
        <color rgb="FF000000"/>
        <rFont val="Calibri"/>
      </rPr>
      <t>2. Delivery.</t>
    </r>
    <r>
      <rPr>
        <sz val="11"/>
        <color rgb="FF000000"/>
        <rFont val="Calibri"/>
      </rPr>
      <t xml:space="preserve">
</t>
    </r>
    <r>
      <rPr>
        <sz val="11"/>
        <color rgb="FF000000"/>
        <rFont val="Calibri"/>
      </rPr>
      <t>3. Nameservers.</t>
    </r>
    <r>
      <rPr>
        <sz val="11"/>
        <color rgb="FF000000"/>
        <rFont val="Calibri"/>
      </rPr>
      <t xml:space="preserve">
</t>
    </r>
    <r>
      <rPr>
        <sz val="11"/>
        <color rgb="FF000000"/>
        <rFont val="Calibri"/>
      </rPr>
      <t>4. Nameserver List.</t>
    </r>
    <r>
      <rPr>
        <sz val="11"/>
        <color rgb="FF000000"/>
        <rFont val="Calibri"/>
      </rPr>
      <t xml:space="preserve">
</t>
    </r>
    <r>
      <rPr>
        <sz val="11"/>
        <color rgb="FF000000"/>
        <rFont val="Calibri"/>
      </rPr>
      <t>5. Click the name of the Nameserver.</t>
    </r>
    <r>
      <rPr>
        <sz val="11"/>
        <color rgb="FF000000"/>
        <rFont val="Calibri"/>
      </rPr>
      <t xml:space="preserve">
</t>
    </r>
    <r>
      <rPr>
        <sz val="11"/>
        <color rgb="FF000000"/>
        <rFont val="Calibri"/>
      </rPr>
      <t>6. Verify a value is selected for "TSIG Key".</t>
    </r>
    <r>
      <rPr>
        <sz val="11"/>
        <color rgb="FF000000"/>
        <rFont val="Calibri"/>
      </rPr>
      <t xml:space="preserve">
</t>
    </r>
    <r>
      <rPr>
        <sz val="11"/>
        <color rgb="FF000000"/>
        <rFont val="Calibri"/>
      </rPr>
      <t>If the BIG-IP DNS implementation is not configured to enable DNSSEC Resource Records, this is a finding.</t>
    </r>
  </si>
  <si>
    <t>V-265983</t>
  </si>
  <si>
    <r>
      <rPr>
        <sz val="11"/>
        <rFont val="Calibri"/>
      </rPr>
      <t>Primary authoritative name servers must be configured to only receive zone transfer requests from specified secondary name servers.</t>
    </r>
  </si>
  <si>
    <r>
      <rPr>
        <sz val="11"/>
        <color rgb="FF000000"/>
        <rFont val="Calibri"/>
      </rPr>
      <t>From the BIG-IP GUI:</t>
    </r>
    <r>
      <rPr>
        <sz val="11"/>
        <color rgb="FF000000"/>
        <rFont val="Calibri"/>
      </rPr>
      <t xml:space="preserve">
</t>
    </r>
    <r>
      <rPr>
        <sz val="11"/>
        <color rgb="FF000000"/>
        <rFont val="Calibri"/>
      </rPr>
      <t>1. DNS.</t>
    </r>
    <r>
      <rPr>
        <sz val="11"/>
        <color rgb="FF000000"/>
        <rFont val="Calibri"/>
      </rPr>
      <t xml:space="preserve">
</t>
    </r>
    <r>
      <rPr>
        <sz val="11"/>
        <color rgb="FF000000"/>
        <rFont val="Calibri"/>
      </rPr>
      <t>2. Zones.</t>
    </r>
    <r>
      <rPr>
        <sz val="11"/>
        <color rgb="FF000000"/>
        <rFont val="Calibri"/>
      </rPr>
      <t xml:space="preserve">
</t>
    </r>
    <r>
      <rPr>
        <sz val="11"/>
        <color rgb="FF000000"/>
        <rFont val="Calibri"/>
      </rPr>
      <t>3. Zone List.</t>
    </r>
    <r>
      <rPr>
        <sz val="11"/>
        <color rgb="FF000000"/>
        <rFont val="Calibri"/>
      </rPr>
      <t xml:space="preserve">
</t>
    </r>
    <r>
      <rPr>
        <sz val="11"/>
        <color rgb="FF000000"/>
        <rFont val="Calibri"/>
      </rPr>
      <t>4. Click on the Name of the Zone.</t>
    </r>
    <r>
      <rPr>
        <sz val="11"/>
        <color rgb="FF000000"/>
        <rFont val="Calibri"/>
      </rPr>
      <t xml:space="preserve">
</t>
    </r>
    <r>
      <rPr>
        <sz val="11"/>
        <color rgb="FF000000"/>
        <rFont val="Calibri"/>
      </rPr>
      <t>5. Move only Nameservers to the "Active" column under "Zone Transfer Clients" that are allowed to request zone transfers.</t>
    </r>
    <r>
      <rPr>
        <sz val="11"/>
        <color rgb="FF000000"/>
        <rFont val="Calibri"/>
      </rPr>
      <t xml:space="preserve">
</t>
    </r>
    <r>
      <rPr>
        <sz val="11"/>
        <color rgb="FF000000"/>
        <rFont val="Calibri"/>
      </rPr>
      <t>6. Click "Update".</t>
    </r>
  </si>
  <si>
    <r>
      <rPr>
        <sz val="11"/>
        <color rgb="FF000000"/>
        <rFont val="Calibri"/>
      </rPr>
      <t>Authoritative name servers (especially primary name servers) must be configured with an allow-transfer access control substatement designating the list of hosts from which zone transfer requests can be accepted. These restrictions address the denial-of-service (DoS) threat and potential exploits from unrestricted dissemination of information about internal resources. Based on the need-to-know, the only name servers that need to refresh their zone files periodically are the secondary name servers. Zone transfer from primary name servers must be restricted to secondary name servers. The zone transfer must be completely disabled in the secondary name servers. The address match list argument for the allow-transfer substatement must consist of IP addresses of secondary name servers and stealth secondary name servers.</t>
    </r>
  </si>
  <si>
    <r>
      <rPr>
        <sz val="11"/>
        <color rgb="FF000000"/>
        <rFont val="Calibri"/>
      </rPr>
      <t>If the BIG-IP is transferring zones from another non-BIG-IP DNS server perform the following.</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DNS.</t>
    </r>
    <r>
      <rPr>
        <sz val="11"/>
        <color rgb="FF000000"/>
        <rFont val="Calibri"/>
      </rPr>
      <t xml:space="preserve">
</t>
    </r>
    <r>
      <rPr>
        <sz val="11"/>
        <color rgb="FF000000"/>
        <rFont val="Calibri"/>
      </rPr>
      <t>2. Zones.</t>
    </r>
    <r>
      <rPr>
        <sz val="11"/>
        <color rgb="FF000000"/>
        <rFont val="Calibri"/>
      </rPr>
      <t xml:space="preserve">
</t>
    </r>
    <r>
      <rPr>
        <sz val="11"/>
        <color rgb="FF000000"/>
        <rFont val="Calibri"/>
      </rPr>
      <t>3. Zone List.</t>
    </r>
    <r>
      <rPr>
        <sz val="11"/>
        <color rgb="FF000000"/>
        <rFont val="Calibri"/>
      </rPr>
      <t xml:space="preserve">
</t>
    </r>
    <r>
      <rPr>
        <sz val="11"/>
        <color rgb="FF000000"/>
        <rFont val="Calibri"/>
      </rPr>
      <t>4. Click on the name of the Zone.</t>
    </r>
    <r>
      <rPr>
        <sz val="11"/>
        <color rgb="FF000000"/>
        <rFont val="Calibri"/>
      </rPr>
      <t xml:space="preserve">
</t>
    </r>
    <r>
      <rPr>
        <sz val="11"/>
        <color rgb="FF000000"/>
        <rFont val="Calibri"/>
      </rPr>
      <t>5. Verify "Zone Transfer Clients" &gt;&gt; "Active" column shows only the nameservers that are allowed to request zone transfers.</t>
    </r>
    <r>
      <rPr>
        <sz val="11"/>
        <color rgb="FF000000"/>
        <rFont val="Calibri"/>
      </rPr>
      <t xml:space="preserve">
</t>
    </r>
    <r>
      <rPr>
        <sz val="11"/>
        <color rgb="FF000000"/>
        <rFont val="Calibri"/>
      </rPr>
      <t>If the BIG-IP appliance is not configured to limit the secondary name servers from which an authoritative name server receives zone transfer requests, this is a finding.</t>
    </r>
  </si>
  <si>
    <t>V-265984</t>
  </si>
  <si>
    <r>
      <rPr>
        <sz val="11"/>
        <rFont val="Calibri"/>
      </rPr>
      <t>The F5 BIG-IP DNS must use valid root name servers in the local root zone file.</t>
    </r>
  </si>
  <si>
    <r>
      <rPr>
        <sz val="11"/>
        <color rgb="FF000000"/>
        <rFont val="Calibri"/>
      </rPr>
      <t>This is only applicable if DNS recursion is being performed by the BIG-IP AND a custom root hint list must be defined.</t>
    </r>
    <r>
      <rPr>
        <sz val="11"/>
        <color rgb="FF000000"/>
        <rFont val="Calibri"/>
      </rPr>
      <t xml:space="preserve">
</t>
    </r>
    <r>
      <rPr>
        <sz val="11"/>
        <color rgb="FF000000"/>
        <rFont val="Calibri"/>
      </rPr>
      <t>Enable recursion for named:</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DNS.</t>
    </r>
    <r>
      <rPr>
        <sz val="11"/>
        <color rgb="FF000000"/>
        <rFont val="Calibri"/>
      </rPr>
      <t xml:space="preserve">
</t>
    </r>
    <r>
      <rPr>
        <sz val="11"/>
        <color rgb="FF000000"/>
        <rFont val="Calibri"/>
      </rPr>
      <t>2. Zones.</t>
    </r>
    <r>
      <rPr>
        <sz val="11"/>
        <color rgb="FF000000"/>
        <rFont val="Calibri"/>
      </rPr>
      <t xml:space="preserve">
</t>
    </r>
    <r>
      <rPr>
        <sz val="11"/>
        <color rgb="FF000000"/>
        <rFont val="Calibri"/>
      </rPr>
      <t>3. ZoneRunner.</t>
    </r>
    <r>
      <rPr>
        <sz val="11"/>
        <color rgb="FF000000"/>
        <rFont val="Calibri"/>
      </rPr>
      <t xml:space="preserve">
</t>
    </r>
    <r>
      <rPr>
        <sz val="11"/>
        <color rgb="FF000000"/>
        <rFont val="Calibri"/>
      </rPr>
      <t>4. Named Configuration.</t>
    </r>
    <r>
      <rPr>
        <sz val="11"/>
        <color rgb="FF000000"/>
        <rFont val="Calibri"/>
      </rPr>
      <t xml:space="preserve">
</t>
    </r>
    <r>
      <rPr>
        <sz val="11"/>
        <color rgb="FF000000"/>
        <rFont val="Calibri"/>
      </rPr>
      <t>5. Change the recursion option to "recursion yes;".</t>
    </r>
    <r>
      <rPr>
        <sz val="11"/>
        <color rgb="FF000000"/>
        <rFont val="Calibri"/>
      </rPr>
      <t xml:space="preserve">
</t>
    </r>
    <r>
      <rPr>
        <sz val="11"/>
        <color rgb="FF000000"/>
        <rFont val="Calibri"/>
      </rPr>
      <t>6. Click "Update".</t>
    </r>
    <r>
      <rPr>
        <sz val="11"/>
        <color rgb="FF000000"/>
        <rFont val="Calibri"/>
      </rPr>
      <t xml:space="preserve">
</t>
    </r>
    <r>
      <rPr>
        <sz val="11"/>
        <color rgb="FF000000"/>
        <rFont val="Calibri"/>
      </rPr>
      <t>Create a hint zone using ZoneRunner:</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DNS.</t>
    </r>
    <r>
      <rPr>
        <sz val="11"/>
        <color rgb="FF000000"/>
        <rFont val="Calibri"/>
      </rPr>
      <t xml:space="preserve">
</t>
    </r>
    <r>
      <rPr>
        <sz val="11"/>
        <color rgb="FF000000"/>
        <rFont val="Calibri"/>
      </rPr>
      <t>2. Zones.</t>
    </r>
    <r>
      <rPr>
        <sz val="11"/>
        <color rgb="FF000000"/>
        <rFont val="Calibri"/>
      </rPr>
      <t xml:space="preserve">
</t>
    </r>
    <r>
      <rPr>
        <sz val="11"/>
        <color rgb="FF000000"/>
        <rFont val="Calibri"/>
      </rPr>
      <t>3. ZoneRunner.</t>
    </r>
    <r>
      <rPr>
        <sz val="11"/>
        <color rgb="FF000000"/>
        <rFont val="Calibri"/>
      </rPr>
      <t xml:space="preserve">
</t>
    </r>
    <r>
      <rPr>
        <sz val="11"/>
        <color rgb="FF000000"/>
        <rFont val="Calibri"/>
      </rPr>
      <t>4. Zone List.</t>
    </r>
    <r>
      <rPr>
        <sz val="11"/>
        <color rgb="FF000000"/>
        <rFont val="Calibri"/>
      </rPr>
      <t xml:space="preserve">
</t>
    </r>
    <r>
      <rPr>
        <sz val="11"/>
        <color rgb="FF000000"/>
        <rFont val="Calibri"/>
      </rPr>
      <t>5. Create.</t>
    </r>
    <r>
      <rPr>
        <sz val="11"/>
        <color rgb="FF000000"/>
        <rFont val="Calibri"/>
      </rPr>
      <t xml:space="preserve">
</t>
    </r>
    <r>
      <rPr>
        <sz val="11"/>
        <color rgb="FF000000"/>
        <rFont val="Calibri"/>
      </rPr>
      <t>6. For the View Name option, select the view for which the hint zone will apply.</t>
    </r>
    <r>
      <rPr>
        <sz val="11"/>
        <color rgb="FF000000"/>
        <rFont val="Calibri"/>
      </rPr>
      <t xml:space="preserve">
</t>
    </r>
    <r>
      <rPr>
        <sz val="11"/>
        <color rgb="FF000000"/>
        <rFont val="Calibri"/>
      </rPr>
      <t>7. For the Zone Name, enter a period character "." (without quotes).</t>
    </r>
    <r>
      <rPr>
        <sz val="11"/>
        <color rgb="FF000000"/>
        <rFont val="Calibri"/>
      </rPr>
      <t xml:space="preserve">
</t>
    </r>
    <r>
      <rPr>
        <sz val="11"/>
        <color rgb="FF000000"/>
        <rFont val="Calibri"/>
      </rPr>
      <t>8. For the Zone Type, select "Hint".</t>
    </r>
    <r>
      <rPr>
        <sz val="11"/>
        <color rgb="FF000000"/>
        <rFont val="Calibri"/>
      </rPr>
      <t xml:space="preserve">
</t>
    </r>
    <r>
      <rPr>
        <sz val="11"/>
        <color rgb="FF000000"/>
        <rFont val="Calibri"/>
      </rPr>
      <t>9. Change the Zone File Name to "db.external.named.root." (without quotes).</t>
    </r>
    <r>
      <rPr>
        <sz val="11"/>
        <color rgb="FF000000"/>
        <rFont val="Calibri"/>
      </rPr>
      <t xml:space="preserve">
</t>
    </r>
    <r>
      <rPr>
        <sz val="11"/>
        <color rgb="FF000000"/>
        <rFont val="Calibri"/>
      </rPr>
      <t>10. Click "Finished".</t>
    </r>
    <r>
      <rPr>
        <sz val="11"/>
        <color rgb="FF000000"/>
        <rFont val="Calibri"/>
      </rPr>
      <t xml:space="preserve">
</t>
    </r>
    <r>
      <rPr>
        <sz val="11"/>
        <color rgb="FF000000"/>
        <rFont val="Calibri"/>
      </rPr>
      <t>Edit the hint zone file:</t>
    </r>
    <r>
      <rPr>
        <sz val="11"/>
        <color rgb="FF000000"/>
        <rFont val="Calibri"/>
      </rPr>
      <t xml:space="preserve">
</t>
    </r>
    <r>
      <rPr>
        <sz val="11"/>
        <color rgb="FF000000"/>
        <rFont val="Calibri"/>
      </rPr>
      <t>From the BIG-IP CLI:</t>
    </r>
    <r>
      <rPr>
        <sz val="11"/>
        <color rgb="FF000000"/>
        <rFont val="Calibri"/>
      </rPr>
      <t xml:space="preserve">
</t>
    </r>
    <r>
      <rPr>
        <sz val="11"/>
        <color rgb="FF000000"/>
        <rFont val="Calibri"/>
      </rPr>
      <t>1. Edit the root hint file:</t>
    </r>
    <r>
      <rPr>
        <sz val="11"/>
        <color rgb="FF000000"/>
        <rFont val="Calibri"/>
      </rPr>
      <t xml:space="preserve">
</t>
    </r>
    <r>
      <rPr>
        <sz val="11"/>
        <color rgb="FF000000"/>
        <rFont val="Calibri"/>
      </rPr>
      <t>vi /var/named/config/namedb/db.external.named.root.</t>
    </r>
    <r>
      <rPr>
        <sz val="11"/>
        <color rgb="FF000000"/>
        <rFont val="Calibri"/>
      </rPr>
      <t xml:space="preserve">
</t>
    </r>
    <r>
      <rPr>
        <sz val="11"/>
        <color rgb="FF000000"/>
        <rFont val="Calibri"/>
      </rPr>
      <t>2. Paste the list of valid root name servers. Note: A copy of the latest root server list can be found at the following location:</t>
    </r>
    <r>
      <rPr>
        <sz val="11"/>
        <color rgb="FF000000"/>
        <rFont val="Calibri"/>
      </rPr>
      <t xml:space="preserve">
</t>
    </r>
    <r>
      <rPr>
        <sz val="11"/>
        <color rgb="FF000000"/>
        <rFont val="Calibri"/>
      </rPr>
      <t>http://www.internic.net/zones/named.cache.</t>
    </r>
    <r>
      <rPr>
        <sz val="11"/>
        <color rgb="FF000000"/>
        <rFont val="Calibri"/>
      </rPr>
      <t xml:space="preserve">
</t>
    </r>
    <r>
      <rPr>
        <sz val="11"/>
        <color rgb="FF000000"/>
        <rFont val="Calibri"/>
      </rPr>
      <t>3. Save the file.</t>
    </r>
    <r>
      <rPr>
        <sz val="11"/>
        <color rgb="FF000000"/>
        <rFont val="Calibri"/>
      </rPr>
      <t xml:space="preserve">
</t>
    </r>
    <r>
      <rPr>
        <sz val="11"/>
        <color rgb="FF000000"/>
        <rFont val="Calibri"/>
      </rPr>
      <t>4. Update the time stamp on: /var/named/config/named.conf</t>
    </r>
    <r>
      <rPr>
        <sz val="11"/>
        <color rgb="FF000000"/>
        <rFont val="Calibri"/>
      </rPr>
      <t xml:space="preserve">
</t>
    </r>
    <r>
      <rPr>
        <sz val="11"/>
        <color rgb="FF000000"/>
        <rFont val="Calibri"/>
      </rPr>
      <t>touch /var/named/config/named.conf</t>
    </r>
    <r>
      <rPr>
        <sz val="11"/>
        <color rgb="FF000000"/>
        <rFont val="Calibri"/>
      </rPr>
      <t xml:space="preserve">
</t>
    </r>
    <r>
      <rPr>
        <sz val="11"/>
        <color rgb="FF000000"/>
        <rFont val="Calibri"/>
      </rPr>
      <t>5. Restart named:</t>
    </r>
    <r>
      <rPr>
        <sz val="11"/>
        <color rgb="FF000000"/>
        <rFont val="Calibri"/>
      </rPr>
      <t xml:space="preserve">
</t>
    </r>
    <r>
      <rPr>
        <sz val="11"/>
        <color rgb="FF000000"/>
        <rFont val="Calibri"/>
      </rPr>
      <t>tmsh restart /sys service named</t>
    </r>
    <r>
      <rPr>
        <sz val="11"/>
        <color rgb="FF000000"/>
        <rFont val="Calibri"/>
      </rPr>
      <t xml:space="preserve">
</t>
    </r>
    <r>
      <rPr>
        <sz val="11"/>
        <color rgb="FF000000"/>
        <rFont val="Calibri"/>
      </rPr>
      <t>6. Restart zrd:</t>
    </r>
    <r>
      <rPr>
        <sz val="11"/>
        <color rgb="FF000000"/>
        <rFont val="Calibri"/>
      </rPr>
      <t xml:space="preserve">
</t>
    </r>
    <r>
      <rPr>
        <sz val="11"/>
        <color rgb="FF000000"/>
        <rFont val="Calibri"/>
      </rPr>
      <t>tmsh restart /sys service zrd</t>
    </r>
    <r>
      <rPr>
        <sz val="11"/>
        <color rgb="FF000000"/>
        <rFont val="Calibri"/>
      </rPr>
      <t xml:space="preserve">
</t>
    </r>
    <r>
      <rPr>
        <sz val="11"/>
        <color rgb="FF000000"/>
        <rFont val="Calibri"/>
      </rPr>
      <t>Note: The hint zone does not display any information when viewed in the ZoneRunner Configuration utility. The information is used by named for the purpose of querying and receiving the most up-to-date list of root servers. It cannot be updated or modified using the ZoneRunner utility.</t>
    </r>
  </si>
  <si>
    <r>
      <rPr>
        <sz val="11"/>
        <color rgb="FF000000"/>
        <rFont val="Calibri"/>
      </rPr>
      <t>All caching name servers must be authoritative for the root zone because, without this starting point, they would have no knowledge of the DNS infrastructure and thus would be unable to respond to any queries. The security risk is that an adversary could change the root hints and direct the caching name server to a bogus root server. At that point, every query response from that name server is suspect, which would give the adversary substantial control over the network communication of the name servers' clients. When authoritative servers are sent queries for zones that they are not authoritative for, and they are configured as a noncaching server (as recommended), they can either be configured to return a referral to the root servers or they can be configured to refuse to answer the query. The recommendation is to configure authoritative servers to refuse to answer queries for any zones for which they are not authoritative. This is more efficient for the server and allows it to spend more of its resources doing what its intended purpose is, answering authoritatively for its zone.</t>
    </r>
  </si>
  <si>
    <r>
      <rPr>
        <sz val="11"/>
        <color rgb="FF000000"/>
        <rFont val="Calibri"/>
      </rPr>
      <t>This is only applicable if DNS recursion is being performed by the BIG-IP AND a custom root hint list must be defined.</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DNS.</t>
    </r>
    <r>
      <rPr>
        <sz val="11"/>
        <color rgb="FF000000"/>
        <rFont val="Calibri"/>
      </rPr>
      <t xml:space="preserve">
</t>
    </r>
    <r>
      <rPr>
        <sz val="11"/>
        <color rgb="FF000000"/>
        <rFont val="Calibri"/>
      </rPr>
      <t>2. Zones.</t>
    </r>
    <r>
      <rPr>
        <sz val="11"/>
        <color rgb="FF000000"/>
        <rFont val="Calibri"/>
      </rPr>
      <t xml:space="preserve">
</t>
    </r>
    <r>
      <rPr>
        <sz val="11"/>
        <color rgb="FF000000"/>
        <rFont val="Calibri"/>
      </rPr>
      <t>3. ZoneRunner.</t>
    </r>
    <r>
      <rPr>
        <sz val="11"/>
        <color rgb="FF000000"/>
        <rFont val="Calibri"/>
      </rPr>
      <t xml:space="preserve">
</t>
    </r>
    <r>
      <rPr>
        <sz val="11"/>
        <color rgb="FF000000"/>
        <rFont val="Calibri"/>
      </rPr>
      <t>4. Zone List.</t>
    </r>
    <r>
      <rPr>
        <sz val="11"/>
        <color rgb="FF000000"/>
        <rFont val="Calibri"/>
      </rPr>
      <t xml:space="preserve">
</t>
    </r>
    <r>
      <rPr>
        <sz val="11"/>
        <color rgb="FF000000"/>
        <rFont val="Calibri"/>
      </rPr>
      <t>5. Verify there is no Zone Name called ".".</t>
    </r>
    <r>
      <rPr>
        <sz val="11"/>
        <color rgb="FF000000"/>
        <rFont val="Calibri"/>
      </rPr>
      <t xml:space="preserve">
</t>
    </r>
    <r>
      <rPr>
        <sz val="11"/>
        <color rgb="FF000000"/>
        <rFont val="Calibri"/>
      </rPr>
      <t>6. If a "." Zone Name exists, log in to the BIG-IP CLI and run the following commands:</t>
    </r>
    <r>
      <rPr>
        <sz val="11"/>
        <color rgb="FF000000"/>
        <rFont val="Calibri"/>
      </rPr>
      <t xml:space="preserve">
</t>
    </r>
    <r>
      <rPr>
        <sz val="11"/>
        <color rgb="FF000000"/>
        <rFont val="Calibri"/>
      </rPr>
      <t>cat /var/named/config/namedb/db.external.named.root.</t>
    </r>
    <r>
      <rPr>
        <sz val="11"/>
        <color rgb="FF000000"/>
        <rFont val="Calibri"/>
      </rPr>
      <t xml:space="preserve">
</t>
    </r>
    <r>
      <rPr>
        <sz val="11"/>
        <color rgb="FF000000"/>
        <rFont val="Calibri"/>
      </rPr>
      <t>7. Verify valid root name servers are configured.</t>
    </r>
    <r>
      <rPr>
        <sz val="11"/>
        <color rgb="FF000000"/>
        <rFont val="Calibri"/>
      </rPr>
      <t xml:space="preserve">
</t>
    </r>
    <r>
      <rPr>
        <sz val="11"/>
        <color rgb="FF000000"/>
        <rFont val="Calibri"/>
      </rPr>
      <t>If the BIG-IP appliance is not configured to use valid root name servers in the local root zone file, this is a finding.</t>
    </r>
  </si>
  <si>
    <t>V-265985</t>
  </si>
  <si>
    <r>
      <rPr>
        <sz val="11"/>
        <rFont val="Calibri"/>
      </rPr>
      <t>The platform on which the name server software is hosted must be configured to respond to DNS traffic only.</t>
    </r>
  </si>
  <si>
    <r>
      <rPr>
        <sz val="11"/>
        <color rgb="FF000000"/>
        <rFont val="Calibri"/>
      </rPr>
      <t>From the BIG-IP GUI:</t>
    </r>
    <r>
      <rPr>
        <sz val="11"/>
        <color rgb="FF000000"/>
        <rFont val="Calibri"/>
      </rPr>
      <t xml:space="preserve">
</t>
    </r>
    <r>
      <rPr>
        <sz val="11"/>
        <color rgb="FF000000"/>
        <rFont val="Calibri"/>
      </rPr>
      <t>1. Local Traffic.</t>
    </r>
    <r>
      <rPr>
        <sz val="11"/>
        <color rgb="FF000000"/>
        <rFont val="Calibri"/>
      </rPr>
      <t xml:space="preserve">
</t>
    </r>
    <r>
      <rPr>
        <sz val="11"/>
        <color rgb="FF000000"/>
        <rFont val="Calibri"/>
      </rPr>
      <t>2. Virtual Servers.</t>
    </r>
    <r>
      <rPr>
        <sz val="11"/>
        <color rgb="FF000000"/>
        <rFont val="Calibri"/>
      </rPr>
      <t xml:space="preserve">
</t>
    </r>
    <r>
      <rPr>
        <sz val="11"/>
        <color rgb="FF000000"/>
        <rFont val="Calibri"/>
      </rPr>
      <t>3. For any virtual servers listening that are not associated with DNS, check the box next to the virtual server and click "Delete".</t>
    </r>
    <r>
      <rPr>
        <sz val="11"/>
        <color rgb="FF000000"/>
        <rFont val="Calibri"/>
      </rPr>
      <t xml:space="preserve">
</t>
    </r>
    <r>
      <rPr>
        <sz val="11"/>
        <color rgb="FF000000"/>
        <rFont val="Calibri"/>
      </rPr>
      <t>4. Click "Delete" again.</t>
    </r>
  </si>
  <si>
    <r>
      <rPr>
        <sz val="11"/>
        <color rgb="FF000000"/>
        <rFont val="Calibri"/>
      </rPr>
      <t>Hosts that run the name server software must not provide any other services and therefore must be configured to respond to DNS traffic only. In other words, the only allowed incoming ports/protocols to these hosts must be 53/udp and 53/tcp. Outgoing DNS messages must be sent from a random port to minimize the risk of an attacker's guessing the outgoing message port and sending forged replies.</t>
    </r>
    <r>
      <rPr>
        <sz val="11"/>
        <color rgb="FF000000"/>
        <rFont val="Calibri"/>
      </rPr>
      <t xml:space="preserve">
</t>
    </r>
    <r>
      <rPr>
        <sz val="11"/>
        <color rgb="FF000000"/>
        <rFont val="Calibri"/>
      </rPr>
      <t>BIG-IP is often used to proxy DNS along with other services. The requirement speaks to the "name server software", but if we are proxying for the name server then we do not need to limit listeners to DNS only.</t>
    </r>
  </si>
  <si>
    <r>
      <rPr>
        <sz val="11"/>
        <color rgb="FF000000"/>
        <rFont val="Calibri"/>
      </rPr>
      <t>If the BIG-IP does not have the role of authoritative DNS server, this is not applicable.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Local Traffic.</t>
    </r>
    <r>
      <rPr>
        <sz val="11"/>
        <color rgb="FF000000"/>
        <rFont val="Calibri"/>
      </rPr>
      <t xml:space="preserve">
</t>
    </r>
    <r>
      <rPr>
        <sz val="11"/>
        <color rgb="FF000000"/>
        <rFont val="Calibri"/>
      </rPr>
      <t>2. Virtual Servers.</t>
    </r>
    <r>
      <rPr>
        <sz val="11"/>
        <color rgb="FF000000"/>
        <rFont val="Calibri"/>
      </rPr>
      <t xml:space="preserve">
</t>
    </r>
    <r>
      <rPr>
        <sz val="11"/>
        <color rgb="FF000000"/>
        <rFont val="Calibri"/>
      </rPr>
      <t>3. Verify the list of virtual servers are not configured to listen for non-DNS services.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BIG-IP appliance is configured to respond traffic other than DNS, this is a finding.</t>
    </r>
  </si>
  <si>
    <t>V-265986</t>
  </si>
  <si>
    <r>
      <rPr>
        <sz val="11"/>
        <rFont val="Calibri"/>
      </rPr>
      <t>The digital signature algorithm used for DNSSEC-enabled zones must be set to use RSA/SHA256 or RSA/SHA512.</t>
    </r>
  </si>
  <si>
    <t>CAT I (High)</t>
  </si>
  <si>
    <r>
      <rPr>
        <sz val="11"/>
        <color rgb="FF000000"/>
        <rFont val="Calibri"/>
      </rPr>
      <t>Create automatically managed zone-signing keys for BIG-IP DNS to use in the DNSSEC authentication process.</t>
    </r>
    <r>
      <rPr>
        <sz val="11"/>
        <color rgb="FF000000"/>
        <rFont val="Calibri"/>
      </rPr>
      <t xml:space="preserve">
</t>
    </r>
    <r>
      <rPr>
        <sz val="11"/>
        <color rgb="FF000000"/>
        <rFont val="Calibri"/>
      </rPr>
      <t>1. On the Main tab, click "DNS Delivery Keys DNSSEC Key List". The DNSSEC Key List screen opens.</t>
    </r>
    <r>
      <rPr>
        <sz val="11"/>
        <color rgb="FF000000"/>
        <rFont val="Calibri"/>
      </rPr>
      <t xml:space="preserve">
</t>
    </r>
    <r>
      <rPr>
        <sz val="11"/>
        <color rgb="FF000000"/>
        <rFont val="Calibri"/>
      </rPr>
      <t>2. Click "Create". The New DNSSEC Key screen opens.</t>
    </r>
    <r>
      <rPr>
        <sz val="11"/>
        <color rgb="FF000000"/>
        <rFont val="Calibri"/>
      </rPr>
      <t xml:space="preserve">
</t>
    </r>
    <r>
      <rPr>
        <sz val="11"/>
        <color rgb="FF000000"/>
        <rFont val="Calibri"/>
      </rPr>
      <t>3. In the "Name" field, type a name for the key. Zone names are limited to 63 characters.</t>
    </r>
    <r>
      <rPr>
        <sz val="11"/>
        <color rgb="FF000000"/>
        <rFont val="Calibri"/>
      </rPr>
      <t xml:space="preserve">
</t>
    </r>
    <r>
      <rPr>
        <sz val="11"/>
        <color rgb="FF000000"/>
        <rFont val="Calibri"/>
      </rPr>
      <t>4. From the "Type" list, select "Zone Signing Key".</t>
    </r>
    <r>
      <rPr>
        <sz val="11"/>
        <color rgb="FF000000"/>
        <rFont val="Calibri"/>
      </rPr>
      <t xml:space="preserve">
</t>
    </r>
    <r>
      <rPr>
        <sz val="11"/>
        <color rgb="FF000000"/>
        <rFont val="Calibri"/>
      </rPr>
      <t>5. From the "State" list, select "Enabled".</t>
    </r>
    <r>
      <rPr>
        <sz val="11"/>
        <color rgb="FF000000"/>
        <rFont val="Calibri"/>
      </rPr>
      <t xml:space="preserve">
</t>
    </r>
    <r>
      <rPr>
        <sz val="11"/>
        <color rgb="FF000000"/>
        <rFont val="Calibri"/>
      </rPr>
      <t>6. From the "Hardware Security Module" list, select "None".</t>
    </r>
    <r>
      <rPr>
        <sz val="11"/>
        <color rgb="FF000000"/>
        <rFont val="Calibri"/>
      </rPr>
      <t xml:space="preserve">
</t>
    </r>
    <r>
      <rPr>
        <sz val="11"/>
        <color rgb="FF000000"/>
        <rFont val="Calibri"/>
      </rPr>
      <t>7. From the "Algorithm" list, select the digest algorithm the system uses to generate the key signature. Select RSA/SHA256 or RSA/SHA512.</t>
    </r>
    <r>
      <rPr>
        <sz val="11"/>
        <color rgb="FF000000"/>
        <rFont val="Calibri"/>
      </rPr>
      <t xml:space="preserve">
</t>
    </r>
    <r>
      <rPr>
        <sz val="11"/>
        <color rgb="FF000000"/>
        <rFont val="Calibri"/>
      </rPr>
      <t>8. From the "Key Management" list, select "Automatic". The Key Settings area displays fields for key configuration.</t>
    </r>
    <r>
      <rPr>
        <sz val="11"/>
        <color rgb="FF000000"/>
        <rFont val="Calibri"/>
      </rPr>
      <t xml:space="preserve">
</t>
    </r>
    <r>
      <rPr>
        <sz val="11"/>
        <color rgb="FF000000"/>
        <rFont val="Calibri"/>
      </rPr>
      <t>9. In the "Bit Width" field, type "1024".</t>
    </r>
    <r>
      <rPr>
        <sz val="11"/>
        <color rgb="FF000000"/>
        <rFont val="Calibri"/>
      </rPr>
      <t xml:space="preserve">
</t>
    </r>
    <r>
      <rPr>
        <sz val="11"/>
        <color rgb="FF000000"/>
        <rFont val="Calibri"/>
      </rPr>
      <t>10. In the "TTL" field, accept the default value of 86400 (the number of seconds in one day.) This value specifies how long a client resolver can cache the key. This value must be less than the difference between the values of the rollover and expiration periods of the key; otherwise, a client can make a query and the system can send a valid key that the client cannot recognize.</t>
    </r>
    <r>
      <rPr>
        <sz val="11"/>
        <color rgb="FF000000"/>
        <rFont val="Calibri"/>
      </rPr>
      <t xml:space="preserve">
</t>
    </r>
    <r>
      <rPr>
        <sz val="11"/>
        <color rgb="FF000000"/>
        <rFont val="Calibri"/>
      </rPr>
      <t>11. For the "Rollover Period" setting, in the "Days" field, type "21".</t>
    </r>
    <r>
      <rPr>
        <sz val="11"/>
        <color rgb="FF000000"/>
        <rFont val="Calibri"/>
      </rPr>
      <t xml:space="preserve">
</t>
    </r>
    <r>
      <rPr>
        <sz val="11"/>
        <color rgb="FF000000"/>
        <rFont val="Calibri"/>
      </rPr>
      <t>12. For the "Expiration Period" setting, in the "Days" field, type "30". Zero seconds indicates not set, and thus the key does not expire.</t>
    </r>
    <r>
      <rPr>
        <sz val="11"/>
        <color rgb="FF000000"/>
        <rFont val="Calibri"/>
      </rPr>
      <t xml:space="preserve">
</t>
    </r>
    <r>
      <rPr>
        <sz val="11"/>
        <color rgb="FF000000"/>
        <rFont val="Calibri"/>
      </rPr>
      <t>13. For the "Signature Validity Period" setting, accept the default value of seven days. This value must be greater than the value of the signature publication period. Zero seconds indicates not set, and thus the server verifying the signature never succeeds, because the signature is always expired.</t>
    </r>
    <r>
      <rPr>
        <sz val="11"/>
        <color rgb="FF000000"/>
        <rFont val="Calibri"/>
      </rPr>
      <t xml:space="preserve">
</t>
    </r>
    <r>
      <rPr>
        <sz val="11"/>
        <color rgb="FF000000"/>
        <rFont val="Calibri"/>
      </rPr>
      <t>14. For the "Signature Publication Period" setting, accept the default value of four days and 16 hours. This value must be less than the value of the signature validity period. Zero seconds indicates not set, and thus the signature is not cached.</t>
    </r>
    <r>
      <rPr>
        <sz val="11"/>
        <color rgb="FF000000"/>
        <rFont val="Calibri"/>
      </rPr>
      <t xml:space="preserve">
</t>
    </r>
    <r>
      <rPr>
        <sz val="11"/>
        <color rgb="FF000000"/>
        <rFont val="Calibri"/>
      </rPr>
      <t>15. Click "Finished".</t>
    </r>
    <r>
      <rPr>
        <sz val="11"/>
        <color rgb="FF000000"/>
        <rFont val="Calibri"/>
      </rPr>
      <t xml:space="preserve">
</t>
    </r>
    <r>
      <rPr>
        <sz val="11"/>
        <color rgb="FF000000"/>
        <rFont val="Calibri"/>
      </rPr>
      <t>To create a standby key for emergency rollover purposes, repeat these steps using a similar name, and select "Disabled" from the State list.</t>
    </r>
  </si>
  <si>
    <r>
      <rPr>
        <sz val="11"/>
        <color rgb="FF000000"/>
        <rFont val="Calibri"/>
      </rPr>
      <t>The choice of digital signature algorithm will be based on recommended algorithms in well-known standards. NIST's Digital Signature Standard (DSS) (FIPS186) provides three algorithm choices:</t>
    </r>
    <r>
      <rPr>
        <sz val="11"/>
        <color rgb="FF000000"/>
        <rFont val="Calibri"/>
      </rPr>
      <t xml:space="preserve">
</t>
    </r>
    <r>
      <rPr>
        <sz val="11"/>
        <color rgb="FF000000"/>
        <rFont val="Calibri"/>
      </rPr>
      <t>- Digital Signature Algorithm (DSA);</t>
    </r>
    <r>
      <rPr>
        <sz val="11"/>
        <color rgb="FF000000"/>
        <rFont val="Calibri"/>
      </rPr>
      <t xml:space="preserve">
</t>
    </r>
    <r>
      <rPr>
        <sz val="11"/>
        <color rgb="FF000000"/>
        <rFont val="Calibri"/>
      </rPr>
      <t>- RSA;</t>
    </r>
    <r>
      <rPr>
        <sz val="11"/>
        <color rgb="FF000000"/>
        <rFont val="Calibri"/>
      </rPr>
      <t xml:space="preserve">
</t>
    </r>
    <r>
      <rPr>
        <sz val="11"/>
        <color rgb="FF000000"/>
        <rFont val="Calibri"/>
      </rPr>
      <t>- Elliptic Curve DSA (ECDSA).</t>
    </r>
    <r>
      <rPr>
        <sz val="11"/>
        <color rgb="FF000000"/>
        <rFont val="Calibri"/>
      </rPr>
      <t xml:space="preserve">
</t>
    </r>
    <r>
      <rPr>
        <sz val="11"/>
        <color rgb="FF000000"/>
        <rFont val="Calibri"/>
      </rPr>
      <t>Of these three algorithms, RSA and DSA are more widely available, and hence are considered candidates of choice for DNSSEC. In terms of performance, both RSA and DSA have comparable signature generation speeds, but DSA is much slower for signature verification. Hence, RSA is the recommended algorithm as far as this guideline is concerned. RSA with SHA-1 is currently the only cryptographic algorithm mandated to be implemented with DNSSEC, although other algorithm suites (e.g., RSA/SHA-256, ECDSA) are also specified. It can be expected that name servers and clients will be able to use the RSA algorithm at the minimum. It is suggested that at least one ZSK for a zone use the RSA algorithm.</t>
    </r>
    <r>
      <rPr>
        <sz val="11"/>
        <color rgb="FF000000"/>
        <rFont val="Calibri"/>
      </rPr>
      <t xml:space="preserve">
</t>
    </r>
    <r>
      <rPr>
        <sz val="11"/>
        <color rgb="FF000000"/>
        <rFont val="Calibri"/>
      </rPr>
      <t>SHA-256, SHA-384, and SHA-512 are approved hash algorithms to be used as part of the algorithm suite for generating digital signatures. It is expected that there will be support for Elliptic Curve Cryptography in the DNSSEC.</t>
    </r>
  </si>
  <si>
    <r>
      <rPr>
        <sz val="11"/>
        <color rgb="FF000000"/>
        <rFont val="Calibri"/>
      </rPr>
      <t>Verify automatically managed zone-signing keys for BIG-IP DNS to use in the DNSSEC authentication process have been configured.</t>
    </r>
    <r>
      <rPr>
        <sz val="11"/>
        <color rgb="FF000000"/>
        <rFont val="Calibri"/>
      </rPr>
      <t xml:space="preserve">
</t>
    </r>
    <r>
      <rPr>
        <sz val="11"/>
        <color rgb="FF000000"/>
        <rFont val="Calibri"/>
      </rPr>
      <t>On the Main tab, click "DNS Delivery Keys DNSSEC Key List".</t>
    </r>
    <r>
      <rPr>
        <sz val="11"/>
        <color rgb="FF000000"/>
        <rFont val="Calibri"/>
      </rPr>
      <t xml:space="preserve">
</t>
    </r>
    <r>
      <rPr>
        <sz val="11"/>
        <color rgb="FF000000"/>
        <rFont val="Calibri"/>
      </rPr>
      <t>The DNSSEC Key List screen opens.</t>
    </r>
    <r>
      <rPr>
        <sz val="11"/>
        <color rgb="FF000000"/>
        <rFont val="Calibri"/>
      </rPr>
      <t xml:space="preserve">
</t>
    </r>
    <r>
      <rPr>
        <sz val="11"/>
        <color rgb="FF000000"/>
        <rFont val="Calibri"/>
      </rPr>
      <t>If the Digital signature algorithm used for DNSSEC-enabled zones is not set to use RSA/SHA256 or RSASHA512, this is a finding.</t>
    </r>
  </si>
  <si>
    <t>V-265987</t>
  </si>
  <si>
    <r>
      <rPr>
        <sz val="11"/>
        <rFont val="Calibri"/>
      </rPr>
      <t>The F5 BIG-IP DNS server implementation must validate the binding of the other DNS server</t>
    </r>
    <r>
      <rPr>
        <sz val="11"/>
        <color rgb="FF000000"/>
        <rFont val="Calibri"/>
      </rPr>
      <t>'</t>
    </r>
    <r>
      <rPr>
        <sz val="11"/>
        <color rgb="FF000000"/>
        <rFont val="Calibri"/>
      </rPr>
      <t>s identity to the DNS information for a server-to-server transaction (e.g., zone transfer).</t>
    </r>
  </si>
  <si>
    <r>
      <rPr>
        <sz val="11"/>
        <color rgb="FF000000"/>
        <rFont val="Calibri"/>
      </rPr>
      <t>From the BIG-IP GUI:</t>
    </r>
    <r>
      <rPr>
        <sz val="11"/>
        <color rgb="FF000000"/>
        <rFont val="Calibri"/>
      </rPr>
      <t xml:space="preserve">
</t>
    </r>
    <r>
      <rPr>
        <sz val="11"/>
        <color rgb="FF000000"/>
        <rFont val="Calibri"/>
      </rPr>
      <t>1. DNS.</t>
    </r>
    <r>
      <rPr>
        <sz val="11"/>
        <color rgb="FF000000"/>
        <rFont val="Calibri"/>
      </rPr>
      <t xml:space="preserve">
</t>
    </r>
    <r>
      <rPr>
        <sz val="11"/>
        <color rgb="FF000000"/>
        <rFont val="Calibri"/>
      </rPr>
      <t>2. Delivery.</t>
    </r>
    <r>
      <rPr>
        <sz val="11"/>
        <color rgb="FF000000"/>
        <rFont val="Calibri"/>
      </rPr>
      <t xml:space="preserve">
</t>
    </r>
    <r>
      <rPr>
        <sz val="11"/>
        <color rgb="FF000000"/>
        <rFont val="Calibri"/>
      </rPr>
      <t>3. Nameservers.</t>
    </r>
    <r>
      <rPr>
        <sz val="11"/>
        <color rgb="FF000000"/>
        <rFont val="Calibri"/>
      </rPr>
      <t xml:space="preserve">
</t>
    </r>
    <r>
      <rPr>
        <sz val="11"/>
        <color rgb="FF000000"/>
        <rFont val="Calibri"/>
      </rPr>
      <t>4. Click the Name of the Nameserver.</t>
    </r>
    <r>
      <rPr>
        <sz val="11"/>
        <color rgb="FF000000"/>
        <rFont val="Calibri"/>
      </rPr>
      <t xml:space="preserve">
</t>
    </r>
    <r>
      <rPr>
        <sz val="11"/>
        <color rgb="FF000000"/>
        <rFont val="Calibri"/>
      </rPr>
      <t>5. Select a value from the "TSIG Key" drop-down menu.</t>
    </r>
    <r>
      <rPr>
        <sz val="11"/>
        <color rgb="FF000000"/>
        <rFont val="Calibri"/>
      </rPr>
      <t xml:space="preserve">
</t>
    </r>
    <r>
      <rPr>
        <sz val="11"/>
        <color rgb="FF000000"/>
        <rFont val="Calibri"/>
      </rPr>
      <t>Note: To create a TSIG Key, go to DNS &gt;&gt; Delivery &gt;&gt; Keys &gt;&gt; TSIG Key List.</t>
    </r>
    <r>
      <rPr>
        <sz val="11"/>
        <color rgb="FF000000"/>
        <rFont val="Calibri"/>
      </rPr>
      <t xml:space="preserve">
</t>
    </r>
    <r>
      <rPr>
        <sz val="11"/>
        <color rgb="FF000000"/>
        <rFont val="Calibri"/>
      </rPr>
      <t>6. Click "Finished".</t>
    </r>
  </si>
  <si>
    <r>
      <rPr>
        <sz val="11"/>
        <color rgb="FF000000"/>
        <rFont val="Calibri"/>
      </rPr>
      <t>Validation of the binding of the information prevents the modification of information between production and review. The validation of bindings can be achieved, for example, by the use of cryptographic checksums. Validations must be performed automatically.</t>
    </r>
    <r>
      <rPr>
        <sz val="11"/>
        <color rgb="FF000000"/>
        <rFont val="Calibri"/>
      </rPr>
      <t xml:space="preserve">
</t>
    </r>
    <r>
      <rPr>
        <sz val="11"/>
        <color rgb="FF000000"/>
        <rFont val="Calibri"/>
      </rPr>
      <t>DNSSEC and TSIG/SIG(0) technologies are not effective unless the digital signatures they generate are validated to ensure that the information has not been tampered with and that the producer's identity is legitimate.</t>
    </r>
  </si>
  <si>
    <r>
      <rPr>
        <sz val="11"/>
        <color rgb="FF000000"/>
        <rFont val="Calibri"/>
      </rPr>
      <t>From the BIG-IP GUI:</t>
    </r>
    <r>
      <rPr>
        <sz val="11"/>
        <color rgb="FF000000"/>
        <rFont val="Calibri"/>
      </rPr>
      <t xml:space="preserve">
</t>
    </r>
    <r>
      <rPr>
        <sz val="11"/>
        <color rgb="FF000000"/>
        <rFont val="Calibri"/>
      </rPr>
      <t>1. DNS.</t>
    </r>
    <r>
      <rPr>
        <sz val="11"/>
        <color rgb="FF000000"/>
        <rFont val="Calibri"/>
      </rPr>
      <t xml:space="preserve">
</t>
    </r>
    <r>
      <rPr>
        <sz val="11"/>
        <color rgb="FF000000"/>
        <rFont val="Calibri"/>
      </rPr>
      <t>2. Delivery.</t>
    </r>
    <r>
      <rPr>
        <sz val="11"/>
        <color rgb="FF000000"/>
        <rFont val="Calibri"/>
      </rPr>
      <t xml:space="preserve">
</t>
    </r>
    <r>
      <rPr>
        <sz val="11"/>
        <color rgb="FF000000"/>
        <rFont val="Calibri"/>
      </rPr>
      <t>3. Nameservers.</t>
    </r>
    <r>
      <rPr>
        <sz val="11"/>
        <color rgb="FF000000"/>
        <rFont val="Calibri"/>
      </rPr>
      <t xml:space="preserve">
</t>
    </r>
    <r>
      <rPr>
        <sz val="11"/>
        <color rgb="FF000000"/>
        <rFont val="Calibri"/>
      </rPr>
      <t>4. Click the Name of the Nameserver.</t>
    </r>
    <r>
      <rPr>
        <sz val="11"/>
        <color rgb="FF000000"/>
        <rFont val="Calibri"/>
      </rPr>
      <t xml:space="preserve">
</t>
    </r>
    <r>
      <rPr>
        <sz val="11"/>
        <color rgb="FF000000"/>
        <rFont val="Calibri"/>
      </rPr>
      <t>5. Verify that a value is selected for "TSIG Key".</t>
    </r>
    <r>
      <rPr>
        <sz val="11"/>
        <color rgb="FF000000"/>
        <rFont val="Calibri"/>
      </rPr>
      <t xml:space="preserve">
</t>
    </r>
    <r>
      <rPr>
        <sz val="11"/>
        <color rgb="FF000000"/>
        <rFont val="Calibri"/>
      </rPr>
      <t>If the BIG-IP appliance is not configured to validate the binding of the other DNS server's identity to the DNS information for a server-to-server transaction (e.g., zone transfer), this is a finding.</t>
    </r>
  </si>
  <si>
    <t>V-265988</t>
  </si>
  <si>
    <r>
      <rPr>
        <sz val="11"/>
        <rFont val="Calibri"/>
      </rPr>
      <t>A BIG-IP DNS server implementation must provide additional data origin artifacts along with the authoritative data the system returns in response to external name/address resolution queries.</t>
    </r>
  </si>
  <si>
    <r>
      <rPr>
        <sz val="11"/>
        <color rgb="FF000000"/>
        <rFont val="Calibri"/>
      </rPr>
      <t>DNSSEC Keys:</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DNS.</t>
    </r>
    <r>
      <rPr>
        <sz val="11"/>
        <color rgb="FF000000"/>
        <rFont val="Calibri"/>
      </rPr>
      <t xml:space="preserve">
</t>
    </r>
    <r>
      <rPr>
        <sz val="11"/>
        <color rgb="FF000000"/>
        <rFont val="Calibri"/>
      </rPr>
      <t>2. Zones.</t>
    </r>
    <r>
      <rPr>
        <sz val="11"/>
        <color rgb="FF000000"/>
        <rFont val="Calibri"/>
      </rPr>
      <t xml:space="preserve">
</t>
    </r>
    <r>
      <rPr>
        <sz val="11"/>
        <color rgb="FF000000"/>
        <rFont val="Calibri"/>
      </rPr>
      <t>3. DNSSEC Zones.</t>
    </r>
    <r>
      <rPr>
        <sz val="11"/>
        <color rgb="FF000000"/>
        <rFont val="Calibri"/>
      </rPr>
      <t xml:space="preserve">
</t>
    </r>
    <r>
      <rPr>
        <sz val="11"/>
        <color rgb="FF000000"/>
        <rFont val="Calibri"/>
      </rPr>
      <t>4. DNSSEC Zone List.</t>
    </r>
    <r>
      <rPr>
        <sz val="11"/>
        <color rgb="FF000000"/>
        <rFont val="Calibri"/>
      </rPr>
      <t xml:space="preserve">
</t>
    </r>
    <r>
      <rPr>
        <sz val="11"/>
        <color rgb="FF000000"/>
        <rFont val="Calibri"/>
      </rPr>
      <t>5. Click the name of the zone.</t>
    </r>
    <r>
      <rPr>
        <sz val="11"/>
        <color rgb="FF000000"/>
        <rFont val="Calibri"/>
      </rPr>
      <t xml:space="preserve">
</t>
    </r>
    <r>
      <rPr>
        <sz val="11"/>
        <color rgb="FF000000"/>
        <rFont val="Calibri"/>
      </rPr>
      <t>6. Move a key for both "Zone Signing Key" and "Key Signing Key" into the "Active" column.</t>
    </r>
    <r>
      <rPr>
        <sz val="11"/>
        <color rgb="FF000000"/>
        <rFont val="Calibri"/>
      </rPr>
      <t xml:space="preserve">
</t>
    </r>
    <r>
      <rPr>
        <sz val="11"/>
        <color rgb="FF000000"/>
        <rFont val="Calibri"/>
      </rPr>
      <t>7. Click "Update".</t>
    </r>
    <r>
      <rPr>
        <sz val="11"/>
        <color rgb="FF000000"/>
        <rFont val="Calibri"/>
      </rPr>
      <t xml:space="preserve">
</t>
    </r>
    <r>
      <rPr>
        <sz val="11"/>
        <color rgb="FF000000"/>
        <rFont val="Calibri"/>
      </rPr>
      <t>Note: To create a Zone Signing Key and/or Key Signing Key go to DNS &gt;&gt; Delivery &gt;&gt; Keys &gt;&gt; DNSSEC Key List.</t>
    </r>
    <r>
      <rPr>
        <sz val="11"/>
        <color rgb="FF000000"/>
        <rFont val="Calibri"/>
      </rPr>
      <t xml:space="preserve">
</t>
    </r>
    <r>
      <rPr>
        <sz val="11"/>
        <color rgb="FF000000"/>
        <rFont val="Calibri"/>
      </rPr>
      <t>DNS Profile:</t>
    </r>
    <r>
      <rPr>
        <sz val="11"/>
        <color rgb="FF000000"/>
        <rFont val="Calibri"/>
      </rPr>
      <t xml:space="preserve">
</t>
    </r>
    <r>
      <rPr>
        <sz val="11"/>
        <color rgb="FF000000"/>
        <rFont val="Calibri"/>
      </rPr>
      <t>1. DNS.</t>
    </r>
    <r>
      <rPr>
        <sz val="11"/>
        <color rgb="FF000000"/>
        <rFont val="Calibri"/>
      </rPr>
      <t xml:space="preserve">
</t>
    </r>
    <r>
      <rPr>
        <sz val="11"/>
        <color rgb="FF000000"/>
        <rFont val="Calibri"/>
      </rPr>
      <t>2. Delivery.</t>
    </r>
    <r>
      <rPr>
        <sz val="11"/>
        <color rgb="FF000000"/>
        <rFont val="Calibri"/>
      </rPr>
      <t xml:space="preserve">
</t>
    </r>
    <r>
      <rPr>
        <sz val="11"/>
        <color rgb="FF000000"/>
        <rFont val="Calibri"/>
      </rPr>
      <t>3. Profiles.</t>
    </r>
    <r>
      <rPr>
        <sz val="11"/>
        <color rgb="FF000000"/>
        <rFont val="Calibri"/>
      </rPr>
      <t xml:space="preserve">
</t>
    </r>
    <r>
      <rPr>
        <sz val="11"/>
        <color rgb="FF000000"/>
        <rFont val="Calibri"/>
      </rPr>
      <t>4. DNS.</t>
    </r>
    <r>
      <rPr>
        <sz val="11"/>
        <color rgb="FF000000"/>
        <rFont val="Calibri"/>
      </rPr>
      <t xml:space="preserve">
</t>
    </r>
    <r>
      <rPr>
        <sz val="11"/>
        <color rgb="FF000000"/>
        <rFont val="Calibri"/>
      </rPr>
      <t>5. Click the name of the DNS profile being used by the listener.</t>
    </r>
    <r>
      <rPr>
        <sz val="11"/>
        <color rgb="FF000000"/>
        <rFont val="Calibri"/>
      </rPr>
      <t xml:space="preserve">
</t>
    </r>
    <r>
      <rPr>
        <sz val="11"/>
        <color rgb="FF000000"/>
        <rFont val="Calibri"/>
      </rPr>
      <t>6. Under DNS Features set "DNSSEC" to "Enabled".</t>
    </r>
    <r>
      <rPr>
        <sz val="11"/>
        <color rgb="FF000000"/>
        <rFont val="Calibri"/>
      </rPr>
      <t xml:space="preserve">
</t>
    </r>
    <r>
      <rPr>
        <sz val="11"/>
        <color rgb="FF000000"/>
        <rFont val="Calibri"/>
      </rPr>
      <t>Note: If the setting is grayed out click the box to the right of the setting and then change it.</t>
    </r>
    <r>
      <rPr>
        <sz val="11"/>
        <color rgb="FF000000"/>
        <rFont val="Calibri"/>
      </rPr>
      <t xml:space="preserve">
</t>
    </r>
    <r>
      <rPr>
        <sz val="11"/>
        <color rgb="FF000000"/>
        <rFont val="Calibri"/>
      </rPr>
      <t>7. Click "Update".</t>
    </r>
  </si>
  <si>
    <r>
      <rPr>
        <sz val="11"/>
        <color rgb="FF000000"/>
        <rFont val="Calibri"/>
      </rPr>
      <t>The underlying feature in the major threat associated with DNS query/response (e.g., forged response or response failure) is the integrity of DNS data returned in the response. The security objective is to verify the integrity of each response received. An integral part of integrity verification is to ensure that valid data has originated from the right source. Establishing trust in the source is called data origin authentication.</t>
    </r>
    <r>
      <rPr>
        <sz val="11"/>
        <color rgb="FF000000"/>
        <rFont val="Calibri"/>
      </rPr>
      <t xml:space="preserve">
</t>
    </r>
    <r>
      <rPr>
        <sz val="11"/>
        <color rgb="FF000000"/>
        <rFont val="Calibri"/>
      </rPr>
      <t>The security objectives—and consequently the security services—that are required for securing the DNS query/response transaction are data origin authentication and data integrity verification.</t>
    </r>
    <r>
      <rPr>
        <sz val="11"/>
        <color rgb="FF000000"/>
        <rFont val="Calibri"/>
      </rPr>
      <t xml:space="preserve">
</t>
    </r>
    <r>
      <rPr>
        <sz val="11"/>
        <color rgb="FF000000"/>
        <rFont val="Calibri"/>
      </rPr>
      <t>The specification for a digital signature mechanism in the context of the DNS infrastructure is in IETF’s DNSSEC standard. In DNSSEC, trust in the public key (for signature verification) of the source is established not by going to a third party or a chain of third parties (as in public key infrastructure [PKI] chaining), but by starting from a trusted zone (such as the root zone) and establishing the chain of trust down to the current source of response through successive verifications of signature of the public key of a child by its parent. The public key of the trusted zone is called the trust anchor.</t>
    </r>
  </si>
  <si>
    <r>
      <rPr>
        <sz val="11"/>
        <color rgb="FF000000"/>
        <rFont val="Calibri"/>
      </rPr>
      <t>From the BIG-IP Console, type the following commands:</t>
    </r>
    <r>
      <rPr>
        <sz val="11"/>
        <color rgb="FF000000"/>
        <rFont val="Calibri"/>
      </rPr>
      <t xml:space="preserve">
</t>
    </r>
    <r>
      <rPr>
        <sz val="11"/>
        <color rgb="FF000000"/>
        <rFont val="Calibri"/>
      </rPr>
      <t>Note: Assuming you are checking a DNSSEC Zone, from the command line of a management computer, run:</t>
    </r>
    <r>
      <rPr>
        <sz val="11"/>
        <color rgb="FF000000"/>
        <rFont val="Calibri"/>
      </rPr>
      <t xml:space="preserve">
</t>
    </r>
    <r>
      <rPr>
        <sz val="11"/>
        <color rgb="FF000000"/>
        <rFont val="Calibri"/>
      </rPr>
      <t>dig +dnssec @&lt;DNS Server IP&gt; &lt;DNSSEC zonename&gt;</t>
    </r>
    <r>
      <rPr>
        <sz val="11"/>
        <color rgb="FF000000"/>
        <rFont val="Calibri"/>
      </rPr>
      <t xml:space="preserve">
</t>
    </r>
    <r>
      <rPr>
        <sz val="11"/>
        <color rgb="FF000000"/>
        <rFont val="Calibri"/>
      </rPr>
      <t>#verify the existence of an RRSET for each zone, which will include, at a minimum, an RRType RRSIG (Resource Record Signature) as well as an RRType DNSKEY and RRType NSEC (Next Secure).</t>
    </r>
    <r>
      <rPr>
        <sz val="11"/>
        <color rgb="FF000000"/>
        <rFont val="Calibri"/>
      </rPr>
      <t xml:space="preserve">
</t>
    </r>
    <r>
      <rPr>
        <sz val="11"/>
        <color rgb="FF000000"/>
        <rFont val="Calibri"/>
      </rPr>
      <t>DNS Profile: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DNS.</t>
    </r>
    <r>
      <rPr>
        <sz val="11"/>
        <color rgb="FF000000"/>
        <rFont val="Calibri"/>
      </rPr>
      <t xml:space="preserve">
</t>
    </r>
    <r>
      <rPr>
        <sz val="11"/>
        <color rgb="FF000000"/>
        <rFont val="Calibri"/>
      </rPr>
      <t>2. Delivery.</t>
    </r>
    <r>
      <rPr>
        <sz val="11"/>
        <color rgb="FF000000"/>
        <rFont val="Calibri"/>
      </rPr>
      <t xml:space="preserve">
</t>
    </r>
    <r>
      <rPr>
        <sz val="11"/>
        <color rgb="FF000000"/>
        <rFont val="Calibri"/>
      </rPr>
      <t>3. Profiles.</t>
    </r>
    <r>
      <rPr>
        <sz val="11"/>
        <color rgb="FF000000"/>
        <rFont val="Calibri"/>
      </rPr>
      <t xml:space="preserve">
</t>
    </r>
    <r>
      <rPr>
        <sz val="11"/>
        <color rgb="FF000000"/>
        <rFont val="Calibri"/>
      </rPr>
      <t>4. DNS.</t>
    </r>
    <r>
      <rPr>
        <sz val="11"/>
        <color rgb="FF000000"/>
        <rFont val="Calibri"/>
      </rPr>
      <t xml:space="preserve">
</t>
    </r>
    <r>
      <rPr>
        <sz val="11"/>
        <color rgb="FF000000"/>
        <rFont val="Calibri"/>
      </rPr>
      <t>5. Click the name of the DNS profile being used by the listener.</t>
    </r>
    <r>
      <rPr>
        <sz val="11"/>
        <color rgb="FF000000"/>
        <rFont val="Calibri"/>
      </rPr>
      <t xml:space="preserve">
</t>
    </r>
    <r>
      <rPr>
        <sz val="11"/>
        <color rgb="FF000000"/>
        <rFont val="Calibri"/>
      </rPr>
      <t>6. Under DNS Features verify "DNSSEC" is set to "Enabled".</t>
    </r>
    <r>
      <rPr>
        <sz val="11"/>
        <color rgb="FF000000"/>
        <rFont val="Calibri"/>
      </rPr>
      <t xml:space="preserve">
</t>
    </r>
    <r>
      <rPr>
        <sz val="11"/>
        <color rgb="FF000000"/>
        <rFont val="Calibri"/>
      </rPr>
      <t>If the BIG-IP DNS appliance is not configured to provide additional data origin artifacts along with the authoritative data the system returns in response to external name/address resolution queries, this is a finding.</t>
    </r>
  </si>
  <si>
    <t>V-265989</t>
  </si>
  <si>
    <r>
      <rPr>
        <sz val="11"/>
        <rFont val="Calibri"/>
      </rPr>
      <t>The validity period for the RRSIGs covering the DS RR for a zones delegated children must be no less than two days and no more than one week.</t>
    </r>
  </si>
  <si>
    <r>
      <rPr>
        <sz val="11"/>
        <color rgb="FF000000"/>
        <rFont val="Calibri"/>
      </rPr>
      <t>KSK validity period</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DNS.</t>
    </r>
    <r>
      <rPr>
        <sz val="11"/>
        <color rgb="FF000000"/>
        <rFont val="Calibri"/>
      </rPr>
      <t xml:space="preserve">
</t>
    </r>
    <r>
      <rPr>
        <sz val="11"/>
        <color rgb="FF000000"/>
        <rFont val="Calibri"/>
      </rPr>
      <t>2. Delivery.</t>
    </r>
    <r>
      <rPr>
        <sz val="11"/>
        <color rgb="FF000000"/>
        <rFont val="Calibri"/>
      </rPr>
      <t xml:space="preserve">
</t>
    </r>
    <r>
      <rPr>
        <sz val="11"/>
        <color rgb="FF000000"/>
        <rFont val="Calibri"/>
      </rPr>
      <t>3. Keys.</t>
    </r>
    <r>
      <rPr>
        <sz val="11"/>
        <color rgb="FF000000"/>
        <rFont val="Calibri"/>
      </rPr>
      <t xml:space="preserve">
</t>
    </r>
    <r>
      <rPr>
        <sz val="11"/>
        <color rgb="FF000000"/>
        <rFont val="Calibri"/>
      </rPr>
      <t>4. DNSSEC Key List.</t>
    </r>
    <r>
      <rPr>
        <sz val="11"/>
        <color rgb="FF000000"/>
        <rFont val="Calibri"/>
      </rPr>
      <t xml:space="preserve">
</t>
    </r>
    <r>
      <rPr>
        <sz val="11"/>
        <color rgb="FF000000"/>
        <rFont val="Calibri"/>
      </rPr>
      <t>5. Click the Name of the KSK.</t>
    </r>
    <r>
      <rPr>
        <sz val="11"/>
        <color rgb="FF000000"/>
        <rFont val="Calibri"/>
      </rPr>
      <t xml:space="preserve">
</t>
    </r>
    <r>
      <rPr>
        <sz val="11"/>
        <color rgb="FF000000"/>
        <rFont val="Calibri"/>
      </rPr>
      <t>6. Configure the "Signature Validity Period" to two and seven days.</t>
    </r>
    <r>
      <rPr>
        <sz val="11"/>
        <color rgb="FF000000"/>
        <rFont val="Calibri"/>
      </rPr>
      <t xml:space="preserve">
</t>
    </r>
    <r>
      <rPr>
        <sz val="11"/>
        <color rgb="FF000000"/>
        <rFont val="Calibri"/>
      </rPr>
      <t>7. Click "Update".</t>
    </r>
    <r>
      <rPr>
        <sz val="11"/>
        <color rgb="FF000000"/>
        <rFont val="Calibri"/>
      </rPr>
      <t xml:space="preserve">
</t>
    </r>
    <r>
      <rPr>
        <sz val="11"/>
        <color rgb="FF000000"/>
        <rFont val="Calibri"/>
      </rPr>
      <t>ZSK validity period</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DNS.</t>
    </r>
    <r>
      <rPr>
        <sz val="11"/>
        <color rgb="FF000000"/>
        <rFont val="Calibri"/>
      </rPr>
      <t xml:space="preserve">
</t>
    </r>
    <r>
      <rPr>
        <sz val="11"/>
        <color rgb="FF000000"/>
        <rFont val="Calibri"/>
      </rPr>
      <t>2. Delivery.</t>
    </r>
    <r>
      <rPr>
        <sz val="11"/>
        <color rgb="FF000000"/>
        <rFont val="Calibri"/>
      </rPr>
      <t xml:space="preserve">
</t>
    </r>
    <r>
      <rPr>
        <sz val="11"/>
        <color rgb="FF000000"/>
        <rFont val="Calibri"/>
      </rPr>
      <t>3. Keys.</t>
    </r>
    <r>
      <rPr>
        <sz val="11"/>
        <color rgb="FF000000"/>
        <rFont val="Calibri"/>
      </rPr>
      <t xml:space="preserve">
</t>
    </r>
    <r>
      <rPr>
        <sz val="11"/>
        <color rgb="FF000000"/>
        <rFont val="Calibri"/>
      </rPr>
      <t>4. DNSSEC Key List.</t>
    </r>
    <r>
      <rPr>
        <sz val="11"/>
        <color rgb="FF000000"/>
        <rFont val="Calibri"/>
      </rPr>
      <t xml:space="preserve">
</t>
    </r>
    <r>
      <rPr>
        <sz val="11"/>
        <color rgb="FF000000"/>
        <rFont val="Calibri"/>
      </rPr>
      <t>5. Click the Name of the ZSK.</t>
    </r>
    <r>
      <rPr>
        <sz val="11"/>
        <color rgb="FF000000"/>
        <rFont val="Calibri"/>
      </rPr>
      <t xml:space="preserve">
</t>
    </r>
    <r>
      <rPr>
        <sz val="11"/>
        <color rgb="FF000000"/>
        <rFont val="Calibri"/>
      </rPr>
      <t>6. Configure the "Signature Validity Period" to two and seven days.</t>
    </r>
    <r>
      <rPr>
        <sz val="11"/>
        <color rgb="FF000000"/>
        <rFont val="Calibri"/>
      </rPr>
      <t xml:space="preserve">
</t>
    </r>
    <r>
      <rPr>
        <sz val="11"/>
        <color rgb="FF000000"/>
        <rFont val="Calibri"/>
      </rPr>
      <t>7. Click "Update".</t>
    </r>
  </si>
  <si>
    <r>
      <rPr>
        <sz val="11"/>
        <color rgb="FF000000"/>
        <rFont val="Calibri"/>
      </rPr>
      <t>The best way for a zone administrator to minimize the impact of a key compromise is by limiting the validity period of RRSIGs in the zone and in the parent zone. This strategy limits the time during which an attacker can take advantage of a compromised key to forge responses. An attacker that has compromised a ZSK can use that key only during the KSK's signature validity interval. An attacker that has compromised a KSK can use that key for only as long as the signature interval of the RRSIG covering the DS RR in the delegating parent. These validity periods must be short, which will require frequent resigning.</t>
    </r>
    <r>
      <rPr>
        <sz val="11"/>
        <color rgb="FF000000"/>
        <rFont val="Calibri"/>
      </rPr>
      <t xml:space="preserve">
</t>
    </r>
    <r>
      <rPr>
        <sz val="11"/>
        <color rgb="FF000000"/>
        <rFont val="Calibri"/>
      </rPr>
      <t>To prevent the impact of a compromised KSK, a delegating parent must set the signature validity period for RRSIGs covering DS RRs in the range of a few days to one week. This resigning does not require frequent rollover of the parent's ZSK, but scheduled ZSK rollover must still be performed at regular intervals.</t>
    </r>
  </si>
  <si>
    <r>
      <rPr>
        <sz val="11"/>
        <color rgb="FF000000"/>
        <rFont val="Calibri"/>
      </rPr>
      <t>KSK validity period</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DNS.</t>
    </r>
    <r>
      <rPr>
        <sz val="11"/>
        <color rgb="FF000000"/>
        <rFont val="Calibri"/>
      </rPr>
      <t xml:space="preserve">
</t>
    </r>
    <r>
      <rPr>
        <sz val="11"/>
        <color rgb="FF000000"/>
        <rFont val="Calibri"/>
      </rPr>
      <t>2. Delivery.</t>
    </r>
    <r>
      <rPr>
        <sz val="11"/>
        <color rgb="FF000000"/>
        <rFont val="Calibri"/>
      </rPr>
      <t xml:space="preserve">
</t>
    </r>
    <r>
      <rPr>
        <sz val="11"/>
        <color rgb="FF000000"/>
        <rFont val="Calibri"/>
      </rPr>
      <t>3. Keys.</t>
    </r>
    <r>
      <rPr>
        <sz val="11"/>
        <color rgb="FF000000"/>
        <rFont val="Calibri"/>
      </rPr>
      <t xml:space="preserve">
</t>
    </r>
    <r>
      <rPr>
        <sz val="11"/>
        <color rgb="FF000000"/>
        <rFont val="Calibri"/>
      </rPr>
      <t>4. DNSSEC Key List.</t>
    </r>
    <r>
      <rPr>
        <sz val="11"/>
        <color rgb="FF000000"/>
        <rFont val="Calibri"/>
      </rPr>
      <t xml:space="preserve">
</t>
    </r>
    <r>
      <rPr>
        <sz val="11"/>
        <color rgb="FF000000"/>
        <rFont val="Calibri"/>
      </rPr>
      <t>5. Click the Name of the KSK.</t>
    </r>
    <r>
      <rPr>
        <sz val="11"/>
        <color rgb="FF000000"/>
        <rFont val="Calibri"/>
      </rPr>
      <t xml:space="preserve">
</t>
    </r>
    <r>
      <rPr>
        <sz val="11"/>
        <color rgb="FF000000"/>
        <rFont val="Calibri"/>
      </rPr>
      <t>6. Verify the "Signature Validity Period" is between two and seven days.</t>
    </r>
    <r>
      <rPr>
        <sz val="11"/>
        <color rgb="FF000000"/>
        <rFont val="Calibri"/>
      </rPr>
      <t xml:space="preserve">
</t>
    </r>
    <r>
      <rPr>
        <sz val="11"/>
        <color rgb="FF000000"/>
        <rFont val="Calibri"/>
      </rPr>
      <t>ZSK validity period</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DNS.</t>
    </r>
    <r>
      <rPr>
        <sz val="11"/>
        <color rgb="FF000000"/>
        <rFont val="Calibri"/>
      </rPr>
      <t xml:space="preserve">
</t>
    </r>
    <r>
      <rPr>
        <sz val="11"/>
        <color rgb="FF000000"/>
        <rFont val="Calibri"/>
      </rPr>
      <t>2. Delivery.</t>
    </r>
    <r>
      <rPr>
        <sz val="11"/>
        <color rgb="FF000000"/>
        <rFont val="Calibri"/>
      </rPr>
      <t xml:space="preserve">
</t>
    </r>
    <r>
      <rPr>
        <sz val="11"/>
        <color rgb="FF000000"/>
        <rFont val="Calibri"/>
      </rPr>
      <t>3. Keys.</t>
    </r>
    <r>
      <rPr>
        <sz val="11"/>
        <color rgb="FF000000"/>
        <rFont val="Calibri"/>
      </rPr>
      <t xml:space="preserve">
</t>
    </r>
    <r>
      <rPr>
        <sz val="11"/>
        <color rgb="FF000000"/>
        <rFont val="Calibri"/>
      </rPr>
      <t>4. DNSSEC Key List.</t>
    </r>
    <r>
      <rPr>
        <sz val="11"/>
        <color rgb="FF000000"/>
        <rFont val="Calibri"/>
      </rPr>
      <t xml:space="preserve">
</t>
    </r>
    <r>
      <rPr>
        <sz val="11"/>
        <color rgb="FF000000"/>
        <rFont val="Calibri"/>
      </rPr>
      <t>5. Click the name of the ZSK.</t>
    </r>
    <r>
      <rPr>
        <sz val="11"/>
        <color rgb="FF000000"/>
        <rFont val="Calibri"/>
      </rPr>
      <t xml:space="preserve">
</t>
    </r>
    <r>
      <rPr>
        <sz val="11"/>
        <color rgb="FF000000"/>
        <rFont val="Calibri"/>
      </rPr>
      <t>6. Verify the "Signature Validity Period" is between two and seven days.</t>
    </r>
    <r>
      <rPr>
        <sz val="11"/>
        <color rgb="FF000000"/>
        <rFont val="Calibri"/>
      </rPr>
      <t xml:space="preserve">
</t>
    </r>
    <r>
      <rPr>
        <sz val="11"/>
        <color rgb="FF000000"/>
        <rFont val="Calibri"/>
      </rPr>
      <t>If the BIG-IP appliance is not configured with a validity period for the RRSIGs covering a zones DNSKEY RRSet of no less than two days and no more than one week, this is a finding.</t>
    </r>
  </si>
  <si>
    <t>V-265990</t>
  </si>
  <si>
    <r>
      <rPr>
        <sz val="11"/>
        <rFont val="Calibri"/>
      </rPr>
      <t>The F5 BIG-IP DNS implementation must protect the authenticity of communications sessions for zone transfers.</t>
    </r>
  </si>
  <si>
    <r>
      <rPr>
        <sz val="11"/>
        <color rgb="FF000000"/>
        <rFont val="Calibri"/>
      </rPr>
      <t>From the BIG-IP GUI:</t>
    </r>
    <r>
      <rPr>
        <sz val="11"/>
        <color rgb="FF000000"/>
        <rFont val="Calibri"/>
      </rPr>
      <t xml:space="preserve">
</t>
    </r>
    <r>
      <rPr>
        <sz val="11"/>
        <color rgb="FF000000"/>
        <rFont val="Calibri"/>
      </rPr>
      <t>1. DNS.</t>
    </r>
    <r>
      <rPr>
        <sz val="11"/>
        <color rgb="FF000000"/>
        <rFont val="Calibri"/>
      </rPr>
      <t xml:space="preserve">
</t>
    </r>
    <r>
      <rPr>
        <sz val="11"/>
        <color rgb="FF000000"/>
        <rFont val="Calibri"/>
      </rPr>
      <t>2. Zones.</t>
    </r>
    <r>
      <rPr>
        <sz val="11"/>
        <color rgb="FF000000"/>
        <rFont val="Calibri"/>
      </rPr>
      <t xml:space="preserve">
</t>
    </r>
    <r>
      <rPr>
        <sz val="11"/>
        <color rgb="FF000000"/>
        <rFont val="Calibri"/>
      </rPr>
      <t>3. Click on the Zone Name.</t>
    </r>
    <r>
      <rPr>
        <sz val="11"/>
        <color rgb="FF000000"/>
        <rFont val="Calibri"/>
      </rPr>
      <t xml:space="preserve">
</t>
    </r>
    <r>
      <rPr>
        <sz val="11"/>
        <color rgb="FF000000"/>
        <rFont val="Calibri"/>
      </rPr>
      <t>4. Under the TSIG section, select a "Server Key" from the drop-down menu.</t>
    </r>
    <r>
      <rPr>
        <sz val="11"/>
        <color rgb="FF000000"/>
        <rFont val="Calibri"/>
      </rPr>
      <t xml:space="preserve">
</t>
    </r>
    <r>
      <rPr>
        <sz val="11"/>
        <color rgb="FF000000"/>
        <rFont val="Calibri"/>
      </rPr>
      <t>5. Click "Update".</t>
    </r>
    <r>
      <rPr>
        <sz val="11"/>
        <color rgb="FF000000"/>
        <rFont val="Calibri"/>
      </rPr>
      <t xml:space="preserve">
</t>
    </r>
    <r>
      <rPr>
        <sz val="11"/>
        <color rgb="FF000000"/>
        <rFont val="Calibri"/>
      </rPr>
      <t>From the BIG-IP Console, type the following commands:</t>
    </r>
    <r>
      <rPr>
        <sz val="11"/>
        <color rgb="FF000000"/>
        <rFont val="Calibri"/>
      </rPr>
      <t xml:space="preserve">
</t>
    </r>
    <r>
      <rPr>
        <sz val="11"/>
        <color rgb="FF000000"/>
        <rFont val="Calibri"/>
      </rPr>
      <t>tmsh modify ltm dns zone &lt;zone name&gt; server-tsig-key &lt;TSIG key name&gt;</t>
    </r>
    <r>
      <rPr>
        <sz val="11"/>
        <color rgb="FF000000"/>
        <rFont val="Calibri"/>
      </rPr>
      <t xml:space="preserve">
</t>
    </r>
    <r>
      <rPr>
        <sz val="11"/>
        <color rgb="FF000000"/>
        <rFont val="Calibri"/>
      </rPr>
      <t>tmsh save sys config</t>
    </r>
  </si>
  <si>
    <r>
      <rPr>
        <sz val="11"/>
        <color rgb="FF000000"/>
        <rFont val="Calibri"/>
      </rPr>
      <t>DNS is a fundamental network service that is prone to various attacks, such as cache poisoning and man-in-the middle attacks.</t>
    </r>
    <r>
      <rPr>
        <sz val="11"/>
        <color rgb="FF000000"/>
        <rFont val="Calibri"/>
      </rPr>
      <t xml:space="preserve">
</t>
    </r>
    <r>
      <rPr>
        <sz val="11"/>
        <color rgb="FF000000"/>
        <rFont val="Calibri"/>
      </rPr>
      <t>If communication sessions are not provided appropriate validity protections, such as the employment of DNSSEC, the authenticity of the data cannot be guaranteed.</t>
    </r>
  </si>
  <si>
    <r>
      <rPr>
        <sz val="11"/>
        <color rgb="FF000000"/>
        <rFont val="Calibri"/>
      </rPr>
      <t>If the BIG-IP is transferring zones from another non-BIG-IP DNS server perform the following.</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DNS.</t>
    </r>
    <r>
      <rPr>
        <sz val="11"/>
        <color rgb="FF000000"/>
        <rFont val="Calibri"/>
      </rPr>
      <t xml:space="preserve">
</t>
    </r>
    <r>
      <rPr>
        <sz val="11"/>
        <color rgb="FF000000"/>
        <rFont val="Calibri"/>
      </rPr>
      <t>2. Zones.</t>
    </r>
    <r>
      <rPr>
        <sz val="11"/>
        <color rgb="FF000000"/>
        <rFont val="Calibri"/>
      </rPr>
      <t xml:space="preserve">
</t>
    </r>
    <r>
      <rPr>
        <sz val="11"/>
        <color rgb="FF000000"/>
        <rFont val="Calibri"/>
      </rPr>
      <t>3. Click on the Zone Name.</t>
    </r>
    <r>
      <rPr>
        <sz val="11"/>
        <color rgb="FF000000"/>
        <rFont val="Calibri"/>
      </rPr>
      <t xml:space="preserve">
</t>
    </r>
    <r>
      <rPr>
        <sz val="11"/>
        <color rgb="FF000000"/>
        <rFont val="Calibri"/>
      </rPr>
      <t>4. Under the TSIG section verify a "Server Key" is selected.</t>
    </r>
    <r>
      <rPr>
        <sz val="11"/>
        <color rgb="FF000000"/>
        <rFont val="Calibri"/>
      </rPr>
      <t xml:space="preserve">
</t>
    </r>
    <r>
      <rPr>
        <sz val="11"/>
        <color rgb="FF000000"/>
        <rFont val="Calibri"/>
      </rPr>
      <t>From the BIG-IP Console, type the following commands:</t>
    </r>
    <r>
      <rPr>
        <sz val="11"/>
        <color rgb="FF000000"/>
        <rFont val="Calibri"/>
      </rPr>
      <t xml:space="preserve">
</t>
    </r>
    <r>
      <rPr>
        <sz val="11"/>
        <color rgb="FF000000"/>
        <rFont val="Calibri"/>
      </rPr>
      <t>tmsh list ltm dns zone &lt;name&gt; server-tsig-key</t>
    </r>
    <r>
      <rPr>
        <sz val="11"/>
        <color rgb="FF000000"/>
        <rFont val="Calibri"/>
      </rPr>
      <t xml:space="preserve">
</t>
    </r>
    <r>
      <rPr>
        <sz val="11"/>
        <color rgb="FF000000"/>
        <rFont val="Calibri"/>
      </rPr>
      <t>Note: Must return a value other than "none".</t>
    </r>
    <r>
      <rPr>
        <sz val="11"/>
        <color rgb="FF000000"/>
        <rFont val="Calibri"/>
      </rPr>
      <t xml:space="preserve">
</t>
    </r>
    <r>
      <rPr>
        <sz val="11"/>
        <color rgb="FF000000"/>
        <rFont val="Calibri"/>
      </rPr>
      <t>If the BIG-IP appliance is not configured to protect the authenticity of communications sessions for zone transfers, this is a finding.</t>
    </r>
  </si>
  <si>
    <t>V-265991</t>
  </si>
  <si>
    <r>
      <rPr>
        <sz val="11"/>
        <rFont val="Calibri"/>
      </rPr>
      <t>The F5 BIG-IP DNS server implementation must manage excess capacity, bandwidth, or other redundancy to limit the effects of information flooding types of denial-of-service (DoS) attacks.</t>
    </r>
  </si>
  <si>
    <r>
      <rPr>
        <sz val="11"/>
        <color rgb="FF000000"/>
        <rFont val="Calibri"/>
      </rPr>
      <t>This requires the AFM license or can be implemented using another firewall's ACL.</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DoS Protection.</t>
    </r>
    <r>
      <rPr>
        <sz val="11"/>
        <color rgb="FF000000"/>
        <rFont val="Calibri"/>
      </rPr>
      <t xml:space="preserve">
</t>
    </r>
    <r>
      <rPr>
        <sz val="11"/>
        <color rgb="FF000000"/>
        <rFont val="Calibri"/>
      </rPr>
      <t>3. Device Protection.</t>
    </r>
    <r>
      <rPr>
        <sz val="11"/>
        <color rgb="FF000000"/>
        <rFont val="Calibri"/>
      </rPr>
      <t xml:space="preserve">
</t>
    </r>
    <r>
      <rPr>
        <sz val="11"/>
        <color rgb="FF000000"/>
        <rFont val="Calibri"/>
      </rPr>
      <t>4. Expand DNS and do the following for each:</t>
    </r>
    <r>
      <rPr>
        <sz val="11"/>
        <color rgb="FF000000"/>
        <rFont val="Calibri"/>
      </rPr>
      <t xml:space="preserve">
</t>
    </r>
    <r>
      <rPr>
        <sz val="11"/>
        <color rgb="FF000000"/>
        <rFont val="Calibri"/>
      </rPr>
      <t>a. Check the box at the top of the list of signatures to select all.</t>
    </r>
    <r>
      <rPr>
        <sz val="11"/>
        <color rgb="FF000000"/>
        <rFont val="Calibri"/>
      </rPr>
      <t xml:space="preserve">
</t>
    </r>
    <r>
      <rPr>
        <sz val="11"/>
        <color rgb="FF000000"/>
        <rFont val="Calibri"/>
      </rPr>
      <t>b. Set "Set State" to "Mitigate".</t>
    </r>
    <r>
      <rPr>
        <sz val="11"/>
        <color rgb="FF000000"/>
        <rFont val="Calibri"/>
      </rPr>
      <t xml:space="preserve">
</t>
    </r>
    <r>
      <rPr>
        <sz val="11"/>
        <color rgb="FF000000"/>
        <rFont val="Calibri"/>
      </rPr>
      <t>c. Click "Commit Changes to System".</t>
    </r>
    <r>
      <rPr>
        <sz val="11"/>
        <color rgb="FF000000"/>
        <rFont val="Calibri"/>
      </rPr>
      <t xml:space="preserve">
</t>
    </r>
    <r>
      <rPr>
        <sz val="11"/>
        <color rgb="FF000000"/>
        <rFont val="Calibri"/>
      </rPr>
      <t>Note: Sites must operationally test, adjust thresholds, or initially use learning mode prior to turning on mitigation to prevent operational impacts, particularly in implementations with large traffic volumes.</t>
    </r>
  </si>
  <si>
    <r>
      <rPr>
        <sz val="11"/>
        <color rgb="FF000000"/>
        <rFont val="Calibri"/>
      </rPr>
      <t xml:space="preserve">DoS is a condition when a resource is not available for legitimate users. When this occurs, the organization either cannot accomplish its mission or must operate at degraded capacity. </t>
    </r>
    <r>
      <rPr>
        <sz val="11"/>
        <color rgb="FF000000"/>
        <rFont val="Calibri"/>
      </rPr>
      <t xml:space="preserve">
</t>
    </r>
    <r>
      <rPr>
        <sz val="11"/>
        <color rgb="FF000000"/>
        <rFont val="Calibri"/>
      </rPr>
      <t xml:space="preserve">In the case of application DoS attacks, care must be taken when designing the application to ensure the application makes the best use of system resources. SQL queries have the potential to consume large amounts of CPU cycles if they are not tuned for optimal performance. Web services containing complex calculations requiring large amounts of time to complete can bog down if too many requests for the service are encountered within a short period of time. </t>
    </r>
    <r>
      <rPr>
        <sz val="11"/>
        <color rgb="FF000000"/>
        <rFont val="Calibri"/>
      </rPr>
      <t xml:space="preserve">
</t>
    </r>
    <r>
      <rPr>
        <sz val="11"/>
        <color rgb="FF000000"/>
        <rFont val="Calibri"/>
      </rPr>
      <t xml:space="preserve">A DoS attack against the DNS infrastructure has the potential to cause a DoS to all network users. As the DNS is a distributed backbone service of the internet, various forms of amplification attacks resulting in DoS, while using the DNS, are still prevalent on the internet today. Some potential DoS flooding attacks against the DNS include malformed packet flood, spoofed source addresses, and distributed DoS. Without the DNS, users and systems would not have the ability to perform simple name-to-IP resolution. </t>
    </r>
    <r>
      <rPr>
        <sz val="11"/>
        <color rgb="FF000000"/>
        <rFont val="Calibri"/>
      </rPr>
      <t xml:space="preserve">
</t>
    </r>
    <r>
      <rPr>
        <sz val="11"/>
        <color rgb="FF000000"/>
        <rFont val="Calibri"/>
      </rPr>
      <t>Configuring the DNS implementation to defend against cache poisoning, employing increased capacity and bandwidth, building redundancy into the DNS architecture, using DNSSEC, limiting and securing recursive services, DNS black holes, etc., may reduce the susceptibility to some flooding types of DoS attacks.</t>
    </r>
    <r>
      <rPr>
        <sz val="11"/>
        <color rgb="FF000000"/>
        <rFont val="Calibri"/>
      </rPr>
      <t xml:space="preserve">
</t>
    </r>
    <r>
      <rPr>
        <sz val="11"/>
        <color rgb="FF000000"/>
        <rFont val="Calibri"/>
      </rPr>
      <t>Satisfies: SRG-APP-000247-DNS-000036, SRG-APP-000246-DNS-000035</t>
    </r>
  </si>
  <si>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DoS Protection.</t>
    </r>
    <r>
      <rPr>
        <sz val="11"/>
        <color rgb="FF000000"/>
        <rFont val="Calibri"/>
      </rPr>
      <t xml:space="preserve">
</t>
    </r>
    <r>
      <rPr>
        <sz val="11"/>
        <color rgb="FF000000"/>
        <rFont val="Calibri"/>
      </rPr>
      <t>3. Device Protection.</t>
    </r>
    <r>
      <rPr>
        <sz val="11"/>
        <color rgb="FF000000"/>
        <rFont val="Calibri"/>
      </rPr>
      <t xml:space="preserve">
</t>
    </r>
    <r>
      <rPr>
        <sz val="11"/>
        <color rgb="FF000000"/>
        <rFont val="Calibri"/>
      </rPr>
      <t>4. Expand DNS and verify the "State" is set to "Mitigate" for all signatures.</t>
    </r>
    <r>
      <rPr>
        <sz val="11"/>
        <color rgb="FF000000"/>
        <rFont val="Calibri"/>
      </rPr>
      <t xml:space="preserve">
</t>
    </r>
    <r>
      <rPr>
        <sz val="11"/>
        <color rgb="FF000000"/>
        <rFont val="Calibri"/>
      </rPr>
      <t>If the BIG-IP appliance is not configured to restrict the ability of individuals to use the DNS server to launch DoS attacks against other information systems, this is a finding.</t>
    </r>
  </si>
  <si>
    <t>V-266064</t>
  </si>
  <si>
    <r>
      <rPr>
        <sz val="11"/>
        <rFont val="Calibri"/>
      </rPr>
      <t>The F5 BIG-IP appliance must be configured to limit the number of concurrent sessions to the Configuration Utility to 10 or an organization-defined number.</t>
    </r>
  </si>
  <si>
    <t>NDM</t>
  </si>
  <si>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Preferences.</t>
    </r>
    <r>
      <rPr>
        <sz val="11"/>
        <color rgb="FF000000"/>
        <rFont val="Calibri"/>
      </rPr>
      <t xml:space="preserve">
</t>
    </r>
    <r>
      <rPr>
        <sz val="11"/>
        <color rgb="FF000000"/>
        <rFont val="Calibri"/>
      </rPr>
      <t>3. Set System Settings view to Advanced.</t>
    </r>
    <r>
      <rPr>
        <sz val="11"/>
        <color rgb="FF000000"/>
        <rFont val="Calibri"/>
      </rPr>
      <t xml:space="preserve">
</t>
    </r>
    <r>
      <rPr>
        <sz val="11"/>
        <color rgb="FF000000"/>
        <rFont val="Calibri"/>
      </rPr>
      <t>4. Maximum HTTP connections to Configuration Utility: enter 10 or an organization-defined number.</t>
    </r>
    <r>
      <rPr>
        <sz val="11"/>
        <color rgb="FF000000"/>
        <rFont val="Calibri"/>
      </rPr>
      <t xml:space="preserve">
</t>
    </r>
    <r>
      <rPr>
        <sz val="11"/>
        <color rgb="FF000000"/>
        <rFont val="Calibri"/>
      </rPr>
      <t>5. Update.</t>
    </r>
    <r>
      <rPr>
        <sz val="11"/>
        <color rgb="FF000000"/>
        <rFont val="Calibri"/>
      </rPr>
      <t xml:space="preserve">
</t>
    </r>
    <r>
      <rPr>
        <sz val="11"/>
        <color rgb="FF000000"/>
        <rFont val="Calibri"/>
      </rPr>
      <t>From the BIG-IP console, type the following commands:</t>
    </r>
    <r>
      <rPr>
        <sz val="11"/>
        <color rgb="FF000000"/>
        <rFont val="Calibri"/>
      </rPr>
      <t xml:space="preserve">
</t>
    </r>
    <r>
      <rPr>
        <sz val="11"/>
        <color rgb="FF000000"/>
        <rFont val="Calibri"/>
      </rPr>
      <t>tmsh modify sys httpd max-clients &lt;10 or an organization-defined number&gt;</t>
    </r>
    <r>
      <rPr>
        <sz val="11"/>
        <color rgb="FF000000"/>
        <rFont val="Calibri"/>
      </rPr>
      <t xml:space="preserve">
</t>
    </r>
    <r>
      <rPr>
        <sz val="11"/>
        <color rgb="FF000000"/>
        <rFont val="Calibri"/>
      </rPr>
      <t>tmsh save sys config</t>
    </r>
  </si>
  <si>
    <r>
      <rPr>
        <sz val="11"/>
        <color rgb="FF000000"/>
        <rFont val="Calibri"/>
      </rPr>
      <t>Device management includes the ability to control the number of administrators and management sessions that manage a device. Limiting the number of allowed administrators and sessions per administrator is helpful in limiting risks related to denial-of-service (DoS) attacks.</t>
    </r>
    <r>
      <rPr>
        <sz val="11"/>
        <color rgb="FF000000"/>
        <rFont val="Calibri"/>
      </rPr>
      <t xml:space="preserve">
</t>
    </r>
    <r>
      <rPr>
        <sz val="11"/>
        <color rgb="FF000000"/>
        <rFont val="Calibri"/>
      </rPr>
      <t xml:space="preserve">This requirement addresses concurrent sessions for administrative accounts and does not address concurrent sessions by a single administrator via multiple administrative accounts. </t>
    </r>
    <r>
      <rPr>
        <sz val="11"/>
        <color rgb="FF000000"/>
        <rFont val="Calibri"/>
      </rPr>
      <t xml:space="preserve">
</t>
    </r>
    <r>
      <rPr>
        <sz val="11"/>
        <color rgb="FF000000"/>
        <rFont val="Calibri"/>
      </rPr>
      <t>Satisfies: SRG-APP-000001-NDM-000200, SRG-APP-000435-NDM-000315</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</si>
  <si>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Preferences.</t>
    </r>
    <r>
      <rPr>
        <sz val="11"/>
        <color rgb="FF000000"/>
        <rFont val="Calibri"/>
      </rPr>
      <t xml:space="preserve">
</t>
    </r>
    <r>
      <rPr>
        <sz val="11"/>
        <color rgb="FF000000"/>
        <rFont val="Calibri"/>
      </rPr>
      <t>3. Verify that System Settings view is set to Advanced.</t>
    </r>
    <r>
      <rPr>
        <sz val="11"/>
        <color rgb="FF000000"/>
        <rFont val="Calibri"/>
      </rPr>
      <t xml:space="preserve">
</t>
    </r>
    <r>
      <rPr>
        <sz val="11"/>
        <color rgb="FF000000"/>
        <rFont val="Calibri"/>
      </rPr>
      <t>4. Verify Maximum HTTP connections to Configuration Utility is set to 10 or an organization-defined number.</t>
    </r>
    <r>
      <rPr>
        <sz val="11"/>
        <color rgb="FF000000"/>
        <rFont val="Calibri"/>
      </rPr>
      <t xml:space="preserve">
</t>
    </r>
    <r>
      <rPr>
        <sz val="11"/>
        <color rgb="FF000000"/>
        <rFont val="Calibri"/>
      </rPr>
      <t>From the BIG-IP console, type the following command:</t>
    </r>
    <r>
      <rPr>
        <sz val="11"/>
        <color rgb="FF000000"/>
        <rFont val="Calibri"/>
      </rPr>
      <t xml:space="preserve">
</t>
    </r>
    <r>
      <rPr>
        <sz val="11"/>
        <color rgb="FF000000"/>
        <rFont val="Calibri"/>
      </rPr>
      <t>tmsh list sys httpd max-clients</t>
    </r>
    <r>
      <rPr>
        <sz val="11"/>
        <color rgb="FF000000"/>
        <rFont val="Calibri"/>
      </rPr>
      <t xml:space="preserve">
</t>
    </r>
    <r>
      <rPr>
        <sz val="11"/>
        <color rgb="FF000000"/>
        <rFont val="Calibri"/>
      </rPr>
      <t>If the device is not configured to limit the number of concurrent sessions to the Configuration Utility to 10 or an organization-defined number, this is a finding.</t>
    </r>
  </si>
  <si>
    <t>V-266065</t>
  </si>
  <si>
    <r>
      <rPr>
        <sz val="11"/>
        <rFont val="Calibri"/>
      </rPr>
      <t>The F5 BIG-IP appliance must terminate shared/group account credentials when members leave the group.</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</si>
  <si>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Users.</t>
    </r>
    <r>
      <rPr>
        <sz val="11"/>
        <color rgb="FF000000"/>
        <rFont val="Calibri"/>
      </rPr>
      <t xml:space="preserve">
</t>
    </r>
    <r>
      <rPr>
        <sz val="11"/>
        <color rgb="FF000000"/>
        <rFont val="Calibri"/>
      </rPr>
      <t>3. User List.</t>
    </r>
    <r>
      <rPr>
        <sz val="11"/>
        <color rgb="FF000000"/>
        <rFont val="Calibri"/>
      </rPr>
      <t xml:space="preserve">
</t>
    </r>
    <r>
      <rPr>
        <sz val="11"/>
        <color rgb="FF000000"/>
        <rFont val="Calibri"/>
      </rPr>
      <t>4. Check the box next to any shared/group accounts that must not be active.</t>
    </r>
    <r>
      <rPr>
        <sz val="11"/>
        <color rgb="FF000000"/>
        <rFont val="Calibri"/>
      </rPr>
      <t xml:space="preserve">
</t>
    </r>
    <r>
      <rPr>
        <sz val="11"/>
        <color rgb="FF000000"/>
        <rFont val="Calibri"/>
      </rPr>
      <t>5. Click "Delete".</t>
    </r>
    <r>
      <rPr>
        <sz val="11"/>
        <color rgb="FF000000"/>
        <rFont val="Calibri"/>
      </rPr>
      <t xml:space="preserve">
</t>
    </r>
    <r>
      <rPr>
        <sz val="11"/>
        <color rgb="FF000000"/>
        <rFont val="Calibri"/>
      </rPr>
      <t>6. Click "Delete" again on the next page.</t>
    </r>
    <r>
      <rPr>
        <sz val="11"/>
        <color rgb="FF000000"/>
        <rFont val="Calibri"/>
      </rPr>
      <t xml:space="preserve">
</t>
    </r>
    <r>
      <rPr>
        <sz val="11"/>
        <color rgb="FF000000"/>
        <rFont val="Calibri"/>
      </rPr>
      <t>From the BIG-IP console, type the following command:</t>
    </r>
    <r>
      <rPr>
        <sz val="11"/>
        <color rgb="FF000000"/>
        <rFont val="Calibri"/>
      </rPr>
      <t xml:space="preserve">
</t>
    </r>
    <r>
      <rPr>
        <sz val="11"/>
        <color rgb="FF000000"/>
        <rFont val="Calibri"/>
      </rPr>
      <t>tmsh delete auth user &lt;username&gt;</t>
    </r>
    <r>
      <rPr>
        <sz val="11"/>
        <color rgb="FF000000"/>
        <rFont val="Calibri"/>
      </rPr>
      <t xml:space="preserve">
</t>
    </r>
    <r>
      <rPr>
        <sz val="11"/>
        <color rgb="FF000000"/>
        <rFont val="Calibri"/>
      </rPr>
      <t>tmsh save sys config</t>
    </r>
  </si>
  <si>
    <r>
      <rPr>
        <sz val="11"/>
        <color rgb="FF000000"/>
        <rFont val="Calibri"/>
      </rPr>
      <t>A shared/group account credential is a shared form of authentication that allows multiple individuals to access the network device using a single account. If shared/group account credentials are not terminated when individuals leave the group, the user that left the group can still gain access even though they are no longer authorized. There may also be instances when specific user actions need to be performed on the network device without unique administrator identification or authentication. Examples of credentials include passwords and group membership certificates.</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</si>
  <si>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Users.</t>
    </r>
    <r>
      <rPr>
        <sz val="11"/>
        <color rgb="FF000000"/>
        <rFont val="Calibri"/>
      </rPr>
      <t xml:space="preserve">
</t>
    </r>
    <r>
      <rPr>
        <sz val="11"/>
        <color rgb="FF000000"/>
        <rFont val="Calibri"/>
      </rPr>
      <t>3. User List.</t>
    </r>
    <r>
      <rPr>
        <sz val="11"/>
        <color rgb="FF000000"/>
        <rFont val="Calibri"/>
      </rPr>
      <t xml:space="preserve">
</t>
    </r>
    <r>
      <rPr>
        <sz val="11"/>
        <color rgb="FF000000"/>
        <rFont val="Calibri"/>
      </rPr>
      <t>From the BIG-IP console, type the following command:</t>
    </r>
    <r>
      <rPr>
        <sz val="11"/>
        <color rgb="FF000000"/>
        <rFont val="Calibri"/>
      </rPr>
      <t xml:space="preserve">
</t>
    </r>
    <r>
      <rPr>
        <sz val="11"/>
        <color rgb="FF000000"/>
        <rFont val="Calibri"/>
      </rPr>
      <t>tmsh list auth user</t>
    </r>
    <r>
      <rPr>
        <sz val="11"/>
        <color rgb="FF000000"/>
        <rFont val="Calibri"/>
      </rPr>
      <t xml:space="preserve">
</t>
    </r>
    <r>
      <rPr>
        <sz val="11"/>
        <color rgb="FF000000"/>
        <rFont val="Calibri"/>
      </rPr>
      <t>If there are any shared accounts that must not be active, this is a finding.</t>
    </r>
  </si>
  <si>
    <t>V-266066</t>
  </si>
  <si>
    <r>
      <rPr>
        <sz val="11"/>
        <rFont val="Calibri"/>
      </rPr>
      <t>The F5 BIG-IP appliance must be configured with only one local account to be used as the account of last resort in the event the authentication server is unavailable.</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</si>
  <si>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Users.</t>
    </r>
    <r>
      <rPr>
        <sz val="11"/>
        <color rgb="FF000000"/>
        <rFont val="Calibri"/>
      </rPr>
      <t xml:space="preserve">
</t>
    </r>
    <r>
      <rPr>
        <sz val="11"/>
        <color rgb="FF000000"/>
        <rFont val="Calibri"/>
      </rPr>
      <t>3. User List.</t>
    </r>
    <r>
      <rPr>
        <sz val="11"/>
        <color rgb="FF000000"/>
        <rFont val="Calibri"/>
      </rPr>
      <t xml:space="preserve">
</t>
    </r>
    <r>
      <rPr>
        <sz val="11"/>
        <color rgb="FF000000"/>
        <rFont val="Calibri"/>
      </rPr>
      <t>4. Delete any local users that are not the account of last resort.</t>
    </r>
    <r>
      <rPr>
        <sz val="11"/>
        <color rgb="FF000000"/>
        <rFont val="Calibri"/>
      </rPr>
      <t xml:space="preserve">
</t>
    </r>
    <r>
      <rPr>
        <sz val="11"/>
        <color rgb="FF000000"/>
        <rFont val="Calibri"/>
      </rPr>
      <t>From the BIG-IP console, type the following commands:</t>
    </r>
    <r>
      <rPr>
        <sz val="11"/>
        <color rgb="FF000000"/>
        <rFont val="Calibri"/>
      </rPr>
      <t xml:space="preserve">
</t>
    </r>
    <r>
      <rPr>
        <sz val="11"/>
        <color rgb="FF000000"/>
        <rFont val="Calibri"/>
      </rPr>
      <t>tmsh delete auth user &lt;username&gt;</t>
    </r>
    <r>
      <rPr>
        <sz val="11"/>
        <color rgb="FF000000"/>
        <rFont val="Calibri"/>
      </rPr>
      <t xml:space="preserve">
</t>
    </r>
    <r>
      <rPr>
        <sz val="11"/>
        <color rgb="FF000000"/>
        <rFont val="Calibri"/>
      </rPr>
      <t>tmsh save sys config</t>
    </r>
  </si>
  <si>
    <r>
      <rPr>
        <sz val="11"/>
        <color rgb="FF000000"/>
        <rFont val="Calibri"/>
      </rPr>
      <t>Authentication for administrative (privileged level) access to the device is required at all times. An account can be created on the device's local database for use when the authentication server is down or connectivity between the device and the authentication server is not operable. This account is referred to as the account of last resort since it is intended to be used as a last resort and when immediate administrative access is absolutely necessary.</t>
    </r>
    <r>
      <rPr>
        <sz val="11"/>
        <color rgb="FF000000"/>
        <rFont val="Calibri"/>
      </rPr>
      <t xml:space="preserve">
</t>
    </r>
    <r>
      <rPr>
        <sz val="11"/>
        <color rgb="FF000000"/>
        <rFont val="Calibri"/>
      </rPr>
      <t>The account of last resort logon credentials must be stored in a sealed envelope and kept in a safe. The safe must be periodically audited to verify the envelope remains sealed. The signature of the auditor and the date of the audit must be added to the envelope as a record. Administrators must secure the credentials and disable the root account (if possible) when not needed for system administration functions.</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</si>
  <si>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Users.</t>
    </r>
    <r>
      <rPr>
        <sz val="11"/>
        <color rgb="FF000000"/>
        <rFont val="Calibri"/>
      </rPr>
      <t xml:space="preserve">
</t>
    </r>
    <r>
      <rPr>
        <sz val="11"/>
        <color rgb="FF000000"/>
        <rFont val="Calibri"/>
      </rPr>
      <t>3. User List.</t>
    </r>
    <r>
      <rPr>
        <sz val="11"/>
        <color rgb="FF000000"/>
        <rFont val="Calibri"/>
      </rPr>
      <t xml:space="preserve">
</t>
    </r>
    <r>
      <rPr>
        <sz val="11"/>
        <color rgb="FF000000"/>
        <rFont val="Calibri"/>
      </rPr>
      <t>4. Verify there is only one account of last resort listed.</t>
    </r>
    <r>
      <rPr>
        <sz val="11"/>
        <color rgb="FF000000"/>
        <rFont val="Calibri"/>
      </rPr>
      <t xml:space="preserve">
</t>
    </r>
    <r>
      <rPr>
        <sz val="11"/>
        <color rgb="FF000000"/>
        <rFont val="Calibri"/>
      </rPr>
      <t>From the BIG-IP console, type the following command:</t>
    </r>
    <r>
      <rPr>
        <sz val="11"/>
        <color rgb="FF000000"/>
        <rFont val="Calibri"/>
      </rPr>
      <t xml:space="preserve">
</t>
    </r>
    <r>
      <rPr>
        <sz val="11"/>
        <color rgb="FF000000"/>
        <rFont val="Calibri"/>
      </rPr>
      <t>tmsh list auth user</t>
    </r>
    <r>
      <rPr>
        <sz val="11"/>
        <color rgb="FF000000"/>
        <rFont val="Calibri"/>
      </rPr>
      <t xml:space="preserve">
</t>
    </r>
    <r>
      <rPr>
        <sz val="11"/>
        <color rgb="FF000000"/>
        <rFont val="Calibri"/>
      </rPr>
      <t>If there is more than one account of last resort listed, this is a finding.</t>
    </r>
  </si>
  <si>
    <t>V-266067</t>
  </si>
  <si>
    <r>
      <rPr>
        <sz val="11"/>
        <rFont val="Calibri"/>
      </rPr>
      <t>The F5 BIG-IP appliance must be configured to assign appropriate user roles or access levels to authenticated users.</t>
    </r>
  </si>
  <si>
    <r>
      <rPr>
        <sz val="11"/>
        <color rgb="FF000000"/>
        <rFont val="Calibri"/>
      </rPr>
      <t>Remote Roles (e.g., RADIUS, LDAP groups)</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Users.</t>
    </r>
    <r>
      <rPr>
        <sz val="11"/>
        <color rgb="FF000000"/>
        <rFont val="Calibri"/>
      </rPr>
      <t xml:space="preserve">
</t>
    </r>
    <r>
      <rPr>
        <sz val="11"/>
        <color rgb="FF000000"/>
        <rFont val="Calibri"/>
      </rPr>
      <t>3. Remote Role Groups.</t>
    </r>
    <r>
      <rPr>
        <sz val="11"/>
        <color rgb="FF000000"/>
        <rFont val="Calibri"/>
      </rPr>
      <t xml:space="preserve">
</t>
    </r>
    <r>
      <rPr>
        <sz val="11"/>
        <color rgb="FF000000"/>
        <rFont val="Calibri"/>
      </rPr>
      <t>4. Select the Group Name.</t>
    </r>
    <r>
      <rPr>
        <sz val="11"/>
        <color rgb="FF000000"/>
        <rFont val="Calibri"/>
      </rPr>
      <t xml:space="preserve">
</t>
    </r>
    <r>
      <rPr>
        <sz val="11"/>
        <color rgb="FF000000"/>
        <rFont val="Calibri"/>
      </rPr>
      <t>5. Modify the Properties of the group to the appropriate access level.</t>
    </r>
    <r>
      <rPr>
        <sz val="11"/>
        <color rgb="FF000000"/>
        <rFont val="Calibri"/>
      </rPr>
      <t xml:space="preserve">
</t>
    </r>
    <r>
      <rPr>
        <sz val="11"/>
        <color rgb="FF000000"/>
        <rFont val="Calibri"/>
      </rPr>
      <t>6. Update.</t>
    </r>
    <r>
      <rPr>
        <sz val="11"/>
        <color rgb="FF000000"/>
        <rFont val="Calibri"/>
      </rPr>
      <t xml:space="preserve">
</t>
    </r>
    <r>
      <rPr>
        <sz val="11"/>
        <color rgb="FF000000"/>
        <rFont val="Calibri"/>
      </rPr>
      <t>Local Users</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Users.</t>
    </r>
    <r>
      <rPr>
        <sz val="11"/>
        <color rgb="FF000000"/>
        <rFont val="Calibri"/>
      </rPr>
      <t xml:space="preserve">
</t>
    </r>
    <r>
      <rPr>
        <sz val="11"/>
        <color rgb="FF000000"/>
        <rFont val="Calibri"/>
      </rPr>
      <t>3. User List.</t>
    </r>
    <r>
      <rPr>
        <sz val="11"/>
        <color rgb="FF000000"/>
        <rFont val="Calibri"/>
      </rPr>
      <t xml:space="preserve">
</t>
    </r>
    <r>
      <rPr>
        <sz val="11"/>
        <color rgb="FF000000"/>
        <rFont val="Calibri"/>
      </rPr>
      <t>4. Select the user.</t>
    </r>
    <r>
      <rPr>
        <sz val="11"/>
        <color rgb="FF000000"/>
        <rFont val="Calibri"/>
      </rPr>
      <t xml:space="preserve">
</t>
    </r>
    <r>
      <rPr>
        <sz val="11"/>
        <color rgb="FF000000"/>
        <rFont val="Calibri"/>
      </rPr>
      <t>5. Modify "Partition Access" to the appropriate access level.</t>
    </r>
    <r>
      <rPr>
        <sz val="11"/>
        <color rgb="FF000000"/>
        <rFont val="Calibri"/>
      </rPr>
      <t xml:space="preserve">
</t>
    </r>
    <r>
      <rPr>
        <sz val="11"/>
        <color rgb="FF000000"/>
        <rFont val="Calibri"/>
      </rPr>
      <t>6. Update.</t>
    </r>
  </si>
  <si>
    <r>
      <rPr>
        <sz val="11"/>
        <color rgb="FF000000"/>
        <rFont val="Calibri"/>
      </rPr>
      <t xml:space="preserve">Successful identification and authentication must not automatically give an entity full access to a network device or security domain. </t>
    </r>
    <r>
      <rPr>
        <sz val="11"/>
        <color rgb="FF000000"/>
        <rFont val="Calibri"/>
      </rPr>
      <t xml:space="preserve">
</t>
    </r>
    <r>
      <rPr>
        <sz val="11"/>
        <color rgb="FF000000"/>
        <rFont val="Calibri"/>
      </rPr>
      <t>Authorization is the process of determining whether an entity, once authenticated, is permitted to access a specific asset or set of resources. Information systems use access control policies and enforcement mechanisms to implement this requirement. The F5 BIG-IP appliance must enforce organization-defined roles to control privileged access to configure the types or objects a user can manage and/or the tasks a user can perform.</t>
    </r>
    <r>
      <rPr>
        <sz val="11"/>
        <color rgb="FF000000"/>
        <rFont val="Calibri"/>
      </rPr>
      <t xml:space="preserve">
</t>
    </r>
    <r>
      <rPr>
        <sz val="11"/>
        <color rgb="FF000000"/>
        <rFont val="Calibri"/>
      </rPr>
      <t>For each BIG-IP user account, a different user role can be assigned to each administrative partition to which the user has access. This allows assignment of multiple user roles to each user account on the system. Users can assign a specific user role to each administrative partition to grant the user access. In this way, the BIG-IP configuration objects that the user can manage are controlled, as well as the types of actions the user can perform on those objects.</t>
    </r>
    <r>
      <rPr>
        <sz val="11"/>
        <color rgb="FF000000"/>
        <rFont val="Calibri"/>
      </rPr>
      <t xml:space="preserve">
</t>
    </r>
    <r>
      <rPr>
        <sz val="11"/>
        <color rgb="FF000000"/>
        <rFont val="Calibri"/>
      </rPr>
      <t>Satisfies: SRG-APP-000033-NDM-000212, SRG-APP-000329-NDM-000287</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</si>
  <si>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Users.</t>
    </r>
    <r>
      <rPr>
        <sz val="11"/>
        <color rgb="FF000000"/>
        <rFont val="Calibri"/>
      </rPr>
      <t xml:space="preserve">
</t>
    </r>
    <r>
      <rPr>
        <sz val="11"/>
        <color rgb="FF000000"/>
        <rFont val="Calibri"/>
      </rPr>
      <t>3. Remote Role Groups.</t>
    </r>
    <r>
      <rPr>
        <sz val="11"/>
        <color rgb="FF000000"/>
        <rFont val="Calibri"/>
      </rPr>
      <t xml:space="preserve">
</t>
    </r>
    <r>
      <rPr>
        <sz val="11"/>
        <color rgb="FF000000"/>
        <rFont val="Calibri"/>
      </rPr>
      <t>4. Verify configured groups are assigned the appropriate role.</t>
    </r>
    <r>
      <rPr>
        <sz val="11"/>
        <color rgb="FF000000"/>
        <rFont val="Calibri"/>
      </rPr>
      <t xml:space="preserve">
</t>
    </r>
    <r>
      <rPr>
        <sz val="11"/>
        <color rgb="FF000000"/>
        <rFont val="Calibri"/>
      </rPr>
      <t>From the BIG-IP console, type the following command:</t>
    </r>
    <r>
      <rPr>
        <sz val="11"/>
        <color rgb="FF000000"/>
        <rFont val="Calibri"/>
      </rPr>
      <t xml:space="preserve">
</t>
    </r>
    <r>
      <rPr>
        <sz val="11"/>
        <color rgb="FF000000"/>
        <rFont val="Calibri"/>
      </rPr>
      <t>tmsh list auth remote-role</t>
    </r>
    <r>
      <rPr>
        <sz val="11"/>
        <color rgb="FF000000"/>
        <rFont val="Calibri"/>
      </rPr>
      <t xml:space="preserve">
</t>
    </r>
    <r>
      <rPr>
        <sz val="11"/>
        <color rgb="FF000000"/>
        <rFont val="Calibri"/>
      </rPr>
      <t>Note: Verify configured groups are assigned the appropriate role.</t>
    </r>
    <r>
      <rPr>
        <sz val="11"/>
        <color rgb="FF000000"/>
        <rFont val="Calibri"/>
      </rPr>
      <t xml:space="preserve">
</t>
    </r>
    <r>
      <rPr>
        <sz val="11"/>
        <color rgb="FF000000"/>
        <rFont val="Calibri"/>
      </rPr>
      <t>If the BIG-IP appliance is not configured to assign appropriate user roles or access levels to authenticated users, this is a finding.</t>
    </r>
  </si>
  <si>
    <t>V-266068</t>
  </si>
  <si>
    <r>
      <rPr>
        <sz val="11"/>
        <rFont val="Calibri"/>
      </rPr>
      <t>The F5 BIG-IP appliance must be configured to audit the execution of privileged functions such as accounts additions and changes.</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</si>
  <si>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Logs.</t>
    </r>
    <r>
      <rPr>
        <sz val="11"/>
        <color rgb="FF000000"/>
        <rFont val="Calibri"/>
      </rPr>
      <t xml:space="preserve">
</t>
    </r>
    <r>
      <rPr>
        <sz val="11"/>
        <color rgb="FF000000"/>
        <rFont val="Calibri"/>
      </rPr>
      <t>3. Configuration.</t>
    </r>
    <r>
      <rPr>
        <sz val="11"/>
        <color rgb="FF000000"/>
        <rFont val="Calibri"/>
      </rPr>
      <t xml:space="preserve">
</t>
    </r>
    <r>
      <rPr>
        <sz val="11"/>
        <color rgb="FF000000"/>
        <rFont val="Calibri"/>
      </rPr>
      <t>4. Options.</t>
    </r>
    <r>
      <rPr>
        <sz val="11"/>
        <color rgb="FF000000"/>
        <rFont val="Calibri"/>
      </rPr>
      <t xml:space="preserve">
</t>
    </r>
    <r>
      <rPr>
        <sz val="11"/>
        <color rgb="FF000000"/>
        <rFont val="Calibri"/>
      </rPr>
      <t>5. Under "Local Traffic Logging":</t>
    </r>
    <r>
      <rPr>
        <sz val="11"/>
        <color rgb="FF000000"/>
        <rFont val="Calibri"/>
      </rPr>
      <t xml:space="preserve">
</t>
    </r>
    <r>
      <rPr>
        <sz val="11"/>
        <color rgb="FF000000"/>
        <rFont val="Calibri"/>
      </rPr>
      <t xml:space="preserve"> a. MCP: Notice.</t>
    </r>
    <r>
      <rPr>
        <sz val="11"/>
        <color rgb="FF000000"/>
        <rFont val="Calibri"/>
      </rPr>
      <t xml:space="preserve">
</t>
    </r>
    <r>
      <rPr>
        <sz val="11"/>
        <color rgb="FF000000"/>
        <rFont val="Calibri"/>
      </rPr>
      <t xml:space="preserve"> b. SSL: Informational.</t>
    </r>
    <r>
      <rPr>
        <sz val="11"/>
        <color rgb="FF000000"/>
        <rFont val="Calibri"/>
      </rPr>
      <t xml:space="preserve">
</t>
    </r>
    <r>
      <rPr>
        <sz val="11"/>
        <color rgb="FF000000"/>
        <rFont val="Calibri"/>
      </rPr>
      <t xml:space="preserve"> c. Traffic Management OS: Informational.</t>
    </r>
    <r>
      <rPr>
        <sz val="11"/>
        <color rgb="FF000000"/>
        <rFont val="Calibri"/>
      </rPr>
      <t xml:space="preserve">
</t>
    </r>
    <r>
      <rPr>
        <sz val="11"/>
        <color rgb="FF000000"/>
        <rFont val="Calibri"/>
      </rPr>
      <t>6. Under "Audit Logging":</t>
    </r>
    <r>
      <rPr>
        <sz val="11"/>
        <color rgb="FF000000"/>
        <rFont val="Calibri"/>
      </rPr>
      <t xml:space="preserve">
</t>
    </r>
    <r>
      <rPr>
        <sz val="11"/>
        <color rgb="FF000000"/>
        <rFont val="Calibri"/>
      </rPr>
      <t xml:space="preserve"> a. MCP: Enable.</t>
    </r>
    <r>
      <rPr>
        <sz val="11"/>
        <color rgb="FF000000"/>
        <rFont val="Calibri"/>
      </rPr>
      <t xml:space="preserve">
</t>
    </r>
    <r>
      <rPr>
        <sz val="11"/>
        <color rgb="FF000000"/>
        <rFont val="Calibri"/>
      </rPr>
      <t>7. Update.</t>
    </r>
    <r>
      <rPr>
        <sz val="11"/>
        <color rgb="FF000000"/>
        <rFont val="Calibri"/>
      </rPr>
      <t xml:space="preserve">
</t>
    </r>
    <r>
      <rPr>
        <sz val="11"/>
        <color rgb="FF000000"/>
        <rFont val="Calibri"/>
      </rPr>
      <t>From the BIG-IP console, type the following commands:</t>
    </r>
    <r>
      <rPr>
        <sz val="11"/>
        <color rgb="FF000000"/>
        <rFont val="Calibri"/>
      </rPr>
      <t xml:space="preserve">
</t>
    </r>
    <r>
      <rPr>
        <sz val="11"/>
        <color rgb="FF000000"/>
        <rFont val="Calibri"/>
      </rPr>
      <t>tmsh modify sys daemon-log-settings tmm os-log-level informational</t>
    </r>
    <r>
      <rPr>
        <sz val="11"/>
        <color rgb="FF000000"/>
        <rFont val="Calibri"/>
      </rPr>
      <t xml:space="preserve">
</t>
    </r>
    <r>
      <rPr>
        <sz val="11"/>
        <color rgb="FF000000"/>
        <rFont val="Calibri"/>
      </rPr>
      <t>tmsh modify sys daemon-log-settings tmm ssl-log-level informational</t>
    </r>
    <r>
      <rPr>
        <sz val="11"/>
        <color rgb="FF000000"/>
        <rFont val="Calibri"/>
      </rPr>
      <t xml:space="preserve">
</t>
    </r>
    <r>
      <rPr>
        <sz val="11"/>
        <color rgb="FF000000"/>
        <rFont val="Calibri"/>
      </rPr>
      <t>tmsh modify sys daemon-log-settings mcpd audit enabled</t>
    </r>
    <r>
      <rPr>
        <sz val="11"/>
        <color rgb="FF000000"/>
        <rFont val="Calibri"/>
      </rPr>
      <t xml:space="preserve">
</t>
    </r>
    <r>
      <rPr>
        <sz val="11"/>
        <color rgb="FF000000"/>
        <rFont val="Calibri"/>
      </rPr>
      <t>tmsh modify sys daemon-log-settings mcpd log-level notice</t>
    </r>
    <r>
      <rPr>
        <sz val="11"/>
        <color rgb="FF000000"/>
        <rFont val="Calibri"/>
      </rPr>
      <t xml:space="preserve">
</t>
    </r>
    <r>
      <rPr>
        <sz val="11"/>
        <color rgb="FF000000"/>
        <rFont val="Calibri"/>
      </rPr>
      <t>tmsh modify sys db log.ssl.level value informational</t>
    </r>
    <r>
      <rPr>
        <sz val="11"/>
        <color rgb="FF000000"/>
        <rFont val="Calibri"/>
      </rPr>
      <t xml:space="preserve">
</t>
    </r>
    <r>
      <rPr>
        <sz val="11"/>
        <color rgb="FF000000"/>
        <rFont val="Calibri"/>
      </rPr>
      <t>tmsh save sys config</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</si>
  <si>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t>
    </r>
    <r>
      <rPr>
        <sz val="11"/>
        <color rgb="FF000000"/>
        <rFont val="Calibri"/>
      </rPr>
      <t xml:space="preserve">
</t>
    </r>
    <r>
      <rPr>
        <sz val="11"/>
        <color rgb="FF000000"/>
        <rFont val="Calibri"/>
      </rPr>
      <t>Satisfies: SRG-APP-000343-NDM-000289, SRG-APP-000026-NDM-000208, SRG-APP-000027-NDM-000209, SRG-APP-000028-NDM-000210, SRG-APP-000029-NDM-000211, SRG-APP-000319-NDM-000283, SRG-APP-000080-NDM-000220, SRG-APP-000516-NDM-000334, SRG-APP-000091-NDM-000223, SRG-APP-000495-NDM-000318, SRG-APP-000499-NDM-000319, SRG-APP-000503-NDM-000320, SRG-APP-000504-NDM-000321, SRG-APP-000095-NDM-000225, SRG-APP-000096-NDM-000226, SRG-APP-000097-NDM-000227, SRG-APP-000098-NDM-000228, SRG-APP-000099-NDM-000229, SRG-APP-000100-NDM-000230, SRG-APP-000101-NDM-000231, SRG-APP-000381-NDM-000305</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</si>
  <si>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Logs.</t>
    </r>
    <r>
      <rPr>
        <sz val="11"/>
        <color rgb="FF000000"/>
        <rFont val="Calibri"/>
      </rPr>
      <t xml:space="preserve">
</t>
    </r>
    <r>
      <rPr>
        <sz val="11"/>
        <color rgb="FF000000"/>
        <rFont val="Calibri"/>
      </rPr>
      <t>3. Configuration.</t>
    </r>
    <r>
      <rPr>
        <sz val="11"/>
        <color rgb="FF000000"/>
        <rFont val="Calibri"/>
      </rPr>
      <t xml:space="preserve">
</t>
    </r>
    <r>
      <rPr>
        <sz val="11"/>
        <color rgb="FF000000"/>
        <rFont val="Calibri"/>
      </rPr>
      <t>4. Options.</t>
    </r>
    <r>
      <rPr>
        <sz val="11"/>
        <color rgb="FF000000"/>
        <rFont val="Calibri"/>
      </rPr>
      <t xml:space="preserve">
</t>
    </r>
    <r>
      <rPr>
        <sz val="11"/>
        <color rgb="FF000000"/>
        <rFont val="Calibri"/>
      </rPr>
      <t>5. Under Local Traffic Logging:</t>
    </r>
    <r>
      <rPr>
        <sz val="11"/>
        <color rgb="FF000000"/>
        <rFont val="Calibri"/>
      </rPr>
      <t xml:space="preserve">
</t>
    </r>
    <r>
      <rPr>
        <sz val="11"/>
        <color rgb="FF000000"/>
        <rFont val="Calibri"/>
      </rPr>
      <t xml:space="preserve"> a. MCP: Notice.</t>
    </r>
    <r>
      <rPr>
        <sz val="11"/>
        <color rgb="FF000000"/>
        <rFont val="Calibri"/>
      </rPr>
      <t xml:space="preserve">
</t>
    </r>
    <r>
      <rPr>
        <sz val="11"/>
        <color rgb="FF000000"/>
        <rFont val="Calibri"/>
      </rPr>
      <t xml:space="preserve"> b. SSL: Informational.</t>
    </r>
    <r>
      <rPr>
        <sz val="11"/>
        <color rgb="FF000000"/>
        <rFont val="Calibri"/>
      </rPr>
      <t xml:space="preserve">
</t>
    </r>
    <r>
      <rPr>
        <sz val="11"/>
        <color rgb="FF000000"/>
        <rFont val="Calibri"/>
      </rPr>
      <t xml:space="preserve"> c. Traffic Management OS: Informational.</t>
    </r>
    <r>
      <rPr>
        <sz val="11"/>
        <color rgb="FF000000"/>
        <rFont val="Calibri"/>
      </rPr>
      <t xml:space="preserve">
</t>
    </r>
    <r>
      <rPr>
        <sz val="11"/>
        <color rgb="FF000000"/>
        <rFont val="Calibri"/>
      </rPr>
      <t>6. Under Audit Logging:</t>
    </r>
    <r>
      <rPr>
        <sz val="11"/>
        <color rgb="FF000000"/>
        <rFont val="Calibri"/>
      </rPr>
      <t xml:space="preserve">
</t>
    </r>
    <r>
      <rPr>
        <sz val="11"/>
        <color rgb="FF000000"/>
        <rFont val="Calibri"/>
      </rPr>
      <t xml:space="preserve"> a. MCP: Enable.</t>
    </r>
    <r>
      <rPr>
        <sz val="11"/>
        <color rgb="FF000000"/>
        <rFont val="Calibri"/>
      </rPr>
      <t xml:space="preserve">
</t>
    </r>
    <r>
      <rPr>
        <sz val="11"/>
        <color rgb="FF000000"/>
        <rFont val="Calibri"/>
      </rPr>
      <t>From the BIG-IP console, type the following commands:</t>
    </r>
    <r>
      <rPr>
        <sz val="11"/>
        <color rgb="FF000000"/>
        <rFont val="Calibri"/>
      </rPr>
      <t xml:space="preserve">
</t>
    </r>
    <r>
      <rPr>
        <sz val="11"/>
        <color rgb="FF000000"/>
        <rFont val="Calibri"/>
      </rPr>
      <t>tmsh list sys daemon-log-settings tmm os-log-level</t>
    </r>
    <r>
      <rPr>
        <sz val="11"/>
        <color rgb="FF000000"/>
        <rFont val="Calibri"/>
      </rPr>
      <t xml:space="preserve">
</t>
    </r>
    <r>
      <rPr>
        <sz val="11"/>
        <color rgb="FF000000"/>
        <rFont val="Calibri"/>
      </rPr>
      <t>Note: This command must return a value of "informational".</t>
    </r>
    <r>
      <rPr>
        <sz val="11"/>
        <color rgb="FF000000"/>
        <rFont val="Calibri"/>
      </rPr>
      <t xml:space="preserve">
</t>
    </r>
    <r>
      <rPr>
        <sz val="11"/>
        <color rgb="FF000000"/>
        <rFont val="Calibri"/>
      </rPr>
      <t>tmsh list sys daemon-log-settings tmm ssl-log-level</t>
    </r>
    <r>
      <rPr>
        <sz val="11"/>
        <color rgb="FF000000"/>
        <rFont val="Calibri"/>
      </rPr>
      <t xml:space="preserve">
</t>
    </r>
    <r>
      <rPr>
        <sz val="11"/>
        <color rgb="FF000000"/>
        <rFont val="Calibri"/>
      </rPr>
      <t>Note: This must return a value of "informational":</t>
    </r>
    <r>
      <rPr>
        <sz val="11"/>
        <color rgb="FF000000"/>
        <rFont val="Calibri"/>
      </rPr>
      <t xml:space="preserve">
</t>
    </r>
    <r>
      <rPr>
        <sz val="11"/>
        <color rgb="FF000000"/>
        <rFont val="Calibri"/>
      </rPr>
      <t>tmsh list sys daemon-log-settings mcpd audit</t>
    </r>
    <r>
      <rPr>
        <sz val="11"/>
        <color rgb="FF000000"/>
        <rFont val="Calibri"/>
      </rPr>
      <t xml:space="preserve">
</t>
    </r>
    <r>
      <rPr>
        <sz val="11"/>
        <color rgb="FF000000"/>
        <rFont val="Calibri"/>
      </rPr>
      <t>Note: This must return a value of "enabled".</t>
    </r>
    <r>
      <rPr>
        <sz val="11"/>
        <color rgb="FF000000"/>
        <rFont val="Calibri"/>
      </rPr>
      <t xml:space="preserve">
</t>
    </r>
    <r>
      <rPr>
        <sz val="11"/>
        <color rgb="FF000000"/>
        <rFont val="Calibri"/>
      </rPr>
      <t>tmsh list sys daemon-log-settings mcpd log-level</t>
    </r>
    <r>
      <rPr>
        <sz val="11"/>
        <color rgb="FF000000"/>
        <rFont val="Calibri"/>
      </rPr>
      <t xml:space="preserve">
</t>
    </r>
    <r>
      <rPr>
        <sz val="11"/>
        <color rgb="FF000000"/>
        <rFont val="Calibri"/>
      </rPr>
      <t>Note: This must return a value of "notice".</t>
    </r>
    <r>
      <rPr>
        <sz val="11"/>
        <color rgb="FF000000"/>
        <rFont val="Calibri"/>
      </rPr>
      <t xml:space="preserve">
</t>
    </r>
    <r>
      <rPr>
        <sz val="11"/>
        <color rgb="FF000000"/>
        <rFont val="Calibri"/>
      </rPr>
      <t>tmsh list sys db log.ssl.level value</t>
    </r>
    <r>
      <rPr>
        <sz val="11"/>
        <color rgb="FF000000"/>
        <rFont val="Calibri"/>
      </rPr>
      <t xml:space="preserve">
</t>
    </r>
    <r>
      <rPr>
        <sz val="11"/>
        <color rgb="FF000000"/>
        <rFont val="Calibri"/>
      </rPr>
      <t>Note: This must return a value of "informational".</t>
    </r>
    <r>
      <rPr>
        <sz val="11"/>
        <color rgb="FF000000"/>
        <rFont val="Calibri"/>
      </rPr>
      <t xml:space="preserve">
</t>
    </r>
    <r>
      <rPr>
        <sz val="11"/>
        <color rgb="FF000000"/>
        <rFont val="Calibri"/>
      </rPr>
      <t>If the BIG-IP appliance is not configured to audit the execution of privileged functions, this is a finding.</t>
    </r>
  </si>
  <si>
    <t>V-266069</t>
  </si>
  <si>
    <r>
      <rPr>
        <sz val="11"/>
        <rFont val="Calibri"/>
      </rPr>
      <t>The F5 BIG-IP appliance must be configured to enforce the limit of three consecutive invalid logon attempts, after which time it must block any login attempt for at least 15 minutes.</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</si>
  <si>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Users.</t>
    </r>
    <r>
      <rPr>
        <sz val="11"/>
        <color rgb="FF000000"/>
        <rFont val="Calibri"/>
      </rPr>
      <t xml:space="preserve">
</t>
    </r>
    <r>
      <rPr>
        <sz val="11"/>
        <color rgb="FF000000"/>
        <rFont val="Calibri"/>
      </rPr>
      <t>3. Authentication.</t>
    </r>
    <r>
      <rPr>
        <sz val="11"/>
        <color rgb="FF000000"/>
        <rFont val="Calibri"/>
      </rPr>
      <t xml:space="preserve">
</t>
    </r>
    <r>
      <rPr>
        <sz val="11"/>
        <color rgb="FF000000"/>
        <rFont val="Calibri"/>
      </rPr>
      <t>4. Set Maximum Login Failures to "3".</t>
    </r>
    <r>
      <rPr>
        <sz val="11"/>
        <color rgb="FF000000"/>
        <rFont val="Calibri"/>
      </rPr>
      <t xml:space="preserve">
</t>
    </r>
    <r>
      <rPr>
        <sz val="11"/>
        <color rgb="FF000000"/>
        <rFont val="Calibri"/>
      </rPr>
      <t>5. Set User Lockout to "Automatically enable locked-out user after 900 seconds".</t>
    </r>
    <r>
      <rPr>
        <sz val="11"/>
        <color rgb="FF000000"/>
        <rFont val="Calibri"/>
      </rPr>
      <t xml:space="preserve">
</t>
    </r>
    <r>
      <rPr>
        <sz val="11"/>
        <color rgb="FF000000"/>
        <rFont val="Calibri"/>
      </rPr>
      <t>6. Update.</t>
    </r>
    <r>
      <rPr>
        <sz val="11"/>
        <color rgb="FF000000"/>
        <rFont val="Calibri"/>
      </rPr>
      <t xml:space="preserve">
</t>
    </r>
    <r>
      <rPr>
        <sz val="11"/>
        <color rgb="FF000000"/>
        <rFont val="Calibri"/>
      </rPr>
      <t>From the BIG-IP console, type the following commands:</t>
    </r>
    <r>
      <rPr>
        <sz val="11"/>
        <color rgb="FF000000"/>
        <rFont val="Calibri"/>
      </rPr>
      <t xml:space="preserve">
</t>
    </r>
    <r>
      <rPr>
        <sz val="11"/>
        <color rgb="FF000000"/>
        <rFont val="Calibri"/>
      </rPr>
      <t>tmsh modify auth password-policy max-login-failures 3</t>
    </r>
    <r>
      <rPr>
        <sz val="11"/>
        <color rgb="FF000000"/>
        <rFont val="Calibri"/>
      </rPr>
      <t xml:space="preserve">
</t>
    </r>
    <r>
      <rPr>
        <sz val="11"/>
        <color rgb="FF000000"/>
        <rFont val="Calibri"/>
      </rPr>
      <t>tmsh modify auth password-policy lockout-duration 900</t>
    </r>
    <r>
      <rPr>
        <sz val="11"/>
        <color rgb="FF000000"/>
        <rFont val="Calibri"/>
      </rPr>
      <t xml:space="preserve">
</t>
    </r>
    <r>
      <rPr>
        <sz val="11"/>
        <color rgb="FF000000"/>
        <rFont val="Calibri"/>
      </rPr>
      <t>tmsh save sys config</t>
    </r>
  </si>
  <si>
    <r>
      <rPr>
        <sz val="11"/>
        <color rgb="FF000000"/>
        <rFont val="Calibri"/>
      </rPr>
      <t>By limiting the number of failed logon attempts, the risk of unauthorized system access via user password guessing, otherwise known as brute-forcing, is reduced.</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</si>
  <si>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Users.</t>
    </r>
    <r>
      <rPr>
        <sz val="11"/>
        <color rgb="FF000000"/>
        <rFont val="Calibri"/>
      </rPr>
      <t xml:space="preserve">
</t>
    </r>
    <r>
      <rPr>
        <sz val="11"/>
        <color rgb="FF000000"/>
        <rFont val="Calibri"/>
      </rPr>
      <t>3. Authentication.</t>
    </r>
    <r>
      <rPr>
        <sz val="11"/>
        <color rgb="FF000000"/>
        <rFont val="Calibri"/>
      </rPr>
      <t xml:space="preserve">
</t>
    </r>
    <r>
      <rPr>
        <sz val="11"/>
        <color rgb="FF000000"/>
        <rFont val="Calibri"/>
      </rPr>
      <t>4. Verify Maximum Login Failures set to "3".</t>
    </r>
    <r>
      <rPr>
        <sz val="11"/>
        <color rgb="FF000000"/>
        <rFont val="Calibri"/>
      </rPr>
      <t xml:space="preserve">
</t>
    </r>
    <r>
      <rPr>
        <sz val="11"/>
        <color rgb="FF000000"/>
        <rFont val="Calibri"/>
      </rPr>
      <t>5. Verify User Lockout set to "Automatically enable locked-out user after 900 seconds".</t>
    </r>
    <r>
      <rPr>
        <sz val="11"/>
        <color rgb="FF000000"/>
        <rFont val="Calibri"/>
      </rPr>
      <t xml:space="preserve">
</t>
    </r>
    <r>
      <rPr>
        <sz val="11"/>
        <color rgb="FF000000"/>
        <rFont val="Calibri"/>
      </rPr>
      <t>From the BIG-IP console, type the following command:</t>
    </r>
    <r>
      <rPr>
        <sz val="11"/>
        <color rgb="FF000000"/>
        <rFont val="Calibri"/>
      </rPr>
      <t xml:space="preserve">
</t>
    </r>
    <r>
      <rPr>
        <sz val="11"/>
        <color rgb="FF000000"/>
        <rFont val="Calibri"/>
      </rPr>
      <t>tmsh list auth password-policy max-login-failures</t>
    </r>
    <r>
      <rPr>
        <sz val="11"/>
        <color rgb="FF000000"/>
        <rFont val="Calibri"/>
      </rPr>
      <t xml:space="preserve">
</t>
    </r>
    <r>
      <rPr>
        <sz val="11"/>
        <color rgb="FF000000"/>
        <rFont val="Calibri"/>
      </rPr>
      <t>Note: Check for a value of "3".</t>
    </r>
    <r>
      <rPr>
        <sz val="11"/>
        <color rgb="FF000000"/>
        <rFont val="Calibri"/>
      </rPr>
      <t xml:space="preserve">
</t>
    </r>
    <r>
      <rPr>
        <sz val="11"/>
        <color rgb="FF000000"/>
        <rFont val="Calibri"/>
      </rPr>
      <t>tmsh list auth password-policy lockout-duration</t>
    </r>
    <r>
      <rPr>
        <sz val="11"/>
        <color rgb="FF000000"/>
        <rFont val="Calibri"/>
      </rPr>
      <t xml:space="preserve">
</t>
    </r>
    <r>
      <rPr>
        <sz val="11"/>
        <color rgb="FF000000"/>
        <rFont val="Calibri"/>
      </rPr>
      <t>Note: Check for a value of "900".</t>
    </r>
    <r>
      <rPr>
        <sz val="11"/>
        <color rgb="FF000000"/>
        <rFont val="Calibri"/>
      </rPr>
      <t xml:space="preserve">
</t>
    </r>
    <r>
      <rPr>
        <sz val="11"/>
        <color rgb="FF000000"/>
        <rFont val="Calibri"/>
      </rPr>
      <t>If the BIG-IP appliance is not configured to enforce the limit of three consecutive invalid logon attempts and lock out users for 900 seconds, this is a finding.</t>
    </r>
  </si>
  <si>
    <t>V-266070</t>
  </si>
  <si>
    <r>
      <rPr>
        <sz val="11"/>
        <rFont val="Calibri"/>
      </rPr>
      <t>The F5 BIG-IP appliance must be configured to display the Standard Mandatory DOD Notice and Consent Banner upon access to the TMOS User Interface.</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</si>
  <si>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Preferences.</t>
    </r>
    <r>
      <rPr>
        <sz val="11"/>
        <color rgb="FF000000"/>
        <rFont val="Calibri"/>
      </rPr>
      <t xml:space="preserve">
</t>
    </r>
    <r>
      <rPr>
        <sz val="11"/>
        <color rgb="FF000000"/>
        <rFont val="Calibri"/>
      </rPr>
      <t>3. Security Banner Text To Show On The Login Screen.</t>
    </r>
    <r>
      <rPr>
        <sz val="11"/>
        <color rgb="FF000000"/>
        <rFont val="Calibri"/>
      </rPr>
      <t xml:space="preserve">
</t>
    </r>
    <r>
      <rPr>
        <sz val="11"/>
        <color rgb="FF000000"/>
        <rFont val="Calibri"/>
      </rPr>
      <t>4. Enter the text below in the "Security Banner Text To Show On The Login Screen" under the "Security Settings" section and then click "Update" to save.</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SSH Banner:</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Configuration.</t>
    </r>
    <r>
      <rPr>
        <sz val="11"/>
        <color rgb="FF000000"/>
        <rFont val="Calibri"/>
      </rPr>
      <t xml:space="preserve">
</t>
    </r>
    <r>
      <rPr>
        <sz val="11"/>
        <color rgb="FF000000"/>
        <rFont val="Calibri"/>
      </rPr>
      <t>3. Device.</t>
    </r>
    <r>
      <rPr>
        <sz val="11"/>
        <color rgb="FF000000"/>
        <rFont val="Calibri"/>
      </rPr>
      <t xml:space="preserve">
</t>
    </r>
    <r>
      <rPr>
        <sz val="11"/>
        <color rgb="FF000000"/>
        <rFont val="Calibri"/>
      </rPr>
      <t>4. SSHD.</t>
    </r>
    <r>
      <rPr>
        <sz val="11"/>
        <color rgb="FF000000"/>
        <rFont val="Calibri"/>
      </rPr>
      <t xml:space="preserve">
</t>
    </r>
    <r>
      <rPr>
        <sz val="11"/>
        <color rgb="FF000000"/>
        <rFont val="Calibri"/>
      </rPr>
      <t>5. Check the box for "Show The Security Banner On The Login Screen".</t>
    </r>
    <r>
      <rPr>
        <sz val="11"/>
        <color rgb="FF000000"/>
        <rFont val="Calibri"/>
      </rPr>
      <t xml:space="preserve">
</t>
    </r>
    <r>
      <rPr>
        <sz val="11"/>
        <color rgb="FF000000"/>
        <rFont val="Calibri"/>
      </rPr>
      <t>6. Enter the following in the "Security Banner Text To Show On The Login Screen" under the "Security Settings" section:</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7. Update.</t>
    </r>
    <r>
      <rPr>
        <sz val="11"/>
        <color rgb="FF000000"/>
        <rFont val="Calibri"/>
      </rPr>
      <t xml:space="preserve">
</t>
    </r>
    <r>
      <rPr>
        <sz val="11"/>
        <color rgb="FF000000"/>
        <rFont val="Calibri"/>
      </rPr>
      <t>8. From the BIG-IP console, type the following commands:</t>
    </r>
    <r>
      <rPr>
        <sz val="11"/>
        <color rgb="FF000000"/>
        <rFont val="Calibri"/>
      </rPr>
      <t xml:space="preserve">
</t>
    </r>
    <r>
      <rPr>
        <sz val="11"/>
        <color rgb="FF000000"/>
        <rFont val="Calibri"/>
      </rPr>
      <t>tmsh modify sys sshd banner enabled</t>
    </r>
    <r>
      <rPr>
        <sz val="11"/>
        <color rgb="FF000000"/>
        <rFont val="Calibri"/>
      </rPr>
      <t xml:space="preserve">
</t>
    </r>
    <r>
      <rPr>
        <sz val="11"/>
        <color rgb="FF000000"/>
        <rFont val="Calibri"/>
      </rPr>
      <t>tmsh modify sys sshd banner-text "You are accessing a U.S. Government (USG) Information System (IS) that is provided for USG-authorized use only. By using this IS (which includes any device attached to this IS), you consent to the following conditions: The USG routinely intercepts and monitors communications on this IS for purposes including, but not limited to, penetration testing, COMSEC monitoring, network operations and defense, personnel misconduct (PM), law enforcement (LE), and counterintelligence (CI) investigations. At any time, the USG may inspect and seize data stored on this IS. Communications using, or data stored on, this IS are not private, are subject to routine monitoring, interception, and search, and may be disclosed or used for any USG authorized purpose. This IS includes security measures (e.g., authentication and access controls) to protect USG interests--not for your personal benefit or privacy. 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tmsh save sys config</t>
    </r>
  </si>
  <si>
    <r>
      <rPr>
        <sz val="11"/>
        <color rgb="FF000000"/>
        <rFont val="Calibri"/>
      </rPr>
      <t>Display of the DOD-approved use notification before granting access to the network device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</si>
  <si>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Preferences.</t>
    </r>
    <r>
      <rPr>
        <sz val="11"/>
        <color rgb="FF000000"/>
        <rFont val="Calibri"/>
      </rPr>
      <t xml:space="preserve">
</t>
    </r>
    <r>
      <rPr>
        <sz val="11"/>
        <color rgb="FF000000"/>
        <rFont val="Calibri"/>
      </rPr>
      <t>3. Security Banner Text To Show On The Login Screen.</t>
    </r>
    <r>
      <rPr>
        <sz val="11"/>
        <color rgb="FF000000"/>
        <rFont val="Calibri"/>
      </rPr>
      <t xml:space="preserve">
</t>
    </r>
    <r>
      <rPr>
        <sz val="11"/>
        <color rgb="FF000000"/>
        <rFont val="Calibri"/>
      </rPr>
      <t>4. Review the "Security Banner Text To Show On The Login Screen" under the "Security Settings" section for the following verbiage:</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banner is not presented, this is a finding.</t>
    </r>
  </si>
  <si>
    <t>V-266074</t>
  </si>
  <si>
    <r>
      <rPr>
        <sz val="11"/>
        <rFont val="Calibri"/>
      </rPr>
      <t>The F5 BIG-IP appliance must manage local audit storage capacity in accordance with organization-defined audit record storage requirements.</t>
    </r>
  </si>
  <si>
    <t>CAT III (Low)</t>
  </si>
  <si>
    <r>
      <rPr>
        <sz val="11"/>
        <color rgb="FF000000"/>
        <rFont val="Calibri"/>
      </rPr>
      <t>To manage audit record storage capacity, configure the following log-related elements on the BIG-IP system in accordance with the site's System Security Plan:</t>
    </r>
    <r>
      <rPr>
        <sz val="11"/>
        <color rgb="FF000000"/>
        <rFont val="Calibri"/>
      </rPr>
      <t xml:space="preserve">
</t>
    </r>
    <r>
      <rPr>
        <sz val="11"/>
        <color rgb="FF000000"/>
        <rFont val="Calibri"/>
      </rPr>
      <t>- Change the log rotation frequency.</t>
    </r>
    <r>
      <rPr>
        <sz val="11"/>
        <color rgb="FF000000"/>
        <rFont val="Calibri"/>
      </rPr>
      <t xml:space="preserve">
</t>
    </r>
    <r>
      <rPr>
        <sz val="11"/>
        <color rgb="FF000000"/>
        <rFont val="Calibri"/>
      </rPr>
      <t>- Change the age at which log files become eligible for removal.</t>
    </r>
    <r>
      <rPr>
        <sz val="11"/>
        <color rgb="FF000000"/>
        <rFont val="Calibri"/>
      </rPr>
      <t xml:space="preserve">
</t>
    </r>
    <r>
      <rPr>
        <sz val="11"/>
        <color rgb="FF000000"/>
        <rFont val="Calibri"/>
      </rPr>
      <t>- Change the number of archive copies that the system retains.</t>
    </r>
    <r>
      <rPr>
        <sz val="11"/>
        <color rgb="FF000000"/>
        <rFont val="Calibri"/>
      </rPr>
      <t xml:space="preserve">
</t>
    </r>
    <r>
      <rPr>
        <sz val="11"/>
        <color rgb="FF000000"/>
        <rFont val="Calibri"/>
      </rPr>
      <t>- Change the message count for alertd log check.</t>
    </r>
  </si>
  <si>
    <r>
      <rPr>
        <sz val="11"/>
        <color rgb="FF000000"/>
        <rFont val="Calibri"/>
      </rPr>
      <t xml:space="preserve">To ensure network devices have a sufficient storage capacity in which to write the audit logs, they need to be able to allocate audit record storage capacity. The task of allocating audit record storage capacity is usually performed during initial device setup if it is modifiable. </t>
    </r>
    <r>
      <rPr>
        <sz val="11"/>
        <color rgb="FF000000"/>
        <rFont val="Calibri"/>
      </rPr>
      <t xml:space="preserve">
</t>
    </r>
    <r>
      <rPr>
        <sz val="11"/>
        <color rgb="FF000000"/>
        <rFont val="Calibri"/>
      </rPr>
      <t>The value for the organization-defined audit record storage requirement will depend on the amount of storage available on the network device, the anticipated volume of logs, the frequency of transfer from the network device to centralized log servers, and other factors.</t>
    </r>
  </si>
  <si>
    <r>
      <rPr>
        <sz val="11"/>
        <color rgb="FF000000"/>
        <rFont val="Calibri"/>
      </rPr>
      <t>Verify the site configures the local audit record storage capacity using any of the following log-related elements in accordance with the site's System Security Plan:</t>
    </r>
    <r>
      <rPr>
        <sz val="11"/>
        <color rgb="FF000000"/>
        <rFont val="Calibri"/>
      </rPr>
      <t xml:space="preserve">
</t>
    </r>
    <r>
      <rPr>
        <sz val="11"/>
        <color rgb="FF000000"/>
        <rFont val="Calibri"/>
      </rPr>
      <t>- Log rotation frequency.</t>
    </r>
    <r>
      <rPr>
        <sz val="11"/>
        <color rgb="FF000000"/>
        <rFont val="Calibri"/>
      </rPr>
      <t xml:space="preserve">
</t>
    </r>
    <r>
      <rPr>
        <sz val="11"/>
        <color rgb="FF000000"/>
        <rFont val="Calibri"/>
      </rPr>
      <t>- Age at which log files become eligible for removal.</t>
    </r>
    <r>
      <rPr>
        <sz val="11"/>
        <color rgb="FF000000"/>
        <rFont val="Calibri"/>
      </rPr>
      <t xml:space="preserve">
</t>
    </r>
    <r>
      <rPr>
        <sz val="11"/>
        <color rgb="FF000000"/>
        <rFont val="Calibri"/>
      </rPr>
      <t>- The number of archive copies that the system retains.</t>
    </r>
    <r>
      <rPr>
        <sz val="11"/>
        <color rgb="FF000000"/>
        <rFont val="Calibri"/>
      </rPr>
      <t xml:space="preserve">
</t>
    </r>
    <r>
      <rPr>
        <sz val="11"/>
        <color rgb="FF000000"/>
        <rFont val="Calibri"/>
      </rPr>
      <t>- The message count for alertd log check.</t>
    </r>
    <r>
      <rPr>
        <sz val="11"/>
        <color rgb="FF000000"/>
        <rFont val="Calibri"/>
      </rPr>
      <t xml:space="preserve">
</t>
    </r>
    <r>
      <rPr>
        <sz val="11"/>
        <color rgb="FF000000"/>
        <rFont val="Calibri"/>
      </rPr>
      <t>If the site does not manage log storage capacity in compliance with the SSP or if the process is not documented, this is a finding.</t>
    </r>
  </si>
  <si>
    <t>V-266075</t>
  </si>
  <si>
    <r>
      <rPr>
        <sz val="11"/>
        <rFont val="Calibri"/>
      </rPr>
      <t>The F5 BIG-IP appliance must generate audit records and send records to redundant central syslog servers that are separate from the appliance.</t>
    </r>
  </si>
  <si>
    <r>
      <rPr>
        <sz val="11"/>
        <color rgb="FF000000"/>
        <rFont val="Calibri"/>
      </rPr>
      <t>Configure two or more central syslog servers.</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Logs.</t>
    </r>
    <r>
      <rPr>
        <sz val="11"/>
        <color rgb="FF000000"/>
        <rFont val="Calibri"/>
      </rPr>
      <t xml:space="preserve">
</t>
    </r>
    <r>
      <rPr>
        <sz val="11"/>
        <color rgb="FF000000"/>
        <rFont val="Calibri"/>
      </rPr>
      <t>3. Configuration.</t>
    </r>
    <r>
      <rPr>
        <sz val="11"/>
        <color rgb="FF000000"/>
        <rFont val="Calibri"/>
      </rPr>
      <t xml:space="preserve">
</t>
    </r>
    <r>
      <rPr>
        <sz val="11"/>
        <color rgb="FF000000"/>
        <rFont val="Calibri"/>
      </rPr>
      <t>4. Remote Logging.</t>
    </r>
    <r>
      <rPr>
        <sz val="11"/>
        <color rgb="FF000000"/>
        <rFont val="Calibri"/>
      </rPr>
      <t xml:space="preserve">
</t>
    </r>
    <r>
      <rPr>
        <sz val="11"/>
        <color rgb="FF000000"/>
        <rFont val="Calibri"/>
      </rPr>
      <t>5. Add the IP address of a syslog server in the "Remote IP" field, modify the port if necessary, and click "Add".</t>
    </r>
    <r>
      <rPr>
        <sz val="11"/>
        <color rgb="FF000000"/>
        <rFont val="Calibri"/>
      </rPr>
      <t xml:space="preserve">
</t>
    </r>
    <r>
      <rPr>
        <sz val="11"/>
        <color rgb="FF000000"/>
        <rFont val="Calibri"/>
      </rPr>
      <t>6. Click "Update".</t>
    </r>
    <r>
      <rPr>
        <sz val="11"/>
        <color rgb="FF000000"/>
        <rFont val="Calibri"/>
      </rPr>
      <t xml:space="preserve">
</t>
    </r>
    <r>
      <rPr>
        <sz val="11"/>
        <color rgb="FF000000"/>
        <rFont val="Calibri"/>
      </rPr>
      <t>From the BIG-IP Console, issue the following commands:</t>
    </r>
    <r>
      <rPr>
        <sz val="11"/>
        <color rgb="FF000000"/>
        <rFont val="Calibri"/>
      </rPr>
      <t xml:space="preserve">
</t>
    </r>
    <r>
      <rPr>
        <sz val="11"/>
        <color rgb="FF000000"/>
        <rFont val="Calibri"/>
      </rPr>
      <t xml:space="preserve">     tmsh modify sys syslog remote-servers add { &lt;name&gt; { host &lt;ip address&gt; remote-port &lt;port&gt; } }</t>
    </r>
    <r>
      <rPr>
        <sz val="11"/>
        <color rgb="FF000000"/>
        <rFont val="Calibri"/>
      </rPr>
      <t xml:space="preserve">
</t>
    </r>
    <r>
      <rPr>
        <sz val="11"/>
        <color rgb="FF000000"/>
        <rFont val="Calibri"/>
      </rPr>
      <t xml:space="preserve">     tmsh save sys config</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</si>
  <si>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MCP audit records are generated from various components within the network device. For example, it logs the creation of DNS objects and DNSSEC configuration, including key creations.</t>
    </r>
    <r>
      <rPr>
        <sz val="11"/>
        <color rgb="FF000000"/>
        <rFont val="Calibri"/>
      </rPr>
      <t xml:space="preserve">
</t>
    </r>
    <r>
      <rPr>
        <sz val="11"/>
        <color rgb="FF000000"/>
        <rFont val="Calibri"/>
      </rPr>
      <t>Satisfies: SRG-APP-000515-NDM-000325, SRG-APP-000360-NDM-000295, SRG-APP-000516-NDM-000350</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</si>
  <si>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Logs.</t>
    </r>
    <r>
      <rPr>
        <sz val="11"/>
        <color rgb="FF000000"/>
        <rFont val="Calibri"/>
      </rPr>
      <t xml:space="preserve">
</t>
    </r>
    <r>
      <rPr>
        <sz val="11"/>
        <color rgb="FF000000"/>
        <rFont val="Calibri"/>
      </rPr>
      <t>3. Configuration.</t>
    </r>
    <r>
      <rPr>
        <sz val="11"/>
        <color rgb="FF000000"/>
        <rFont val="Calibri"/>
      </rPr>
      <t xml:space="preserve">
</t>
    </r>
    <r>
      <rPr>
        <sz val="11"/>
        <color rgb="FF000000"/>
        <rFont val="Calibri"/>
      </rPr>
      <t>4. Remote Logging.</t>
    </r>
    <r>
      <rPr>
        <sz val="11"/>
        <color rgb="FF000000"/>
        <rFont val="Calibri"/>
      </rPr>
      <t xml:space="preserve">
</t>
    </r>
    <r>
      <rPr>
        <sz val="11"/>
        <color rgb="FF000000"/>
        <rFont val="Calibri"/>
      </rPr>
      <t>From the BIG-IP Console, issue the following command:</t>
    </r>
    <r>
      <rPr>
        <sz val="11"/>
        <color rgb="FF000000"/>
        <rFont val="Calibri"/>
      </rPr>
      <t xml:space="preserve">
</t>
    </r>
    <r>
      <rPr>
        <sz val="11"/>
        <color rgb="FF000000"/>
        <rFont val="Calibri"/>
      </rPr>
      <t>tmsh list sys syslog remote-servers</t>
    </r>
    <r>
      <rPr>
        <sz val="11"/>
        <color rgb="FF000000"/>
        <rFont val="Calibri"/>
      </rPr>
      <t xml:space="preserve">
</t>
    </r>
    <r>
      <rPr>
        <sz val="11"/>
        <color rgb="FF000000"/>
        <rFont val="Calibri"/>
      </rPr>
      <t>Note: This must return at least two remote IP addresses of syslog server.</t>
    </r>
    <r>
      <rPr>
        <sz val="11"/>
        <color rgb="FF000000"/>
        <rFont val="Calibri"/>
      </rPr>
      <t xml:space="preserve">
</t>
    </r>
    <r>
      <rPr>
        <sz val="11"/>
        <color rgb="FF000000"/>
        <rFont val="Calibri"/>
      </rPr>
      <t>If the BIG-IP appliance does not send audit records to one or more central syslog servers that are separate from the appliance, this is a finding.</t>
    </r>
  </si>
  <si>
    <t>V-266077</t>
  </si>
  <si>
    <r>
      <rPr>
        <sz val="11"/>
        <rFont val="Calibri"/>
      </rPr>
      <t>The F5 BIG-IP appliance must record time stamps for audit records that can be mapped to Coordinated Universal Time (UTC).</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</si>
  <si>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Platform.</t>
    </r>
    <r>
      <rPr>
        <sz val="11"/>
        <color rgb="FF000000"/>
        <rFont val="Calibri"/>
      </rPr>
      <t xml:space="preserve">
</t>
    </r>
    <r>
      <rPr>
        <sz val="11"/>
        <color rgb="FF000000"/>
        <rFont val="Calibri"/>
      </rPr>
      <t>3. Set "UTC" for "Time Zone".</t>
    </r>
    <r>
      <rPr>
        <sz val="11"/>
        <color rgb="FF000000"/>
        <rFont val="Calibri"/>
      </rPr>
      <t xml:space="preserve">
</t>
    </r>
    <r>
      <rPr>
        <sz val="11"/>
        <color rgb="FF000000"/>
        <rFont val="Calibri"/>
      </rPr>
      <t>4. Click "Update".</t>
    </r>
    <r>
      <rPr>
        <sz val="11"/>
        <color rgb="FF000000"/>
        <rFont val="Calibri"/>
      </rPr>
      <t xml:space="preserve">
</t>
    </r>
    <r>
      <rPr>
        <sz val="11"/>
        <color rgb="FF000000"/>
        <rFont val="Calibri"/>
      </rPr>
      <t>From the BIG-IP Console, issue the following commands:</t>
    </r>
    <r>
      <rPr>
        <sz val="11"/>
        <color rgb="FF000000"/>
        <rFont val="Calibri"/>
      </rPr>
      <t xml:space="preserve">
</t>
    </r>
    <r>
      <rPr>
        <sz val="11"/>
        <color rgb="FF000000"/>
        <rFont val="Calibri"/>
      </rPr>
      <t>tmsh modify sys ntp timezone UTC</t>
    </r>
    <r>
      <rPr>
        <sz val="11"/>
        <color rgb="FF000000"/>
        <rFont val="Calibri"/>
      </rPr>
      <t xml:space="preserve">
</t>
    </r>
    <r>
      <rPr>
        <sz val="11"/>
        <color rgb="FF000000"/>
        <rFont val="Calibri"/>
      </rPr>
      <t>tmsh save sys config</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</si>
  <si>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Time stamps generated by the application include date and time. Time is commonly expressed in UTC, a modern continuation of Greenwich Mean Time (GMT), or local time with an offset from UTC.</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</si>
  <si>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Platform.</t>
    </r>
    <r>
      <rPr>
        <sz val="11"/>
        <color rgb="FF000000"/>
        <rFont val="Calibri"/>
      </rPr>
      <t xml:space="preserve">
</t>
    </r>
    <r>
      <rPr>
        <sz val="11"/>
        <color rgb="FF000000"/>
        <rFont val="Calibri"/>
      </rPr>
      <t>3. Verify that "UTC" is configured for "Time Zone".</t>
    </r>
    <r>
      <rPr>
        <sz val="11"/>
        <color rgb="FF000000"/>
        <rFont val="Calibri"/>
      </rPr>
      <t xml:space="preserve">
</t>
    </r>
    <r>
      <rPr>
        <sz val="11"/>
        <color rgb="FF000000"/>
        <rFont val="Calibri"/>
      </rPr>
      <t>From the BIG-IP Console, issue the following commands:</t>
    </r>
    <r>
      <rPr>
        <sz val="11"/>
        <color rgb="FF000000"/>
        <rFont val="Calibri"/>
      </rPr>
      <t xml:space="preserve">
</t>
    </r>
    <r>
      <rPr>
        <sz val="11"/>
        <color rgb="FF000000"/>
        <rFont val="Calibri"/>
      </rPr>
      <t>tmsh list sys ntp timezone</t>
    </r>
    <r>
      <rPr>
        <sz val="11"/>
        <color rgb="FF000000"/>
        <rFont val="Calibri"/>
      </rPr>
      <t xml:space="preserve">
</t>
    </r>
    <r>
      <rPr>
        <sz val="11"/>
        <color rgb="FF000000"/>
        <rFont val="Calibri"/>
      </rPr>
      <t>Note: This must return a value of "UTC".</t>
    </r>
    <r>
      <rPr>
        <sz val="11"/>
        <color rgb="FF000000"/>
        <rFont val="Calibri"/>
      </rPr>
      <t xml:space="preserve">
</t>
    </r>
    <r>
      <rPr>
        <sz val="11"/>
        <color rgb="FF000000"/>
        <rFont val="Calibri"/>
      </rPr>
      <t>If the BIG-IP appliance is not configured for the UTC time zone, this is a finding.</t>
    </r>
  </si>
  <si>
    <t>V-266078</t>
  </si>
  <si>
    <r>
      <rPr>
        <sz val="11"/>
        <rFont val="Calibri"/>
      </rPr>
      <t>The F5 BIG-IP appliance must be configured to prevent the installation of patches, service packs, or application components without verification the software component has been digitally signed using a certificate that is recognized and approved by the organization.</t>
    </r>
  </si>
  <si>
    <r>
      <rPr>
        <sz val="11"/>
        <color rgb="FF000000"/>
        <rFont val="Calibri"/>
      </rPr>
      <t>From the BIG-IP console, type the following commands:</t>
    </r>
    <r>
      <rPr>
        <sz val="11"/>
        <color rgb="FF000000"/>
        <rFont val="Calibri"/>
      </rPr>
      <t xml:space="preserve">
</t>
    </r>
    <r>
      <rPr>
        <sz val="11"/>
        <color rgb="FF000000"/>
        <rFont val="Calibri"/>
      </rPr>
      <t>tmsh modify /sys db liveinstall.checksig value "enable"</t>
    </r>
    <r>
      <rPr>
        <sz val="11"/>
        <color rgb="FF000000"/>
        <rFont val="Calibri"/>
      </rPr>
      <t xml:space="preserve">
</t>
    </r>
    <r>
      <rPr>
        <sz val="11"/>
        <color rgb="FF000000"/>
        <rFont val="Calibri"/>
      </rPr>
      <t>tmsh save sys config</t>
    </r>
  </si>
  <si>
    <r>
      <rPr>
        <sz val="11"/>
        <color rgb="FF000000"/>
        <rFont val="Calibri"/>
      </rPr>
      <t xml:space="preserve">Changes to any software components can have significant effects on the overall security of the network device. Verifying software components have been digitally signed using a certificate that is recognized and approved by the organization ensures the software has not been tampered with and has been provided by a trusted vendor. </t>
    </r>
    <r>
      <rPr>
        <sz val="11"/>
        <color rgb="FF000000"/>
        <rFont val="Calibri"/>
      </rPr>
      <t xml:space="preserve">
</t>
    </r>
    <r>
      <rPr>
        <sz val="11"/>
        <color rgb="FF000000"/>
        <rFont val="Calibri"/>
      </rPr>
      <t>Accordingly, patches, service packs, or application components must be signed with a certificate recognized and approved by the organization.</t>
    </r>
    <r>
      <rPr>
        <sz val="11"/>
        <color rgb="FF000000"/>
        <rFont val="Calibri"/>
      </rPr>
      <t xml:space="preserve">
</t>
    </r>
    <r>
      <rPr>
        <sz val="11"/>
        <color rgb="FF000000"/>
        <rFont val="Calibri"/>
      </rPr>
      <t>Verifying the authenticity of the software prior to installation validates the integrity of the patch or upgrade received from a vendor. This ensures the software has not been tampered with and has been provided by a trusted vendor. Self-signed certificates are disallowed by this requirement. The device must not have to verify the software again. This requirement does not mandate DOD certificates for this purpose; however, the certificate used to verify the software must be from an approved certificate authority (CA).</t>
    </r>
  </si>
  <si>
    <r>
      <rPr>
        <sz val="11"/>
        <color rgb="FF000000"/>
        <rFont val="Calibri"/>
      </rPr>
      <t>From the BIG-IP console, type the following command:</t>
    </r>
    <r>
      <rPr>
        <sz val="11"/>
        <color rgb="FF000000"/>
        <rFont val="Calibri"/>
      </rPr>
      <t xml:space="preserve">
</t>
    </r>
    <r>
      <rPr>
        <sz val="11"/>
        <color rgb="FF000000"/>
        <rFont val="Calibri"/>
      </rPr>
      <t>tmsh list /sys db liveinstall.checksig value</t>
    </r>
    <r>
      <rPr>
        <sz val="11"/>
        <color rgb="FF000000"/>
        <rFont val="Calibri"/>
      </rPr>
      <t xml:space="preserve">
</t>
    </r>
    <r>
      <rPr>
        <sz val="11"/>
        <color rgb="FF000000"/>
        <rFont val="Calibri"/>
      </rPr>
      <t>Note: This must return a value of "enable".</t>
    </r>
    <r>
      <rPr>
        <sz val="11"/>
        <color rgb="FF000000"/>
        <rFont val="Calibri"/>
      </rPr>
      <t xml:space="preserve">
</t>
    </r>
    <r>
      <rPr>
        <sz val="11"/>
        <color rgb="FF000000"/>
        <rFont val="Calibri"/>
      </rPr>
      <t>If the db variable is not set to "enable", this is a finding.</t>
    </r>
  </si>
  <si>
    <t>V-266079</t>
  </si>
  <si>
    <r>
      <rPr>
        <sz val="11"/>
        <rFont val="Calibri"/>
      </rPr>
      <t>The F5 BIG-IP appliance must be configured to use at least two authentication servers to authenticate administrative users.</t>
    </r>
  </si>
  <si>
    <r>
      <rPr>
        <sz val="11"/>
        <color rgb="FF000000"/>
        <rFont val="Calibri"/>
      </rPr>
      <t>From the BIG-IP GUI:</t>
    </r>
    <r>
      <rPr>
        <sz val="11"/>
        <color rgb="FF000000"/>
        <rFont val="Calibri"/>
      </rPr>
      <t xml:space="preserve">
</t>
    </r>
    <r>
      <rPr>
        <sz val="11"/>
        <color rgb="FF000000"/>
        <rFont val="Calibri"/>
      </rPr>
      <t>RADIUS:</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Users.</t>
    </r>
    <r>
      <rPr>
        <sz val="11"/>
        <color rgb="FF000000"/>
        <rFont val="Calibri"/>
      </rPr>
      <t xml:space="preserve">
</t>
    </r>
    <r>
      <rPr>
        <sz val="11"/>
        <color rgb="FF000000"/>
        <rFont val="Calibri"/>
      </rPr>
      <t>3. Authentication.</t>
    </r>
    <r>
      <rPr>
        <sz val="11"/>
        <color rgb="FF000000"/>
        <rFont val="Calibri"/>
      </rPr>
      <t xml:space="preserve">
</t>
    </r>
    <r>
      <rPr>
        <sz val="11"/>
        <color rgb="FF000000"/>
        <rFont val="Calibri"/>
      </rPr>
      <t>4. If "User Directory" is configured for "Remote - RADIUS", click "Change" at the bottom.</t>
    </r>
    <r>
      <rPr>
        <sz val="11"/>
        <color rgb="FF000000"/>
        <rFont val="Calibri"/>
      </rPr>
      <t xml:space="preserve">
</t>
    </r>
    <r>
      <rPr>
        <sz val="11"/>
        <color rgb="FF000000"/>
        <rFont val="Calibri"/>
      </rPr>
      <t>5. Configure values for Primary and Secondary servers.</t>
    </r>
    <r>
      <rPr>
        <sz val="11"/>
        <color rgb="FF000000"/>
        <rFont val="Calibri"/>
      </rPr>
      <t xml:space="preserve">
</t>
    </r>
    <r>
      <rPr>
        <sz val="11"/>
        <color rgb="FF000000"/>
        <rFont val="Calibri"/>
      </rPr>
      <t>Note: To view Primary and Secondary Hosts, the "Server Configuration" must be set to "Primary &amp; Secondary".</t>
    </r>
    <r>
      <rPr>
        <sz val="11"/>
        <color rgb="FF000000"/>
        <rFont val="Calibri"/>
      </rPr>
      <t xml:space="preserve">
</t>
    </r>
    <r>
      <rPr>
        <sz val="11"/>
        <color rgb="FF000000"/>
        <rFont val="Calibri"/>
      </rPr>
      <t>6. Click "Finished".</t>
    </r>
    <r>
      <rPr>
        <sz val="11"/>
        <color rgb="FF000000"/>
        <rFont val="Calibri"/>
      </rPr>
      <t xml:space="preserve">
</t>
    </r>
    <r>
      <rPr>
        <sz val="11"/>
        <color rgb="FF000000"/>
        <rFont val="Calibri"/>
      </rPr>
      <t>TACACS+</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Users.</t>
    </r>
    <r>
      <rPr>
        <sz val="11"/>
        <color rgb="FF000000"/>
        <rFont val="Calibri"/>
      </rPr>
      <t xml:space="preserve">
</t>
    </r>
    <r>
      <rPr>
        <sz val="11"/>
        <color rgb="FF000000"/>
        <rFont val="Calibri"/>
      </rPr>
      <t>3. Authentication.</t>
    </r>
    <r>
      <rPr>
        <sz val="11"/>
        <color rgb="FF000000"/>
        <rFont val="Calibri"/>
      </rPr>
      <t xml:space="preserve">
</t>
    </r>
    <r>
      <rPr>
        <sz val="11"/>
        <color rgb="FF000000"/>
        <rFont val="Calibri"/>
      </rPr>
      <t>4. If "User Directory" is configured for "Remote - TACACS+", click "Change" at the bottom</t>
    </r>
    <r>
      <rPr>
        <sz val="11"/>
        <color rgb="FF000000"/>
        <rFont val="Calibri"/>
      </rPr>
      <t xml:space="preserve">
</t>
    </r>
    <r>
      <rPr>
        <sz val="11"/>
        <color rgb="FF000000"/>
        <rFont val="Calibri"/>
      </rPr>
      <t>5. Add multiple IP Addresses to the "Servers" field.</t>
    </r>
    <r>
      <rPr>
        <sz val="11"/>
        <color rgb="FF000000"/>
        <rFont val="Calibri"/>
      </rPr>
      <t xml:space="preserve">
</t>
    </r>
    <r>
      <rPr>
        <sz val="11"/>
        <color rgb="FF000000"/>
        <rFont val="Calibri"/>
      </rPr>
      <t>6. Set "Authentication" to "Authenticate to each server until success".</t>
    </r>
    <r>
      <rPr>
        <sz val="11"/>
        <color rgb="FF000000"/>
        <rFont val="Calibri"/>
      </rPr>
      <t xml:space="preserve">
</t>
    </r>
    <r>
      <rPr>
        <sz val="11"/>
        <color rgb="FF000000"/>
        <rFont val="Calibri"/>
      </rPr>
      <t>7. Click "Finished".</t>
    </r>
  </si>
  <si>
    <r>
      <rPr>
        <sz val="11"/>
        <color rgb="FF000000"/>
        <rFont val="Calibri"/>
      </rPr>
      <t>Centralized management of authentication settings increases the security of remote and nonlocal access methods. This control is particularly important protection against the insider threat. With robust centralized management, audit records for administrator account access to the organization's network devices can be more readily analyzed for trends and anomalies. The alternative method of defining administrator accounts on each device exposes the device configuration to remote access authentication attacks and system administrators with multiple authenticators for each network device.</t>
    </r>
  </si>
  <si>
    <r>
      <rPr>
        <sz val="11"/>
        <color rgb="FF000000"/>
        <rFont val="Calibri"/>
      </rPr>
      <t>From the BIG-IP GUI:</t>
    </r>
    <r>
      <rPr>
        <sz val="11"/>
        <color rgb="FF000000"/>
        <rFont val="Calibri"/>
      </rPr>
      <t xml:space="preserve">
</t>
    </r>
    <r>
      <rPr>
        <sz val="11"/>
        <color rgb="FF000000"/>
        <rFont val="Calibri"/>
      </rPr>
      <t>RADIUS:</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Users.</t>
    </r>
    <r>
      <rPr>
        <sz val="11"/>
        <color rgb="FF000000"/>
        <rFont val="Calibri"/>
      </rPr>
      <t xml:space="preserve">
</t>
    </r>
    <r>
      <rPr>
        <sz val="11"/>
        <color rgb="FF000000"/>
        <rFont val="Calibri"/>
      </rPr>
      <t>3. Authentication.</t>
    </r>
    <r>
      <rPr>
        <sz val="11"/>
        <color rgb="FF000000"/>
        <rFont val="Calibri"/>
      </rPr>
      <t xml:space="preserve">
</t>
    </r>
    <r>
      <rPr>
        <sz val="11"/>
        <color rgb="FF000000"/>
        <rFont val="Calibri"/>
      </rPr>
      <t>4. If "User Directory" is configured for "Remote - RADIUS", verify different Primary and Secondary Hosts exist in the configuration.</t>
    </r>
    <r>
      <rPr>
        <sz val="11"/>
        <color rgb="FF000000"/>
        <rFont val="Calibri"/>
      </rPr>
      <t xml:space="preserve">
</t>
    </r>
    <r>
      <rPr>
        <sz val="11"/>
        <color rgb="FF000000"/>
        <rFont val="Calibri"/>
      </rPr>
      <t>Note: To view Primary and Secondary Hosts, the "Server Configuration" must be set to "Primary &amp; Secondary".</t>
    </r>
    <r>
      <rPr>
        <sz val="11"/>
        <color rgb="FF000000"/>
        <rFont val="Calibri"/>
      </rPr>
      <t xml:space="preserve">
</t>
    </r>
    <r>
      <rPr>
        <sz val="11"/>
        <color rgb="FF000000"/>
        <rFont val="Calibri"/>
      </rPr>
      <t>TACACS+</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Users.</t>
    </r>
    <r>
      <rPr>
        <sz val="11"/>
        <color rgb="FF000000"/>
        <rFont val="Calibri"/>
      </rPr>
      <t xml:space="preserve">
</t>
    </r>
    <r>
      <rPr>
        <sz val="11"/>
        <color rgb="FF000000"/>
        <rFont val="Calibri"/>
      </rPr>
      <t>3. Authentication.</t>
    </r>
    <r>
      <rPr>
        <sz val="11"/>
        <color rgb="FF000000"/>
        <rFont val="Calibri"/>
      </rPr>
      <t xml:space="preserve">
</t>
    </r>
    <r>
      <rPr>
        <sz val="11"/>
        <color rgb="FF000000"/>
        <rFont val="Calibri"/>
      </rPr>
      <t>4. If "User Directory" is configured for "Remote - TACACS+", verify multiple servers exist in the configuration.</t>
    </r>
    <r>
      <rPr>
        <sz val="11"/>
        <color rgb="FF000000"/>
        <rFont val="Calibri"/>
      </rPr>
      <t xml:space="preserve">
</t>
    </r>
    <r>
      <rPr>
        <sz val="11"/>
        <color rgb="FF000000"/>
        <rFont val="Calibri"/>
      </rPr>
      <t>5. Verify "Authentication" is set to "Authenticate to each server until success".</t>
    </r>
    <r>
      <rPr>
        <sz val="11"/>
        <color rgb="FF000000"/>
        <rFont val="Calibri"/>
      </rPr>
      <t xml:space="preserve">
</t>
    </r>
    <r>
      <rPr>
        <sz val="11"/>
        <color rgb="FF000000"/>
        <rFont val="Calibri"/>
      </rPr>
      <t>If the BIG-IP appliance is not configured to use at least two authentication servers to authenticate administrative users, this is a finding.</t>
    </r>
  </si>
  <si>
    <t>V-266080</t>
  </si>
  <si>
    <r>
      <rPr>
        <sz val="11"/>
        <rFont val="Calibri"/>
      </rPr>
      <t>The F5 BIG-IP appliance must be running an operating system release that is currently supported by the vendor.</t>
    </r>
  </si>
  <si>
    <r>
      <rPr>
        <sz val="11"/>
        <color rgb="FF000000"/>
        <rFont val="Calibri"/>
      </rPr>
      <t>If the release is not a supported version, then update the version.</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Import .iso.</t>
    </r>
    <r>
      <rPr>
        <sz val="11"/>
        <color rgb="FF000000"/>
        <rFont val="Calibri"/>
      </rPr>
      <t xml:space="preserve">
</t>
    </r>
    <r>
      <rPr>
        <sz val="11"/>
        <color rgb="FF000000"/>
        <rFont val="Calibri"/>
      </rPr>
      <t>a. System.</t>
    </r>
    <r>
      <rPr>
        <sz val="11"/>
        <color rgb="FF000000"/>
        <rFont val="Calibri"/>
      </rPr>
      <t xml:space="preserve">
</t>
    </r>
    <r>
      <rPr>
        <sz val="11"/>
        <color rgb="FF000000"/>
        <rFont val="Calibri"/>
      </rPr>
      <t>b. Software Management.</t>
    </r>
    <r>
      <rPr>
        <sz val="11"/>
        <color rgb="FF000000"/>
        <rFont val="Calibri"/>
      </rPr>
      <t xml:space="preserve">
</t>
    </r>
    <r>
      <rPr>
        <sz val="11"/>
        <color rgb="FF000000"/>
        <rFont val="Calibri"/>
      </rPr>
      <t>c. Image List.</t>
    </r>
    <r>
      <rPr>
        <sz val="11"/>
        <color rgb="FF000000"/>
        <rFont val="Calibri"/>
      </rPr>
      <t xml:space="preserve">
</t>
    </r>
    <r>
      <rPr>
        <sz val="11"/>
        <color rgb="FF000000"/>
        <rFont val="Calibri"/>
      </rPr>
      <t>d. Import .iso of supported BIG-IP operating system.</t>
    </r>
    <r>
      <rPr>
        <sz val="11"/>
        <color rgb="FF000000"/>
        <rFont val="Calibri"/>
      </rPr>
      <t xml:space="preserve">
</t>
    </r>
    <r>
      <rPr>
        <sz val="11"/>
        <color rgb="FF000000"/>
        <rFont val="Calibri"/>
      </rPr>
      <t>e. Import the corresponding .iso.sig file.</t>
    </r>
    <r>
      <rPr>
        <sz val="11"/>
        <color rgb="FF000000"/>
        <rFont val="Calibri"/>
      </rPr>
      <t xml:space="preserve">
</t>
    </r>
    <r>
      <rPr>
        <sz val="11"/>
        <color rgb="FF000000"/>
        <rFont val="Calibri"/>
      </rPr>
      <t>f. Install.</t>
    </r>
    <r>
      <rPr>
        <sz val="11"/>
        <color rgb="FF000000"/>
        <rFont val="Calibri"/>
      </rPr>
      <t xml:space="preserve">
</t>
    </r>
    <r>
      <rPr>
        <sz val="11"/>
        <color rgb="FF000000"/>
        <rFont val="Calibri"/>
      </rPr>
      <t>2. Switch boot location to new install.</t>
    </r>
    <r>
      <rPr>
        <sz val="11"/>
        <color rgb="FF000000"/>
        <rFont val="Calibri"/>
      </rPr>
      <t xml:space="preserve">
</t>
    </r>
    <r>
      <rPr>
        <sz val="11"/>
        <color rgb="FF000000"/>
        <rFont val="Calibri"/>
      </rPr>
      <t>a. System.</t>
    </r>
    <r>
      <rPr>
        <sz val="11"/>
        <color rgb="FF000000"/>
        <rFont val="Calibri"/>
      </rPr>
      <t xml:space="preserve">
</t>
    </r>
    <r>
      <rPr>
        <sz val="11"/>
        <color rgb="FF000000"/>
        <rFont val="Calibri"/>
      </rPr>
      <t>b. Software Management.</t>
    </r>
    <r>
      <rPr>
        <sz val="11"/>
        <color rgb="FF000000"/>
        <rFont val="Calibri"/>
      </rPr>
      <t xml:space="preserve">
</t>
    </r>
    <r>
      <rPr>
        <sz val="11"/>
        <color rgb="FF000000"/>
        <rFont val="Calibri"/>
      </rPr>
      <t>c. Boot Locations.</t>
    </r>
    <r>
      <rPr>
        <sz val="11"/>
        <color rgb="FF000000"/>
        <rFont val="Calibri"/>
      </rPr>
      <t xml:space="preserve">
</t>
    </r>
    <r>
      <rPr>
        <sz val="11"/>
        <color rgb="FF000000"/>
        <rFont val="Calibri"/>
      </rPr>
      <t>d. Select new install location.</t>
    </r>
    <r>
      <rPr>
        <sz val="11"/>
        <color rgb="FF000000"/>
        <rFont val="Calibri"/>
      </rPr>
      <t xml:space="preserve">
</t>
    </r>
    <r>
      <rPr>
        <sz val="11"/>
        <color rgb="FF000000"/>
        <rFont val="Calibri"/>
      </rPr>
      <t>e. Optionally change "Install Configuration" to "Yes".</t>
    </r>
    <r>
      <rPr>
        <sz val="11"/>
        <color rgb="FF000000"/>
        <rFont val="Calibri"/>
      </rPr>
      <t xml:space="preserve">
</t>
    </r>
    <r>
      <rPr>
        <sz val="11"/>
        <color rgb="FF000000"/>
        <rFont val="Calibri"/>
      </rPr>
      <t>f. Activate.</t>
    </r>
  </si>
  <si>
    <r>
      <rPr>
        <sz val="11"/>
        <color rgb="FF000000"/>
        <rFont val="Calibri"/>
      </rPr>
      <t>Network devices running an unsupported operating system lack current security fixes required to mitigate the risks associated with recent vulnerabilities.</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</si>
  <si>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Configuration.</t>
    </r>
    <r>
      <rPr>
        <sz val="11"/>
        <color rgb="FF000000"/>
        <rFont val="Calibri"/>
      </rPr>
      <t xml:space="preserve">
</t>
    </r>
    <r>
      <rPr>
        <sz val="11"/>
        <color rgb="FF000000"/>
        <rFont val="Calibri"/>
      </rPr>
      <t>3. Device.</t>
    </r>
    <r>
      <rPr>
        <sz val="11"/>
        <color rgb="FF000000"/>
        <rFont val="Calibri"/>
      </rPr>
      <t xml:space="preserve">
</t>
    </r>
    <r>
      <rPr>
        <sz val="11"/>
        <color rgb="FF000000"/>
        <rFont val="Calibri"/>
      </rPr>
      <t>4. General.</t>
    </r>
    <r>
      <rPr>
        <sz val="11"/>
        <color rgb="FF000000"/>
        <rFont val="Calibri"/>
      </rPr>
      <t xml:space="preserve">
</t>
    </r>
    <r>
      <rPr>
        <sz val="11"/>
        <color rgb="FF000000"/>
        <rFont val="Calibri"/>
      </rPr>
      <t>5. Verify "Version" is currently supported according to the vendor support site.</t>
    </r>
    <r>
      <rPr>
        <sz val="11"/>
        <color rgb="FF000000"/>
        <rFont val="Calibri"/>
      </rPr>
      <t xml:space="preserve">
</t>
    </r>
    <r>
      <rPr>
        <sz val="11"/>
        <color rgb="FF000000"/>
        <rFont val="Calibri"/>
      </rPr>
      <t>From the BIG-IP console, type the following command(s):</t>
    </r>
    <r>
      <rPr>
        <sz val="11"/>
        <color rgb="FF000000"/>
        <rFont val="Calibri"/>
      </rPr>
      <t xml:space="preserve">
</t>
    </r>
    <r>
      <rPr>
        <sz val="11"/>
        <color rgb="FF000000"/>
        <rFont val="Calibri"/>
      </rPr>
      <t>tmsh list cm device version</t>
    </r>
    <r>
      <rPr>
        <sz val="11"/>
        <color rgb="FF000000"/>
        <rFont val="Calibri"/>
      </rPr>
      <t xml:space="preserve">
</t>
    </r>
    <r>
      <rPr>
        <sz val="11"/>
        <color rgb="FF000000"/>
        <rFont val="Calibri"/>
      </rPr>
      <t>Note: Verify the version is currently supported on the vendor's website.</t>
    </r>
    <r>
      <rPr>
        <sz val="11"/>
        <color rgb="FF000000"/>
        <rFont val="Calibri"/>
      </rPr>
      <t xml:space="preserve">
</t>
    </r>
    <r>
      <rPr>
        <sz val="11"/>
        <color rgb="FF000000"/>
        <rFont val="Calibri"/>
      </rPr>
      <t>If the BIG-IP appliance is not running an operating system release that is currently supported by the vendor, this is a finding.</t>
    </r>
  </si>
  <si>
    <t>V-266083</t>
  </si>
  <si>
    <r>
      <rPr>
        <sz val="11"/>
        <rFont val="Calibri"/>
      </rPr>
      <t>The F5 BIG-IP appliance must obtain its public key certificates from an appropriate certificate policy through an approved service provider.</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</si>
  <si>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Certificate Management.</t>
    </r>
    <r>
      <rPr>
        <sz val="11"/>
        <color rgb="FF000000"/>
        <rFont val="Calibri"/>
      </rPr>
      <t xml:space="preserve">
</t>
    </r>
    <r>
      <rPr>
        <sz val="11"/>
        <color rgb="FF000000"/>
        <rFont val="Calibri"/>
      </rPr>
      <t>3. Device Certificate Management.</t>
    </r>
    <r>
      <rPr>
        <sz val="11"/>
        <color rgb="FF000000"/>
        <rFont val="Calibri"/>
      </rPr>
      <t xml:space="preserve">
</t>
    </r>
    <r>
      <rPr>
        <sz val="11"/>
        <color rgb="FF000000"/>
        <rFont val="Calibri"/>
      </rPr>
      <t>4. Device Certificate Signing Request.</t>
    </r>
    <r>
      <rPr>
        <sz val="11"/>
        <color rgb="FF000000"/>
        <rFont val="Calibri"/>
      </rPr>
      <t xml:space="preserve">
</t>
    </r>
    <r>
      <rPr>
        <sz val="11"/>
        <color rgb="FF000000"/>
        <rFont val="Calibri"/>
      </rPr>
      <t>5. Click "Renew".</t>
    </r>
    <r>
      <rPr>
        <sz val="11"/>
        <color rgb="FF000000"/>
        <rFont val="Calibri"/>
      </rPr>
      <t xml:space="preserve">
</t>
    </r>
    <r>
      <rPr>
        <sz val="11"/>
        <color rgb="FF000000"/>
        <rFont val="Calibri"/>
      </rPr>
      <t>6. Select "Certificate Authority" in "Issuer" and complete the form.</t>
    </r>
    <r>
      <rPr>
        <sz val="11"/>
        <color rgb="FF000000"/>
        <rFont val="Calibri"/>
      </rPr>
      <t xml:space="preserve">
</t>
    </r>
    <r>
      <rPr>
        <sz val="11"/>
        <color rgb="FF000000"/>
        <rFont val="Calibri"/>
      </rPr>
      <t>7. Copy or download and submit CSR to an approved CA.</t>
    </r>
    <r>
      <rPr>
        <sz val="11"/>
        <color rgb="FF000000"/>
        <rFont val="Calibri"/>
      </rPr>
      <t xml:space="preserve">
</t>
    </r>
    <r>
      <rPr>
        <sz val="11"/>
        <color rgb="FF000000"/>
        <rFont val="Calibri"/>
      </rPr>
      <t>8. Import the certificate via Device Certificate Management &gt;&gt; Device Certificate &gt;&gt; Import.</t>
    </r>
  </si>
  <si>
    <r>
      <rPr>
        <sz val="11"/>
        <color rgb="FF000000"/>
        <rFont val="Calibri"/>
      </rPr>
      <t>For user certificates, each organization obtains certificates from an approved, shared service provider, as required by OMB policy. For federal agencies operating a legacy public key infrastructure cross-certified with the Federal Bridge Certification Authority at medium assurance or higher, this Certification Authority (CA) will suffice.</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</si>
  <si>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Certificate Management.</t>
    </r>
    <r>
      <rPr>
        <sz val="11"/>
        <color rgb="FF000000"/>
        <rFont val="Calibri"/>
      </rPr>
      <t xml:space="preserve">
</t>
    </r>
    <r>
      <rPr>
        <sz val="11"/>
        <color rgb="FF000000"/>
        <rFont val="Calibri"/>
      </rPr>
      <t>3. Device Certificate Management.</t>
    </r>
    <r>
      <rPr>
        <sz val="11"/>
        <color rgb="FF000000"/>
        <rFont val="Calibri"/>
      </rPr>
      <t xml:space="preserve">
</t>
    </r>
    <r>
      <rPr>
        <sz val="11"/>
        <color rgb="FF000000"/>
        <rFont val="Calibri"/>
      </rPr>
      <t>4. Device Certificate.</t>
    </r>
    <r>
      <rPr>
        <sz val="11"/>
        <color rgb="FF000000"/>
        <rFont val="Calibri"/>
      </rPr>
      <t xml:space="preserve">
</t>
    </r>
    <r>
      <rPr>
        <sz val="11"/>
        <color rgb="FF000000"/>
        <rFont val="Calibri"/>
      </rPr>
      <t>5. Verify the Issuer is an approved CA.</t>
    </r>
    <r>
      <rPr>
        <sz val="11"/>
        <color rgb="FF000000"/>
        <rFont val="Calibri"/>
      </rPr>
      <t xml:space="preserve">
</t>
    </r>
    <r>
      <rPr>
        <sz val="11"/>
        <color rgb="FF000000"/>
        <rFont val="Calibri"/>
      </rPr>
      <t>From the BIG-IP console, type the following command:</t>
    </r>
    <r>
      <rPr>
        <sz val="11"/>
        <color rgb="FF000000"/>
        <rFont val="Calibri"/>
      </rPr>
      <t xml:space="preserve">
</t>
    </r>
    <r>
      <rPr>
        <sz val="11"/>
        <color rgb="FF000000"/>
        <rFont val="Calibri"/>
      </rPr>
      <t>openssl x509 -in /config/httpd/conf/ssl.crt/server.crt -text</t>
    </r>
    <r>
      <rPr>
        <sz val="11"/>
        <color rgb="FF000000"/>
        <rFont val="Calibri"/>
      </rPr>
      <t xml:space="preserve">
</t>
    </r>
    <r>
      <rPr>
        <sz val="11"/>
        <color rgb="FF000000"/>
        <rFont val="Calibri"/>
      </rPr>
      <t>Note: Verify the issuer is an approved CA.</t>
    </r>
    <r>
      <rPr>
        <sz val="11"/>
        <color rgb="FF000000"/>
        <rFont val="Calibri"/>
      </rPr>
      <t xml:space="preserve">
</t>
    </r>
    <r>
      <rPr>
        <sz val="11"/>
        <color rgb="FF000000"/>
        <rFont val="Calibri"/>
      </rPr>
      <t>If the BIG-IP appliance does not obtain its public key certificates from an appropriate certificate policy through an approved service provider, this is a finding.</t>
    </r>
  </si>
  <si>
    <t>V-266084</t>
  </si>
  <si>
    <r>
      <rPr>
        <sz val="11"/>
        <rFont val="Calibri"/>
      </rPr>
      <t>The F5 BIG-IP appliance must be configured to prohibit the use of all unnecessary and/or nonsecure functions, ports, protocols, and/or services.</t>
    </r>
  </si>
  <si>
    <r>
      <rPr>
        <sz val="11"/>
        <color rgb="FF000000"/>
        <rFont val="Calibri"/>
      </rPr>
      <t>Check the PPSM CAL and the site's System Security Plan/documentation for a list of prohibited ports, protocols, and services.</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Local Traffic.</t>
    </r>
    <r>
      <rPr>
        <sz val="11"/>
        <color rgb="FF000000"/>
        <rFont val="Calibri"/>
      </rPr>
      <t xml:space="preserve">
</t>
    </r>
    <r>
      <rPr>
        <sz val="11"/>
        <color rgb="FF000000"/>
        <rFont val="Calibri"/>
      </rPr>
      <t>2. Virtual Servers.</t>
    </r>
    <r>
      <rPr>
        <sz val="11"/>
        <color rgb="FF000000"/>
        <rFont val="Calibri"/>
      </rPr>
      <t xml:space="preserve">
</t>
    </r>
    <r>
      <rPr>
        <sz val="11"/>
        <color rgb="FF000000"/>
        <rFont val="Calibri"/>
      </rPr>
      <t>3. For any virtual server(s) listening on all unnecessary and/or nonsecure functions, ports, protocols, and/or services, check the box next to the virtual server and click "Delete".</t>
    </r>
    <r>
      <rPr>
        <sz val="11"/>
        <color rgb="FF000000"/>
        <rFont val="Calibri"/>
      </rPr>
      <t xml:space="preserve">
</t>
    </r>
    <r>
      <rPr>
        <sz val="11"/>
        <color rgb="FF000000"/>
        <rFont val="Calibri"/>
      </rPr>
      <t>4. Click "Delete" again.</t>
    </r>
  </si>
  <si>
    <r>
      <rPr>
        <sz val="11"/>
        <color rgb="FF000000"/>
        <rFont val="Calibri"/>
      </rPr>
      <t>To prevent unauthorized connection of devices, unauthorized transfer of information, or unauthorized tunneling (i.e., embedding of data types within data types), organizations must disable unused or unnecessary physical and logical ports/protocols on information systems.</t>
    </r>
    <r>
      <rPr>
        <sz val="11"/>
        <color rgb="FF000000"/>
        <rFont val="Calibri"/>
      </rPr>
      <t xml:space="preserve">
</t>
    </r>
    <r>
      <rPr>
        <sz val="11"/>
        <color rgb="FF000000"/>
        <rFont val="Calibri"/>
      </rPr>
      <t>Network devices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t>
    </r>
    <r>
      <rPr>
        <sz val="11"/>
        <color rgb="FF000000"/>
        <rFont val="Calibri"/>
      </rPr>
      <t xml:space="preserve">
</t>
    </r>
    <r>
      <rPr>
        <sz val="11"/>
        <color rgb="FF000000"/>
        <rFont val="Calibri"/>
      </rPr>
      <t>To support the requirements and principles of least functionality, the network device must support the organizational requirements providing only essential capabilities and limiting the use of ports, protocols, and/or services to only those required, authorized, and approved. Some network devices have capabilities enabled by default; if these capabilities are not necessary, they must be disabled. If a particular capability is used, then it must be documented and approved.</t>
    </r>
  </si>
  <si>
    <r>
      <rPr>
        <sz val="11"/>
        <color rgb="FF000000"/>
        <rFont val="Calibri"/>
      </rPr>
      <t>From the BIG-IP GUI:</t>
    </r>
    <r>
      <rPr>
        <sz val="11"/>
        <color rgb="FF000000"/>
        <rFont val="Calibri"/>
      </rPr>
      <t xml:space="preserve">
</t>
    </r>
    <r>
      <rPr>
        <sz val="11"/>
        <color rgb="FF000000"/>
        <rFont val="Calibri"/>
      </rPr>
      <t>1. Local Traffic.</t>
    </r>
    <r>
      <rPr>
        <sz val="11"/>
        <color rgb="FF000000"/>
        <rFont val="Calibri"/>
      </rPr>
      <t xml:space="preserve">
</t>
    </r>
    <r>
      <rPr>
        <sz val="11"/>
        <color rgb="FF000000"/>
        <rFont val="Calibri"/>
      </rPr>
      <t>2. Virtual Servers.</t>
    </r>
    <r>
      <rPr>
        <sz val="11"/>
        <color rgb="FF000000"/>
        <rFont val="Calibri"/>
      </rPr>
      <t xml:space="preserve">
</t>
    </r>
    <r>
      <rPr>
        <sz val="11"/>
        <color rgb="FF000000"/>
        <rFont val="Calibri"/>
      </rPr>
      <t>3. Verify the list of virtual servers are not configured to listen on unnecessary and/or nonsecure functions, ports, protocols, and/or services.</t>
    </r>
    <r>
      <rPr>
        <sz val="11"/>
        <color rgb="FF000000"/>
        <rFont val="Calibri"/>
      </rPr>
      <t xml:space="preserve">
</t>
    </r>
    <r>
      <rPr>
        <sz val="11"/>
        <color rgb="FF000000"/>
        <rFont val="Calibri"/>
      </rPr>
      <t>If the BIG-IP appliance is configured to listen or run unnecessary and/or nonsecure functions, ports, protocols, and/or services, this is a finding.</t>
    </r>
  </si>
  <si>
    <t>V-266085</t>
  </si>
  <si>
    <r>
      <rPr>
        <sz val="11"/>
        <rFont val="Calibri"/>
      </rPr>
      <t>The F5 BIG-IP appliance must be configured to use multifactor authentication (MFA) for interactive logins.</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</si>
  <si>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Users.</t>
    </r>
    <r>
      <rPr>
        <sz val="11"/>
        <color rgb="FF000000"/>
        <rFont val="Calibri"/>
      </rPr>
      <t xml:space="preserve">
</t>
    </r>
    <r>
      <rPr>
        <sz val="11"/>
        <color rgb="FF000000"/>
        <rFont val="Calibri"/>
      </rPr>
      <t>3. Authentication.</t>
    </r>
    <r>
      <rPr>
        <sz val="11"/>
        <color rgb="FF000000"/>
        <rFont val="Calibri"/>
      </rPr>
      <t xml:space="preserve">
</t>
    </r>
    <r>
      <rPr>
        <sz val="11"/>
        <color rgb="FF000000"/>
        <rFont val="Calibri"/>
      </rPr>
      <t>4. Click "Change".</t>
    </r>
    <r>
      <rPr>
        <sz val="11"/>
        <color rgb="FF000000"/>
        <rFont val="Calibri"/>
      </rPr>
      <t xml:space="preserve">
</t>
    </r>
    <r>
      <rPr>
        <sz val="11"/>
        <color rgb="FF000000"/>
        <rFont val="Calibri"/>
      </rPr>
      <t>5. Select RADIUS, or TACACS+ from the "Remote" options and fill out the configuration depending on the chosen option.</t>
    </r>
    <r>
      <rPr>
        <sz val="11"/>
        <color rgb="FF000000"/>
        <rFont val="Calibri"/>
      </rPr>
      <t xml:space="preserve">
</t>
    </r>
    <r>
      <rPr>
        <sz val="11"/>
        <color rgb="FF000000"/>
        <rFont val="Calibri"/>
      </rPr>
      <t>6. Fill out all other fields as appropriate for the environment.</t>
    </r>
    <r>
      <rPr>
        <sz val="11"/>
        <color rgb="FF000000"/>
        <rFont val="Calibri"/>
      </rPr>
      <t xml:space="preserve">
</t>
    </r>
    <r>
      <rPr>
        <sz val="11"/>
        <color rgb="FF000000"/>
        <rFont val="Calibri"/>
      </rPr>
      <t>7. Click "Finished".</t>
    </r>
    <r>
      <rPr>
        <sz val="11"/>
        <color rgb="FF000000"/>
        <rFont val="Calibri"/>
      </rPr>
      <t xml:space="preserve">
</t>
    </r>
    <r>
      <rPr>
        <sz val="11"/>
        <color rgb="FF000000"/>
        <rFont val="Calibri"/>
      </rPr>
      <t>Note: This method has been verified with the vendor and DISA for use in DOD. Other methods are not recommended/have not been tested to determine if DOD requirements have been met or if additional licenses and AO approval are required.</t>
    </r>
  </si>
  <si>
    <r>
      <rPr>
        <sz val="11"/>
        <color rgb="FF000000"/>
        <rFont val="Calibri"/>
      </rPr>
      <t>MFA is when two or more factors are used to confirm the identity of an individual who is requesting access to digital information resources. Valid factors include something the individual knows (e.g., username and password), something the individual has (e.g., a smartcard or token), or something the individual is (e.g., a fingerprint or biometric). Legacy information system environments only use a single factor for authentication, typically a username and password combination. Although two pieces of data are used in a username and password combination, this is still considered single factor because an attacker can obtain access simply by learning what the user knows. Common attacks against single-factor authentication are attacks on user passwords. These attacks include brute force password guessing, password spraying, and password credential stuffing. MFA, along with strong user account hygiene, helps mitigate the threat of having account passwords discovered by an attacker. Even in the event of a password compromise, with MFA implemented and required for interactive login, the attacker still needs to acquire something the user has or replicate a piece of the user’s biometric digital presence.</t>
    </r>
    <r>
      <rPr>
        <sz val="11"/>
        <color rgb="FF000000"/>
        <rFont val="Calibri"/>
      </rPr>
      <t xml:space="preserve">
</t>
    </r>
    <r>
      <rPr>
        <sz val="11"/>
        <color rgb="FF000000"/>
        <rFont val="Calibri"/>
      </rPr>
      <t>Private industry recognizes and uses a wide variety of MFA solutions. However, DOD public key infrastructure (PKI) is the only prescribed method approved for DOD organizations to implement MFA. For authentication purposes, centralized DOD certificate authorities (CA) issue PKI certificate key pairs (public and private) to individuals using the prescribed x.509 format. The private certificates that have been generated by the issuing CA are downloaded and saved to smartcards which, within DOD, are referred to as common access cards (CAC) or personal identity verification (PIV) cards. This happens at designated DOD badge facilities. The CA maintains a record of the corresponding public keys for use with PKI-enabled environments. Privileged user smartcards, or “alternate tokens”, function in the same manner, so this requirement applies to all interactive user sessions (authorized and privileged users).</t>
    </r>
    <r>
      <rPr>
        <sz val="11"/>
        <color rgb="FF000000"/>
        <rFont val="Calibri"/>
      </rPr>
      <t xml:space="preserve">
</t>
    </r>
    <r>
      <rPr>
        <sz val="11"/>
        <color rgb="FF000000"/>
        <rFont val="Calibri"/>
      </rPr>
      <t>Note: This requirement is used in conjunction with the use of a centralized authentication server (e.g., AAA, RADIUS, LDAP), a separate but equally important requirement. The MFA configuration of this requirement provides identification and the first phase of authentication (the challenge and validated response, thereby confirming the PKI certificate that was presented by the user). The centralized authentication server will provide the second phase of authentication (the digital presence of the PKI ID as a valid user in the requested security domain) and authorization. The centralized authentication server will map validated PKI identities to valid user accounts and determine access levels for authenticated users based on security group membership and role. In cases where the centralized authentication server is not used by the network device for user authorization, the network device must map the authenticated identity to the user account for PKI-based authentication.</t>
    </r>
    <r>
      <rPr>
        <sz val="11"/>
        <color rgb="FF000000"/>
        <rFont val="Calibri"/>
      </rPr>
      <t xml:space="preserve">
</t>
    </r>
    <r>
      <rPr>
        <sz val="11"/>
        <color rgb="FF000000"/>
        <rFont val="Calibri"/>
      </rPr>
      <t>Satisfies: SRG-APP-000149-NDM-000247, SRG-APP-000177-NDM-000263, SRG-APP-000153-NDM-000249</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</si>
  <si>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Users.</t>
    </r>
    <r>
      <rPr>
        <sz val="11"/>
        <color rgb="FF000000"/>
        <rFont val="Calibri"/>
      </rPr>
      <t xml:space="preserve">
</t>
    </r>
    <r>
      <rPr>
        <sz val="11"/>
        <color rgb="FF000000"/>
        <rFont val="Calibri"/>
      </rPr>
      <t>3. Authentication.</t>
    </r>
    <r>
      <rPr>
        <sz val="11"/>
        <color rgb="FF000000"/>
        <rFont val="Calibri"/>
      </rPr>
      <t xml:space="preserve">
</t>
    </r>
    <r>
      <rPr>
        <sz val="11"/>
        <color rgb="FF000000"/>
        <rFont val="Calibri"/>
      </rPr>
      <t>4. Verify "User Directory" is configured to use RADIUS or TACACS+.</t>
    </r>
    <r>
      <rPr>
        <sz val="11"/>
        <color rgb="FF000000"/>
        <rFont val="Calibri"/>
      </rPr>
      <t xml:space="preserve">
</t>
    </r>
    <r>
      <rPr>
        <sz val="11"/>
        <color rgb="FF000000"/>
        <rFont val="Calibri"/>
      </rPr>
      <t>From the BIG-IP console, type the following command(s):</t>
    </r>
    <r>
      <rPr>
        <sz val="11"/>
        <color rgb="FF000000"/>
        <rFont val="Calibri"/>
      </rPr>
      <t xml:space="preserve">
</t>
    </r>
    <r>
      <rPr>
        <sz val="11"/>
        <color rgb="FF000000"/>
        <rFont val="Calibri"/>
      </rPr>
      <t>tmsh list auth source</t>
    </r>
    <r>
      <rPr>
        <sz val="11"/>
        <color rgb="FF000000"/>
        <rFont val="Calibri"/>
      </rPr>
      <t xml:space="preserve">
</t>
    </r>
    <r>
      <rPr>
        <sz val="11"/>
        <color rgb="FF000000"/>
        <rFont val="Calibri"/>
      </rPr>
      <t>Verify "User Directory" is configured to use RADIUS or TACACS+.</t>
    </r>
    <r>
      <rPr>
        <sz val="11"/>
        <color rgb="FF000000"/>
        <rFont val="Calibri"/>
      </rPr>
      <t xml:space="preserve">
</t>
    </r>
    <r>
      <rPr>
        <sz val="11"/>
        <color rgb="FF000000"/>
        <rFont val="Calibri"/>
      </rPr>
      <t>If the BIG-IP appliance is not configured to use DOD PKI with RADIUS or TACACS+ for interactive logins, this is a finding.</t>
    </r>
  </si>
  <si>
    <t>V-266086</t>
  </si>
  <si>
    <r>
      <rPr>
        <sz val="11"/>
        <rFont val="Calibri"/>
      </rPr>
      <t>The F5 BIG-IP appliance must authenticate Network Time Protocol (NTP) sources using authentication that is cryptographically based.</t>
    </r>
  </si>
  <si>
    <r>
      <rPr>
        <sz val="11"/>
        <color rgb="FF000000"/>
        <rFont val="Calibri"/>
      </rPr>
      <t>From the BIG-IP console, type the following commands:</t>
    </r>
    <r>
      <rPr>
        <sz val="11"/>
        <color rgb="FF000000"/>
        <rFont val="Calibri"/>
      </rPr>
      <t xml:space="preserve">
</t>
    </r>
    <r>
      <rPr>
        <sz val="11"/>
        <color rgb="FF000000"/>
        <rFont val="Calibri"/>
      </rPr>
      <t>echo "1 M &lt;passphrase&gt; #MD5 Key" &gt; /etc/ntp/keys</t>
    </r>
    <r>
      <rPr>
        <sz val="11"/>
        <color rgb="FF000000"/>
        <rFont val="Calibri"/>
      </rPr>
      <t xml:space="preserve">
</t>
    </r>
    <r>
      <rPr>
        <sz val="11"/>
        <color rgb="FF000000"/>
        <rFont val="Calibri"/>
      </rPr>
      <t>Note: This command assumes that no other keys have been previously configured in the /etc/ntp/keys file. Running this command will overwrite the file.</t>
    </r>
    <r>
      <rPr>
        <sz val="11"/>
        <color rgb="FF000000"/>
        <rFont val="Calibri"/>
      </rPr>
      <t xml:space="preserve">
</t>
    </r>
    <r>
      <rPr>
        <sz val="11"/>
        <color rgb="FF000000"/>
        <rFont val="Calibri"/>
      </rPr>
      <t>#Make sure this key is installed on all the NTP servers and clients participating in the NTP time synchronization.</t>
    </r>
    <r>
      <rPr>
        <sz val="11"/>
        <color rgb="FF000000"/>
        <rFont val="Calibri"/>
      </rPr>
      <t xml:space="preserve">
</t>
    </r>
    <r>
      <rPr>
        <sz val="11"/>
        <color rgb="FF000000"/>
        <rFont val="Calibri"/>
      </rPr>
      <t>tmsh edit sys ntp all-properties</t>
    </r>
    <r>
      <rPr>
        <sz val="11"/>
        <color rgb="FF000000"/>
        <rFont val="Calibri"/>
      </rPr>
      <t xml:space="preserve">
</t>
    </r>
    <r>
      <rPr>
        <sz val="11"/>
        <color rgb="FF000000"/>
        <rFont val="Calibri"/>
      </rPr>
      <t>#Replace the "include" section with the following (add as many ntp server lines as necessary for the environment, but configure at least 2):</t>
    </r>
    <r>
      <rPr>
        <sz val="11"/>
        <color rgb="FF000000"/>
        <rFont val="Calibri"/>
      </rPr>
      <t xml:space="preserve">
</t>
    </r>
    <r>
      <rPr>
        <sz val="11"/>
        <color rgb="FF000000"/>
        <rFont val="Calibri"/>
      </rPr>
      <t>include "server &lt;ntp server&gt; key &lt;trusted key number matched to /etc/ntp/keys&gt; iburst trustedkey &lt;trusted key number matched to /etc/ntp/keys&gt;</t>
    </r>
    <r>
      <rPr>
        <sz val="11"/>
        <color rgb="FF000000"/>
        <rFont val="Calibri"/>
      </rPr>
      <t xml:space="preserve">
</t>
    </r>
    <r>
      <rPr>
        <sz val="11"/>
        <color rgb="FF000000"/>
        <rFont val="Calibri"/>
      </rPr>
      <t>server &lt;ntp server&gt; key &lt;trusted key number matched to /etc/ntp/keys&gt; iburst trustedkey &lt;trusted key number matched to /etc/ntp/keys&gt;"</t>
    </r>
    <r>
      <rPr>
        <sz val="11"/>
        <color rgb="FF000000"/>
        <rFont val="Calibri"/>
      </rPr>
      <t xml:space="preserve">
</t>
    </r>
    <r>
      <rPr>
        <sz val="11"/>
        <color rgb="FF000000"/>
        <rFont val="Calibri"/>
      </rPr>
      <t>tmsh save sys config</t>
    </r>
  </si>
  <si>
    <r>
      <rPr>
        <sz val="11"/>
        <color rgb="FF000000"/>
        <rFont val="Calibri"/>
      </rPr>
      <t>If NTP is not authenticated, an attacker can introduce a rogue NTP server. This rogue server can then be used to send incorrect time information to network devices, which will make log timestamps inaccurate and affect scheduled actions. NTP authentication is used to prevent this tampering by authenticating the time source.</t>
    </r>
  </si>
  <si>
    <r>
      <rPr>
        <sz val="11"/>
        <color rgb="FF000000"/>
        <rFont val="Calibri"/>
      </rPr>
      <t>From the BIG-IP Console:</t>
    </r>
    <r>
      <rPr>
        <sz val="11"/>
        <color rgb="FF000000"/>
        <rFont val="Calibri"/>
      </rPr>
      <t xml:space="preserve">
</t>
    </r>
    <r>
      <rPr>
        <sz val="11"/>
        <color rgb="FF000000"/>
        <rFont val="Calibri"/>
      </rPr>
      <t>cat /etc/ntp/keys</t>
    </r>
    <r>
      <rPr>
        <sz val="11"/>
        <color rgb="FF000000"/>
        <rFont val="Calibri"/>
      </rPr>
      <t xml:space="preserve">
</t>
    </r>
    <r>
      <rPr>
        <sz val="11"/>
        <color rgb="FF000000"/>
        <rFont val="Calibri"/>
      </rPr>
      <t>#Verify this key is installed on all the NTP servers and clients participating in the NTP time synchronization.</t>
    </r>
    <r>
      <rPr>
        <sz val="11"/>
        <color rgb="FF000000"/>
        <rFont val="Calibri"/>
      </rPr>
      <t xml:space="preserve">
</t>
    </r>
    <r>
      <rPr>
        <sz val="11"/>
        <color rgb="FF000000"/>
        <rFont val="Calibri"/>
      </rPr>
      <t>tmsh list sys ntp include</t>
    </r>
    <r>
      <rPr>
        <sz val="11"/>
        <color rgb="FF000000"/>
        <rFont val="Calibri"/>
      </rPr>
      <t xml:space="preserve">
</t>
    </r>
    <r>
      <rPr>
        <sz val="11"/>
        <color rgb="FF000000"/>
        <rFont val="Calibri"/>
      </rPr>
      <t>#Verify there is a line similar to the following:</t>
    </r>
    <r>
      <rPr>
        <sz val="11"/>
        <color rgb="FF000000"/>
        <rFont val="Calibri"/>
      </rPr>
      <t xml:space="preserve">
</t>
    </r>
    <r>
      <rPr>
        <sz val="11"/>
        <color rgb="FF000000"/>
        <rFont val="Calibri"/>
      </rPr>
      <t>#server &lt;ntp server&gt; key &lt;trusted key number matched to /etc/ntp/keys&gt; iburst trustedkey &lt;trusted key number matched to /etc/ntp/keys&gt;</t>
    </r>
    <r>
      <rPr>
        <sz val="11"/>
        <color rgb="FF000000"/>
        <rFont val="Calibri"/>
      </rPr>
      <t xml:space="preserve">
</t>
    </r>
    <r>
      <rPr>
        <sz val="11"/>
        <color rgb="FF000000"/>
        <rFont val="Calibri"/>
      </rPr>
      <t>If the BIG-IP appliance is not configured to authenticate Network Time Protocol sources using authentication that is cryptographically based, this is a finding.</t>
    </r>
  </si>
  <si>
    <t>V-266087</t>
  </si>
  <si>
    <r>
      <rPr>
        <sz val="11"/>
        <rFont val="Calibri"/>
      </rPr>
      <t>The F5 BIG-IP appliance must enforce a minimum 15-character password length.</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</si>
  <si>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Users.</t>
    </r>
    <r>
      <rPr>
        <sz val="11"/>
        <color rgb="FF000000"/>
        <rFont val="Calibri"/>
      </rPr>
      <t xml:space="preserve">
</t>
    </r>
    <r>
      <rPr>
        <sz val="11"/>
        <color rgb="FF000000"/>
        <rFont val="Calibri"/>
      </rPr>
      <t>3. Authentication.</t>
    </r>
    <r>
      <rPr>
        <sz val="11"/>
        <color rgb="FF000000"/>
        <rFont val="Calibri"/>
      </rPr>
      <t xml:space="preserve">
</t>
    </r>
    <r>
      <rPr>
        <sz val="11"/>
        <color rgb="FF000000"/>
        <rFont val="Calibri"/>
      </rPr>
      <t>4. Under "Password Policy" set "Secure Password Enforcement" to "Enabled".</t>
    </r>
    <r>
      <rPr>
        <sz val="11"/>
        <color rgb="FF000000"/>
        <rFont val="Calibri"/>
      </rPr>
      <t xml:space="preserve">
</t>
    </r>
    <r>
      <rPr>
        <sz val="11"/>
        <color rgb="FF000000"/>
        <rFont val="Calibri"/>
      </rPr>
      <t>5. Configure "Minimum Length" to 15.</t>
    </r>
    <r>
      <rPr>
        <sz val="11"/>
        <color rgb="FF000000"/>
        <rFont val="Calibri"/>
      </rPr>
      <t xml:space="preserve">
</t>
    </r>
    <r>
      <rPr>
        <sz val="11"/>
        <color rgb="FF000000"/>
        <rFont val="Calibri"/>
      </rPr>
      <t>6. Click "Update".</t>
    </r>
    <r>
      <rPr>
        <sz val="11"/>
        <color rgb="FF000000"/>
        <rFont val="Calibri"/>
      </rPr>
      <t xml:space="preserve">
</t>
    </r>
    <r>
      <rPr>
        <sz val="11"/>
        <color rgb="FF000000"/>
        <rFont val="Calibri"/>
      </rPr>
      <t>From the BIG-IP console, type the following command(s):</t>
    </r>
    <r>
      <rPr>
        <sz val="11"/>
        <color rgb="FF000000"/>
        <rFont val="Calibri"/>
      </rPr>
      <t xml:space="preserve">
</t>
    </r>
    <r>
      <rPr>
        <sz val="11"/>
        <color rgb="FF000000"/>
        <rFont val="Calibri"/>
      </rPr>
      <t>tmsh modify auth password-policy minimum-length 15</t>
    </r>
    <r>
      <rPr>
        <sz val="11"/>
        <color rgb="FF000000"/>
        <rFont val="Calibri"/>
      </rPr>
      <t xml:space="preserve">
</t>
    </r>
    <r>
      <rPr>
        <sz val="11"/>
        <color rgb="FF000000"/>
        <rFont val="Calibri"/>
      </rPr>
      <t>tmsh save sys config</t>
    </r>
  </si>
  <si>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t>
    </r>
    <r>
      <rPr>
        <sz val="11"/>
        <color rgb="FF000000"/>
        <rFont val="Calibri"/>
      </rPr>
      <t xml:space="preserve">
</t>
    </r>
    <r>
      <rPr>
        <sz val="11"/>
        <color rgb="FF000000"/>
        <rFont val="Calibri"/>
      </rPr>
      <t>The shorter the password, the lower the number of possible combinations that need to be tested before the password is compromised. Use of more characters in a password helps to exponentially increase the time and/or resources required to compromise the password.</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</si>
  <si>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Users.</t>
    </r>
    <r>
      <rPr>
        <sz val="11"/>
        <color rgb="FF000000"/>
        <rFont val="Calibri"/>
      </rPr>
      <t xml:space="preserve">
</t>
    </r>
    <r>
      <rPr>
        <sz val="11"/>
        <color rgb="FF000000"/>
        <rFont val="Calibri"/>
      </rPr>
      <t>3. Authentication.</t>
    </r>
    <r>
      <rPr>
        <sz val="11"/>
        <color rgb="FF000000"/>
        <rFont val="Calibri"/>
      </rPr>
      <t xml:space="preserve">
</t>
    </r>
    <r>
      <rPr>
        <sz val="11"/>
        <color rgb="FF000000"/>
        <rFont val="Calibri"/>
      </rPr>
      <t>4. Verify that "Secure Password Enforcement" is set to "Enabled".</t>
    </r>
    <r>
      <rPr>
        <sz val="11"/>
        <color rgb="FF000000"/>
        <rFont val="Calibri"/>
      </rPr>
      <t xml:space="preserve">
</t>
    </r>
    <r>
      <rPr>
        <sz val="11"/>
        <color rgb="FF000000"/>
        <rFont val="Calibri"/>
      </rPr>
      <t>5. Verify that "Minimum Length" is set to at least 15.</t>
    </r>
    <r>
      <rPr>
        <sz val="11"/>
        <color rgb="FF000000"/>
        <rFont val="Calibri"/>
      </rPr>
      <t xml:space="preserve">
</t>
    </r>
    <r>
      <rPr>
        <sz val="11"/>
        <color rgb="FF000000"/>
        <rFont val="Calibri"/>
      </rPr>
      <t>From the BIG-IP console, type the following command(s):</t>
    </r>
    <r>
      <rPr>
        <sz val="11"/>
        <color rgb="FF000000"/>
        <rFont val="Calibri"/>
      </rPr>
      <t xml:space="preserve">
</t>
    </r>
    <r>
      <rPr>
        <sz val="11"/>
        <color rgb="FF000000"/>
        <rFont val="Calibri"/>
      </rPr>
      <t>tmsh list auth password-policy minimum-length</t>
    </r>
    <r>
      <rPr>
        <sz val="11"/>
        <color rgb="FF000000"/>
        <rFont val="Calibri"/>
      </rPr>
      <t xml:space="preserve">
</t>
    </r>
    <r>
      <rPr>
        <sz val="11"/>
        <color rgb="FF000000"/>
        <rFont val="Calibri"/>
      </rPr>
      <t>Note: Verify the value is set to at least 15.</t>
    </r>
    <r>
      <rPr>
        <sz val="11"/>
        <color rgb="FF000000"/>
        <rFont val="Calibri"/>
      </rPr>
      <t xml:space="preserve">
</t>
    </r>
    <r>
      <rPr>
        <sz val="11"/>
        <color rgb="FF000000"/>
        <rFont val="Calibri"/>
      </rPr>
      <t>If the BIG-IP appliance is not configured to enforce a minimum 15-character password length, this is a finding.</t>
    </r>
  </si>
  <si>
    <t>V-266088</t>
  </si>
  <si>
    <r>
      <rPr>
        <sz val="11"/>
        <rFont val="Calibri"/>
      </rPr>
      <t>The F5 BIG-IP appliance must enforce password complexity by requiring that at least one uppercase character be used.</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</si>
  <si>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Users.</t>
    </r>
    <r>
      <rPr>
        <sz val="11"/>
        <color rgb="FF000000"/>
        <rFont val="Calibri"/>
      </rPr>
      <t xml:space="preserve">
</t>
    </r>
    <r>
      <rPr>
        <sz val="11"/>
        <color rgb="FF000000"/>
        <rFont val="Calibri"/>
      </rPr>
      <t>3. Authentication.</t>
    </r>
    <r>
      <rPr>
        <sz val="11"/>
        <color rgb="FF000000"/>
        <rFont val="Calibri"/>
      </rPr>
      <t xml:space="preserve">
</t>
    </r>
    <r>
      <rPr>
        <sz val="11"/>
        <color rgb="FF000000"/>
        <rFont val="Calibri"/>
      </rPr>
      <t>4. Under "Password Policy" set "Secure Password Enforcement" to "Enabled".</t>
    </r>
    <r>
      <rPr>
        <sz val="11"/>
        <color rgb="FF000000"/>
        <rFont val="Calibri"/>
      </rPr>
      <t xml:space="preserve">
</t>
    </r>
    <r>
      <rPr>
        <sz val="11"/>
        <color rgb="FF000000"/>
        <rFont val="Calibri"/>
      </rPr>
      <t>5. Under "Required Characters" set "Uppercase" to at least 1.</t>
    </r>
    <r>
      <rPr>
        <sz val="11"/>
        <color rgb="FF000000"/>
        <rFont val="Calibri"/>
      </rPr>
      <t xml:space="preserve">
</t>
    </r>
    <r>
      <rPr>
        <sz val="11"/>
        <color rgb="FF000000"/>
        <rFont val="Calibri"/>
      </rPr>
      <t>6. Click "Update".</t>
    </r>
    <r>
      <rPr>
        <sz val="11"/>
        <color rgb="FF000000"/>
        <rFont val="Calibri"/>
      </rPr>
      <t xml:space="preserve">
</t>
    </r>
    <r>
      <rPr>
        <sz val="11"/>
        <color rgb="FF000000"/>
        <rFont val="Calibri"/>
      </rPr>
      <t>From the BIG-IP console, type the following command(s):</t>
    </r>
    <r>
      <rPr>
        <sz val="11"/>
        <color rgb="FF000000"/>
        <rFont val="Calibri"/>
      </rPr>
      <t xml:space="preserve">
</t>
    </r>
    <r>
      <rPr>
        <sz val="11"/>
        <color rgb="FF000000"/>
        <rFont val="Calibri"/>
      </rPr>
      <t>tmsh modify auth password-policy required-uppercase 1</t>
    </r>
    <r>
      <rPr>
        <sz val="11"/>
        <color rgb="FF000000"/>
        <rFont val="Calibri"/>
      </rPr>
      <t xml:space="preserve">
</t>
    </r>
    <r>
      <rPr>
        <sz val="11"/>
        <color rgb="FF000000"/>
        <rFont val="Calibri"/>
      </rPr>
      <t>tmsh save sys config</t>
    </r>
  </si>
  <si>
    <r>
      <rPr>
        <sz val="11"/>
        <color rgb="FF000000"/>
        <rFont val="Calibri"/>
      </rPr>
      <t>Use of a complex passwords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need to be tested before the password is compromised.</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must only be used when MFA using PKI is not available, and for the account of last resort and root account.</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</si>
  <si>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Users.</t>
    </r>
    <r>
      <rPr>
        <sz val="11"/>
        <color rgb="FF000000"/>
        <rFont val="Calibri"/>
      </rPr>
      <t xml:space="preserve">
</t>
    </r>
    <r>
      <rPr>
        <sz val="11"/>
        <color rgb="FF000000"/>
        <rFont val="Calibri"/>
      </rPr>
      <t>3. Authentication.</t>
    </r>
    <r>
      <rPr>
        <sz val="11"/>
        <color rgb="FF000000"/>
        <rFont val="Calibri"/>
      </rPr>
      <t xml:space="preserve">
</t>
    </r>
    <r>
      <rPr>
        <sz val="11"/>
        <color rgb="FF000000"/>
        <rFont val="Calibri"/>
      </rPr>
      <t>4. Verify that "Secure Password Enforcement" is set to "Enabled".</t>
    </r>
    <r>
      <rPr>
        <sz val="11"/>
        <color rgb="FF000000"/>
        <rFont val="Calibri"/>
      </rPr>
      <t xml:space="preserve">
</t>
    </r>
    <r>
      <rPr>
        <sz val="11"/>
        <color rgb="FF000000"/>
        <rFont val="Calibri"/>
      </rPr>
      <t>5. Verify under "Required Characters" that "Uppercase" is set to at least 1.</t>
    </r>
    <r>
      <rPr>
        <sz val="11"/>
        <color rgb="FF000000"/>
        <rFont val="Calibri"/>
      </rPr>
      <t xml:space="preserve">
</t>
    </r>
    <r>
      <rPr>
        <sz val="11"/>
        <color rgb="FF000000"/>
        <rFont val="Calibri"/>
      </rPr>
      <t>From the BIG-IP console, type the following command(s):</t>
    </r>
    <r>
      <rPr>
        <sz val="11"/>
        <color rgb="FF000000"/>
        <rFont val="Calibri"/>
      </rPr>
      <t xml:space="preserve">
</t>
    </r>
    <r>
      <rPr>
        <sz val="11"/>
        <color rgb="FF000000"/>
        <rFont val="Calibri"/>
      </rPr>
      <t>tmsh list auth password-policy required-uppercase</t>
    </r>
    <r>
      <rPr>
        <sz val="11"/>
        <color rgb="FF000000"/>
        <rFont val="Calibri"/>
      </rPr>
      <t xml:space="preserve">
</t>
    </r>
    <r>
      <rPr>
        <sz val="11"/>
        <color rgb="FF000000"/>
        <rFont val="Calibri"/>
      </rPr>
      <t>Note: Verify the value is set to at least 1.</t>
    </r>
    <r>
      <rPr>
        <sz val="11"/>
        <color rgb="FF000000"/>
        <rFont val="Calibri"/>
      </rPr>
      <t xml:space="preserve">
</t>
    </r>
    <r>
      <rPr>
        <sz val="11"/>
        <color rgb="FF000000"/>
        <rFont val="Calibri"/>
      </rPr>
      <t>If the BIG-IP appliance is not configured to enforce password complexity by requiring that at least one uppercase character be used, this is a finding.</t>
    </r>
  </si>
  <si>
    <t>V-266089</t>
  </si>
  <si>
    <r>
      <rPr>
        <sz val="11"/>
        <rFont val="Calibri"/>
      </rPr>
      <t>The F5 BIG-IP appliance must enforce password complexity by requiring that at least one lowercase character be used.</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</si>
  <si>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Users.</t>
    </r>
    <r>
      <rPr>
        <sz val="11"/>
        <color rgb="FF000000"/>
        <rFont val="Calibri"/>
      </rPr>
      <t xml:space="preserve">
</t>
    </r>
    <r>
      <rPr>
        <sz val="11"/>
        <color rgb="FF000000"/>
        <rFont val="Calibri"/>
      </rPr>
      <t>3. Authentication.</t>
    </r>
    <r>
      <rPr>
        <sz val="11"/>
        <color rgb="FF000000"/>
        <rFont val="Calibri"/>
      </rPr>
      <t xml:space="preserve">
</t>
    </r>
    <r>
      <rPr>
        <sz val="11"/>
        <color rgb="FF000000"/>
        <rFont val="Calibri"/>
      </rPr>
      <t>4. Under "Password Policy" set "Secure Password Enforcement" to "Enabled".</t>
    </r>
    <r>
      <rPr>
        <sz val="11"/>
        <color rgb="FF000000"/>
        <rFont val="Calibri"/>
      </rPr>
      <t xml:space="preserve">
</t>
    </r>
    <r>
      <rPr>
        <sz val="11"/>
        <color rgb="FF000000"/>
        <rFont val="Calibri"/>
      </rPr>
      <t>5. Under "Required Characters" set "Lowercase" to at least 1.</t>
    </r>
    <r>
      <rPr>
        <sz val="11"/>
        <color rgb="FF000000"/>
        <rFont val="Calibri"/>
      </rPr>
      <t xml:space="preserve">
</t>
    </r>
    <r>
      <rPr>
        <sz val="11"/>
        <color rgb="FF000000"/>
        <rFont val="Calibri"/>
      </rPr>
      <t>6. Click "Update".</t>
    </r>
    <r>
      <rPr>
        <sz val="11"/>
        <color rgb="FF000000"/>
        <rFont val="Calibri"/>
      </rPr>
      <t xml:space="preserve">
</t>
    </r>
    <r>
      <rPr>
        <sz val="11"/>
        <color rgb="FF000000"/>
        <rFont val="Calibri"/>
      </rPr>
      <t>From the BIG-IP console, type the following commands:</t>
    </r>
    <r>
      <rPr>
        <sz val="11"/>
        <color rgb="FF000000"/>
        <rFont val="Calibri"/>
      </rPr>
      <t xml:space="preserve">
</t>
    </r>
    <r>
      <rPr>
        <sz val="11"/>
        <color rgb="FF000000"/>
        <rFont val="Calibri"/>
      </rPr>
      <t>tmsh modify auth password-policy required-lowercase 1</t>
    </r>
    <r>
      <rPr>
        <sz val="11"/>
        <color rgb="FF000000"/>
        <rFont val="Calibri"/>
      </rPr>
      <t xml:space="preserve">
</t>
    </r>
    <r>
      <rPr>
        <sz val="11"/>
        <color rgb="FF000000"/>
        <rFont val="Calibri"/>
      </rPr>
      <t>tmsh save sys config</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</si>
  <si>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must only be used when MFA using PKI is not available, and for the account of last resort and root account.</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</si>
  <si>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Users.</t>
    </r>
    <r>
      <rPr>
        <sz val="11"/>
        <color rgb="FF000000"/>
        <rFont val="Calibri"/>
      </rPr>
      <t xml:space="preserve">
</t>
    </r>
    <r>
      <rPr>
        <sz val="11"/>
        <color rgb="FF000000"/>
        <rFont val="Calibri"/>
      </rPr>
      <t>3. Authentication.</t>
    </r>
    <r>
      <rPr>
        <sz val="11"/>
        <color rgb="FF000000"/>
        <rFont val="Calibri"/>
      </rPr>
      <t xml:space="preserve">
</t>
    </r>
    <r>
      <rPr>
        <sz val="11"/>
        <color rgb="FF000000"/>
        <rFont val="Calibri"/>
      </rPr>
      <t>4. Verify that "Secure Password Enforcement" is set to "Enabled".</t>
    </r>
    <r>
      <rPr>
        <sz val="11"/>
        <color rgb="FF000000"/>
        <rFont val="Calibri"/>
      </rPr>
      <t xml:space="preserve">
</t>
    </r>
    <r>
      <rPr>
        <sz val="11"/>
        <color rgb="FF000000"/>
        <rFont val="Calibri"/>
      </rPr>
      <t>5. Verify under "Required Characters" that "Lowercase" is set to at least 1.</t>
    </r>
    <r>
      <rPr>
        <sz val="11"/>
        <color rgb="FF000000"/>
        <rFont val="Calibri"/>
      </rPr>
      <t xml:space="preserve">
</t>
    </r>
    <r>
      <rPr>
        <sz val="11"/>
        <color rgb="FF000000"/>
        <rFont val="Calibri"/>
      </rPr>
      <t>From the BIG-IP console, type the following command:</t>
    </r>
    <r>
      <rPr>
        <sz val="11"/>
        <color rgb="FF000000"/>
        <rFont val="Calibri"/>
      </rPr>
      <t xml:space="preserve">
</t>
    </r>
    <r>
      <rPr>
        <sz val="11"/>
        <color rgb="FF000000"/>
        <rFont val="Calibri"/>
      </rPr>
      <t>tmsh list auth password-policy required-lowercase</t>
    </r>
    <r>
      <rPr>
        <sz val="11"/>
        <color rgb="FF000000"/>
        <rFont val="Calibri"/>
      </rPr>
      <t xml:space="preserve">
</t>
    </r>
    <r>
      <rPr>
        <sz val="11"/>
        <color rgb="FF000000"/>
        <rFont val="Calibri"/>
      </rPr>
      <t>Note: Verify the value is set to at least 1.</t>
    </r>
    <r>
      <rPr>
        <sz val="11"/>
        <color rgb="FF000000"/>
        <rFont val="Calibri"/>
      </rPr>
      <t xml:space="preserve">
</t>
    </r>
    <r>
      <rPr>
        <sz val="11"/>
        <color rgb="FF000000"/>
        <rFont val="Calibri"/>
      </rPr>
      <t>If the BIG-IP appliance is not configured to enforce password complexity by requiring that at least one lowercase character be used, this is a finding.</t>
    </r>
  </si>
  <si>
    <t>V-266090</t>
  </si>
  <si>
    <r>
      <rPr>
        <sz val="11"/>
        <rFont val="Calibri"/>
      </rPr>
      <t>The F5 BIG-IP appliance must enforce password complexity by requiring that at least one numeric character be used.</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</si>
  <si>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Users.</t>
    </r>
    <r>
      <rPr>
        <sz val="11"/>
        <color rgb="FF000000"/>
        <rFont val="Calibri"/>
      </rPr>
      <t xml:space="preserve">
</t>
    </r>
    <r>
      <rPr>
        <sz val="11"/>
        <color rgb="FF000000"/>
        <rFont val="Calibri"/>
      </rPr>
      <t>3. Authentication.</t>
    </r>
    <r>
      <rPr>
        <sz val="11"/>
        <color rgb="FF000000"/>
        <rFont val="Calibri"/>
      </rPr>
      <t xml:space="preserve">
</t>
    </r>
    <r>
      <rPr>
        <sz val="11"/>
        <color rgb="FF000000"/>
        <rFont val="Calibri"/>
      </rPr>
      <t>4. Under "Password Policy" set "Secure Password Enforcement" to "Enabled".</t>
    </r>
    <r>
      <rPr>
        <sz val="11"/>
        <color rgb="FF000000"/>
        <rFont val="Calibri"/>
      </rPr>
      <t xml:space="preserve">
</t>
    </r>
    <r>
      <rPr>
        <sz val="11"/>
        <color rgb="FF000000"/>
        <rFont val="Calibri"/>
      </rPr>
      <t>5. Under "Required Characters" set "Numeric" to at least 1.</t>
    </r>
    <r>
      <rPr>
        <sz val="11"/>
        <color rgb="FF000000"/>
        <rFont val="Calibri"/>
      </rPr>
      <t xml:space="preserve">
</t>
    </r>
    <r>
      <rPr>
        <sz val="11"/>
        <color rgb="FF000000"/>
        <rFont val="Calibri"/>
      </rPr>
      <t>6. Click "Update".</t>
    </r>
    <r>
      <rPr>
        <sz val="11"/>
        <color rgb="FF000000"/>
        <rFont val="Calibri"/>
      </rPr>
      <t xml:space="preserve">
</t>
    </r>
    <r>
      <rPr>
        <sz val="11"/>
        <color rgb="FF000000"/>
        <rFont val="Calibri"/>
      </rPr>
      <t>From the BIG-IP console, type the following command:</t>
    </r>
    <r>
      <rPr>
        <sz val="11"/>
        <color rgb="FF000000"/>
        <rFont val="Calibri"/>
      </rPr>
      <t xml:space="preserve">
</t>
    </r>
    <r>
      <rPr>
        <sz val="11"/>
        <color rgb="FF000000"/>
        <rFont val="Calibri"/>
      </rPr>
      <t>tmsh modify auth password-policy required-numeric 1</t>
    </r>
    <r>
      <rPr>
        <sz val="11"/>
        <color rgb="FF000000"/>
        <rFont val="Calibri"/>
      </rPr>
      <t xml:space="preserve">
</t>
    </r>
    <r>
      <rPr>
        <sz val="11"/>
        <color rgb="FF000000"/>
        <rFont val="Calibri"/>
      </rPr>
      <t>tmsh save sys config</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</si>
  <si>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Users.</t>
    </r>
    <r>
      <rPr>
        <sz val="11"/>
        <color rgb="FF000000"/>
        <rFont val="Calibri"/>
      </rPr>
      <t xml:space="preserve">
</t>
    </r>
    <r>
      <rPr>
        <sz val="11"/>
        <color rgb="FF000000"/>
        <rFont val="Calibri"/>
      </rPr>
      <t>3. Authentication.</t>
    </r>
    <r>
      <rPr>
        <sz val="11"/>
        <color rgb="FF000000"/>
        <rFont val="Calibri"/>
      </rPr>
      <t xml:space="preserve">
</t>
    </r>
    <r>
      <rPr>
        <sz val="11"/>
        <color rgb="FF000000"/>
        <rFont val="Calibri"/>
      </rPr>
      <t>4. Verify that "Secure Password Enforcement" is set to "Enabled".</t>
    </r>
    <r>
      <rPr>
        <sz val="11"/>
        <color rgb="FF000000"/>
        <rFont val="Calibri"/>
      </rPr>
      <t xml:space="preserve">
</t>
    </r>
    <r>
      <rPr>
        <sz val="11"/>
        <color rgb="FF000000"/>
        <rFont val="Calibri"/>
      </rPr>
      <t>5. Verify under "Required Characters" that "Numeric" is set to at least 1.</t>
    </r>
    <r>
      <rPr>
        <sz val="11"/>
        <color rgb="FF000000"/>
        <rFont val="Calibri"/>
      </rPr>
      <t xml:space="preserve">
</t>
    </r>
    <r>
      <rPr>
        <sz val="11"/>
        <color rgb="FF000000"/>
        <rFont val="Calibri"/>
      </rPr>
      <t>From the BIG-IP console, type the following command:</t>
    </r>
    <r>
      <rPr>
        <sz val="11"/>
        <color rgb="FF000000"/>
        <rFont val="Calibri"/>
      </rPr>
      <t xml:space="preserve">
</t>
    </r>
    <r>
      <rPr>
        <sz val="11"/>
        <color rgb="FF000000"/>
        <rFont val="Calibri"/>
      </rPr>
      <t>tmsh list auth password-policy required-numeric</t>
    </r>
    <r>
      <rPr>
        <sz val="11"/>
        <color rgb="FF000000"/>
        <rFont val="Calibri"/>
      </rPr>
      <t xml:space="preserve">
</t>
    </r>
    <r>
      <rPr>
        <sz val="11"/>
        <color rgb="FF000000"/>
        <rFont val="Calibri"/>
      </rPr>
      <t>Note: Verify the value is set to at least 1.</t>
    </r>
    <r>
      <rPr>
        <sz val="11"/>
        <color rgb="FF000000"/>
        <rFont val="Calibri"/>
      </rPr>
      <t xml:space="preserve">
</t>
    </r>
    <r>
      <rPr>
        <sz val="11"/>
        <color rgb="FF000000"/>
        <rFont val="Calibri"/>
      </rPr>
      <t>If the BIG-IP appliance is not configured to enforce password complexity by requiring that at least one numeric character be used, this is a finding.</t>
    </r>
  </si>
  <si>
    <t>V-266091</t>
  </si>
  <si>
    <r>
      <rPr>
        <sz val="11"/>
        <rFont val="Calibri"/>
      </rPr>
      <t>The F5 BIG-IP appliance must enforce password complexity by requiring that at least one special character be used.</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</si>
  <si>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Users.</t>
    </r>
    <r>
      <rPr>
        <sz val="11"/>
        <color rgb="FF000000"/>
        <rFont val="Calibri"/>
      </rPr>
      <t xml:space="preserve">
</t>
    </r>
    <r>
      <rPr>
        <sz val="11"/>
        <color rgb="FF000000"/>
        <rFont val="Calibri"/>
      </rPr>
      <t>3. Authentication.</t>
    </r>
    <r>
      <rPr>
        <sz val="11"/>
        <color rgb="FF000000"/>
        <rFont val="Calibri"/>
      </rPr>
      <t xml:space="preserve">
</t>
    </r>
    <r>
      <rPr>
        <sz val="11"/>
        <color rgb="FF000000"/>
        <rFont val="Calibri"/>
      </rPr>
      <t>4. Under "Password Policy" set "Secure Password Enforcement" to "Enabled".</t>
    </r>
    <r>
      <rPr>
        <sz val="11"/>
        <color rgb="FF000000"/>
        <rFont val="Calibri"/>
      </rPr>
      <t xml:space="preserve">
</t>
    </r>
    <r>
      <rPr>
        <sz val="11"/>
        <color rgb="FF000000"/>
        <rFont val="Calibri"/>
      </rPr>
      <t>5. Under "Required Characters" set "Other" to at least 1.</t>
    </r>
    <r>
      <rPr>
        <sz val="11"/>
        <color rgb="FF000000"/>
        <rFont val="Calibri"/>
      </rPr>
      <t xml:space="preserve">
</t>
    </r>
    <r>
      <rPr>
        <sz val="11"/>
        <color rgb="FF000000"/>
        <rFont val="Calibri"/>
      </rPr>
      <t>6. Click "Update".</t>
    </r>
    <r>
      <rPr>
        <sz val="11"/>
        <color rgb="FF000000"/>
        <rFont val="Calibri"/>
      </rPr>
      <t xml:space="preserve">
</t>
    </r>
    <r>
      <rPr>
        <sz val="11"/>
        <color rgb="FF000000"/>
        <rFont val="Calibri"/>
      </rPr>
      <t>From the BIG-IP console, type the following command:</t>
    </r>
    <r>
      <rPr>
        <sz val="11"/>
        <color rgb="FF000000"/>
        <rFont val="Calibri"/>
      </rPr>
      <t xml:space="preserve">
</t>
    </r>
    <r>
      <rPr>
        <sz val="11"/>
        <color rgb="FF000000"/>
        <rFont val="Calibri"/>
      </rPr>
      <t>tmsh modify auth password-policy required-special 1</t>
    </r>
    <r>
      <rPr>
        <sz val="11"/>
        <color rgb="FF000000"/>
        <rFont val="Calibri"/>
      </rPr>
      <t xml:space="preserve">
</t>
    </r>
    <r>
      <rPr>
        <sz val="11"/>
        <color rgb="FF000000"/>
        <rFont val="Calibri"/>
      </rPr>
      <t>tmsh save sys config</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</si>
  <si>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Users.</t>
    </r>
    <r>
      <rPr>
        <sz val="11"/>
        <color rgb="FF000000"/>
        <rFont val="Calibri"/>
      </rPr>
      <t xml:space="preserve">
</t>
    </r>
    <r>
      <rPr>
        <sz val="11"/>
        <color rgb="FF000000"/>
        <rFont val="Calibri"/>
      </rPr>
      <t>3. Authentication.</t>
    </r>
    <r>
      <rPr>
        <sz val="11"/>
        <color rgb="FF000000"/>
        <rFont val="Calibri"/>
      </rPr>
      <t xml:space="preserve">
</t>
    </r>
    <r>
      <rPr>
        <sz val="11"/>
        <color rgb="FF000000"/>
        <rFont val="Calibri"/>
      </rPr>
      <t>4. Verify that "Secure Password Enforcement" is set to "Enabled".</t>
    </r>
    <r>
      <rPr>
        <sz val="11"/>
        <color rgb="FF000000"/>
        <rFont val="Calibri"/>
      </rPr>
      <t xml:space="preserve">
</t>
    </r>
    <r>
      <rPr>
        <sz val="11"/>
        <color rgb="FF000000"/>
        <rFont val="Calibri"/>
      </rPr>
      <t>5. Verify under "Required Characters" that "Other" is set to at least 1.</t>
    </r>
    <r>
      <rPr>
        <sz val="11"/>
        <color rgb="FF000000"/>
        <rFont val="Calibri"/>
      </rPr>
      <t xml:space="preserve">
</t>
    </r>
    <r>
      <rPr>
        <sz val="11"/>
        <color rgb="FF000000"/>
        <rFont val="Calibri"/>
      </rPr>
      <t>From the BIG-IP console, type the following command:</t>
    </r>
    <r>
      <rPr>
        <sz val="11"/>
        <color rgb="FF000000"/>
        <rFont val="Calibri"/>
      </rPr>
      <t xml:space="preserve">
</t>
    </r>
    <r>
      <rPr>
        <sz val="11"/>
        <color rgb="FF000000"/>
        <rFont val="Calibri"/>
      </rPr>
      <t>tmsh list auth password-policy required-special</t>
    </r>
    <r>
      <rPr>
        <sz val="11"/>
        <color rgb="FF000000"/>
        <rFont val="Calibri"/>
      </rPr>
      <t xml:space="preserve">
</t>
    </r>
    <r>
      <rPr>
        <sz val="11"/>
        <color rgb="FF000000"/>
        <rFont val="Calibri"/>
      </rPr>
      <t>Note: Verify the value is set to at least 1.</t>
    </r>
    <r>
      <rPr>
        <sz val="11"/>
        <color rgb="FF000000"/>
        <rFont val="Calibri"/>
      </rPr>
      <t xml:space="preserve">
</t>
    </r>
    <r>
      <rPr>
        <sz val="11"/>
        <color rgb="FF000000"/>
        <rFont val="Calibri"/>
      </rPr>
      <t>If the BIG-IP appliance is not configured to enforce password complexity by requiring that at least one special character be used, this is a finding.</t>
    </r>
  </si>
  <si>
    <t>V-266092</t>
  </si>
  <si>
    <r>
      <rPr>
        <sz val="11"/>
        <rFont val="Calibri"/>
      </rPr>
      <t>The F5 BIG-IP appliance must require that when a password is changed, the characters are changed in at least eight of the positions within the password.</t>
    </r>
  </si>
  <si>
    <r>
      <rPr>
        <sz val="11"/>
        <color rgb="FF000000"/>
        <rFont val="Calibri"/>
      </rPr>
      <t>If this setting has been changed from the default value of 8, reset the value.</t>
    </r>
    <r>
      <rPr>
        <sz val="11"/>
        <color rgb="FF000000"/>
        <rFont val="Calibri"/>
      </rPr>
      <t xml:space="preserve">
</t>
    </r>
    <r>
      <rPr>
        <sz val="11"/>
        <color rgb="FF000000"/>
        <rFont val="Calibri"/>
      </rPr>
      <t>From the BIG-IP console, type the following command:</t>
    </r>
    <r>
      <rPr>
        <sz val="11"/>
        <color rgb="FF000000"/>
        <rFont val="Calibri"/>
      </rPr>
      <t xml:space="preserve">
</t>
    </r>
    <r>
      <rPr>
        <sz val="11"/>
        <color rgb="FF000000"/>
        <rFont val="Calibri"/>
      </rPr>
      <t>tmsh modify sys db password.difok value 8</t>
    </r>
    <r>
      <rPr>
        <sz val="11"/>
        <color rgb="FF000000"/>
        <rFont val="Calibri"/>
      </rPr>
      <t xml:space="preserve">
</t>
    </r>
    <r>
      <rPr>
        <sz val="11"/>
        <color rgb="FF000000"/>
        <rFont val="Calibri"/>
      </rPr>
      <t>tmsh save sys config</t>
    </r>
  </si>
  <si>
    <r>
      <rPr>
        <sz val="11"/>
        <color rgb="FF000000"/>
        <rFont val="Calibri"/>
      </rPr>
      <t>If the application allows the user to consecutively reuse extensive portions of passwords, this increases the chances of password compromise by increasing the window of opportunity for attempts at guessing and brute-force attacks.</t>
    </r>
    <r>
      <rPr>
        <sz val="11"/>
        <color rgb="FF000000"/>
        <rFont val="Calibri"/>
      </rPr>
      <t xml:space="preserve">
</t>
    </r>
    <r>
      <rPr>
        <sz val="11"/>
        <color rgb="FF000000"/>
        <rFont val="Calibri"/>
      </rPr>
      <t>The number of changed characters refers to the number of changes required with respect to the total number of positions in the current password. In other words, characters may be the same within the two passwords; however, the positions of the like characters must be different.</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must only be used when MFA using PKI is not available, and for the account of last resort and root account.</t>
    </r>
  </si>
  <si>
    <r>
      <rPr>
        <sz val="11"/>
        <color rgb="FF000000"/>
        <rFont val="Calibri"/>
      </rPr>
      <t>From the BIG-IP console, type the following command:</t>
    </r>
    <r>
      <rPr>
        <sz val="11"/>
        <color rgb="FF000000"/>
        <rFont val="Calibri"/>
      </rPr>
      <t xml:space="preserve">
</t>
    </r>
    <r>
      <rPr>
        <sz val="11"/>
        <color rgb="FF000000"/>
        <rFont val="Calibri"/>
      </rPr>
      <t>tmsh list sys db password.difok</t>
    </r>
    <r>
      <rPr>
        <sz val="11"/>
        <color rgb="FF000000"/>
        <rFont val="Calibri"/>
      </rPr>
      <t xml:space="preserve">
</t>
    </r>
    <r>
      <rPr>
        <sz val="11"/>
        <color rgb="FF000000"/>
        <rFont val="Calibri"/>
      </rPr>
      <t>Note: Verify the value is set to at least 8.</t>
    </r>
    <r>
      <rPr>
        <sz val="11"/>
        <color rgb="FF000000"/>
        <rFont val="Calibri"/>
      </rPr>
      <t xml:space="preserve">
</t>
    </r>
    <r>
      <rPr>
        <sz val="11"/>
        <color rgb="FF000000"/>
        <rFont val="Calibri"/>
      </rPr>
      <t>If the BIG-IP appliance is not configured to require that when a password is changed, the characters are changed in at least eight of the positions within the password, this is a finding.</t>
    </r>
  </si>
  <si>
    <t>V-266093</t>
  </si>
  <si>
    <r>
      <rPr>
        <sz val="11"/>
        <rFont val="Calibri"/>
      </rPr>
      <t>The F5 BIG-IP appliance must prohibit the use of cached authenticators after eight hours or less.</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</si>
  <si>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Users.</t>
    </r>
    <r>
      <rPr>
        <sz val="11"/>
        <color rgb="FF000000"/>
        <rFont val="Calibri"/>
      </rPr>
      <t xml:space="preserve">
</t>
    </r>
    <r>
      <rPr>
        <sz val="11"/>
        <color rgb="FF000000"/>
        <rFont val="Calibri"/>
      </rPr>
      <t>3. Authentication.</t>
    </r>
    <r>
      <rPr>
        <sz val="11"/>
        <color rgb="FF000000"/>
        <rFont val="Calibri"/>
      </rPr>
      <t xml:space="preserve">
</t>
    </r>
    <r>
      <rPr>
        <sz val="11"/>
        <color rgb="FF000000"/>
        <rFont val="Calibri"/>
      </rPr>
      <t>4. If ClientCert LDAP is used as the remote authentication type, configure "OCSP Response Max Age" for an organization-defined time period.</t>
    </r>
    <r>
      <rPr>
        <sz val="11"/>
        <color rgb="FF000000"/>
        <rFont val="Calibri"/>
      </rPr>
      <t xml:space="preserve">
</t>
    </r>
    <r>
      <rPr>
        <sz val="11"/>
        <color rgb="FF000000"/>
        <rFont val="Calibri"/>
      </rPr>
      <t>Note: The OCSP Override option must be set to "on" to view the OCSP Response Max Age value.</t>
    </r>
  </si>
  <si>
    <r>
      <rPr>
        <sz val="11"/>
        <color rgb="FF000000"/>
        <rFont val="Calibri"/>
      </rPr>
      <t>Some authentication implementations can be configured to use cached authenticators.</t>
    </r>
    <r>
      <rPr>
        <sz val="11"/>
        <color rgb="FF000000"/>
        <rFont val="Calibri"/>
      </rPr>
      <t xml:space="preserve">
</t>
    </r>
    <r>
      <rPr>
        <sz val="11"/>
        <color rgb="FF000000"/>
        <rFont val="Calibri"/>
      </rPr>
      <t>If cached authentication information is out-of-date, the validity of the authentication information may be questionable.</t>
    </r>
    <r>
      <rPr>
        <sz val="11"/>
        <color rgb="FF000000"/>
        <rFont val="Calibri"/>
      </rPr>
      <t xml:space="preserve">
</t>
    </r>
    <r>
      <rPr>
        <sz val="11"/>
        <color rgb="FF000000"/>
        <rFont val="Calibri"/>
      </rPr>
      <t>The organization-defined time period must be established for each device depending on the nature of the device; for example, a device with just a few administrators in a facility with spotty network connectivity may merit a longer caching time period than a device with many administrators.</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</si>
  <si>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Users.</t>
    </r>
    <r>
      <rPr>
        <sz val="11"/>
        <color rgb="FF000000"/>
        <rFont val="Calibri"/>
      </rPr>
      <t xml:space="preserve">
</t>
    </r>
    <r>
      <rPr>
        <sz val="11"/>
        <color rgb="FF000000"/>
        <rFont val="Calibri"/>
      </rPr>
      <t>3. Authentication.</t>
    </r>
    <r>
      <rPr>
        <sz val="11"/>
        <color rgb="FF000000"/>
        <rFont val="Calibri"/>
      </rPr>
      <t xml:space="preserve">
</t>
    </r>
    <r>
      <rPr>
        <sz val="11"/>
        <color rgb="FF000000"/>
        <rFont val="Calibri"/>
      </rPr>
      <t>4. If "User Directory" is configured for "Remote - ClientCert LDAP", verify "OCSP Response Max Age" is configured for an organization-defined time period.</t>
    </r>
    <r>
      <rPr>
        <sz val="11"/>
        <color rgb="FF000000"/>
        <rFont val="Calibri"/>
      </rPr>
      <t xml:space="preserve">
</t>
    </r>
    <r>
      <rPr>
        <sz val="11"/>
        <color rgb="FF000000"/>
        <rFont val="Calibri"/>
      </rPr>
      <t>Note: The OCSP Override option must be set to "on" to view the OCSP Response Max Age value.</t>
    </r>
    <r>
      <rPr>
        <sz val="11"/>
        <color rgb="FF000000"/>
        <rFont val="Calibri"/>
      </rPr>
      <t xml:space="preserve">
</t>
    </r>
    <r>
      <rPr>
        <sz val="11"/>
        <color rgb="FF000000"/>
        <rFont val="Calibri"/>
      </rPr>
      <t>If the BIG-IP appliance is not configured to prohibit the use of cached authenticators after an organization-defined time period, this is a finding.</t>
    </r>
  </si>
  <si>
    <t>V-266094</t>
  </si>
  <si>
    <r>
      <rPr>
        <sz val="11"/>
        <rFont val="Calibri"/>
      </rPr>
      <t>The F5 BIG-IP appliance must be configured to use DOD approved OCSP responders or CRLs to validate certificates used for PKI-based authentication.</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</si>
  <si>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Users.</t>
    </r>
    <r>
      <rPr>
        <sz val="11"/>
        <color rgb="FF000000"/>
        <rFont val="Calibri"/>
      </rPr>
      <t xml:space="preserve">
</t>
    </r>
    <r>
      <rPr>
        <sz val="11"/>
        <color rgb="FF000000"/>
        <rFont val="Calibri"/>
      </rPr>
      <t>3. Authentication.</t>
    </r>
    <r>
      <rPr>
        <sz val="11"/>
        <color rgb="FF000000"/>
        <rFont val="Calibri"/>
      </rPr>
      <t xml:space="preserve">
</t>
    </r>
    <r>
      <rPr>
        <sz val="11"/>
        <color rgb="FF000000"/>
        <rFont val="Calibri"/>
      </rPr>
      <t>4. If ClientCert LDAP is used as the remote authentication type, click "Change".</t>
    </r>
    <r>
      <rPr>
        <sz val="11"/>
        <color rgb="FF000000"/>
        <rFont val="Calibri"/>
      </rPr>
      <t xml:space="preserve">
</t>
    </r>
    <r>
      <rPr>
        <sz val="11"/>
        <color rgb="FF000000"/>
        <rFont val="Calibri"/>
      </rPr>
      <t>6. Set "OCSP Responder" IP address to one that is DOD approved.</t>
    </r>
    <r>
      <rPr>
        <sz val="11"/>
        <color rgb="FF000000"/>
        <rFont val="Calibri"/>
      </rPr>
      <t xml:space="preserve">
</t>
    </r>
    <r>
      <rPr>
        <sz val="11"/>
        <color rgb="FF000000"/>
        <rFont val="Calibri"/>
      </rPr>
      <t>Note: The OCSP Override option must be set to "on" to view the OCSP Responder value.</t>
    </r>
    <r>
      <rPr>
        <sz val="11"/>
        <color rgb="FF000000"/>
        <rFont val="Calibri"/>
      </rPr>
      <t xml:space="preserve">
</t>
    </r>
    <r>
      <rPr>
        <sz val="11"/>
        <color rgb="FF000000"/>
        <rFont val="Calibri"/>
      </rPr>
      <t>7. Click "Finish".</t>
    </r>
  </si>
  <si>
    <r>
      <rPr>
        <sz val="11"/>
        <color rgb="FF000000"/>
        <rFont val="Calibri"/>
      </rPr>
      <t>Once issued by a DOD certificate authority (CA), public key infrastructure (PKI) certificates are typically valid for three years or shorter within the DOD. However, there are many reasons a certificate may become invalid before the prescribed expiration date. For example, an employee may leave or be terminated and still possess the smartcard on which the PKI certificates were stored. Another example is that a smartcard containing PKI certificates may become lost or stolen. A more serious issue could be that the CA or server which issued the PKI certificates has become compromised, thereby jeopardizing every certificate keypair that was issued by the CA. These examples of revocation use cases and many more can be researched further using internet cybersecurity resources.</t>
    </r>
    <r>
      <rPr>
        <sz val="11"/>
        <color rgb="FF000000"/>
        <rFont val="Calibri"/>
      </rPr>
      <t xml:space="preserve">
</t>
    </r>
    <r>
      <rPr>
        <sz val="11"/>
        <color rgb="FF000000"/>
        <rFont val="Calibri"/>
      </rPr>
      <t>PKI user certificates presented as part of the identification and authentication criteria (e.g., DOD PKI as multifactor authentication [MFA]) must be checked for validity by network devices. For example, valid PKI certificates are digitally signed by a trusted DOD certificate authority (CA). Additionally, valid PKI certificates are not expired, and valid certificates have not been revoked by a DOD CA.</t>
    </r>
    <r>
      <rPr>
        <sz val="11"/>
        <color rgb="FF000000"/>
        <rFont val="Calibri"/>
      </rPr>
      <t xml:space="preserve">
</t>
    </r>
    <r>
      <rPr>
        <sz val="11"/>
        <color rgb="FF000000"/>
        <rFont val="Calibri"/>
      </rPr>
      <t>Network devices can verify the validity of PKI certificates by checking with an authoritative CA. One method of checking the status of PKI certificates is to query databases referred to as certificate revocation lists (CRL). These are lists which are published, updated, and maintained by authoritative DOD CAs. For example, once certificates are expired or revoked, issuing CAs place the certificates on a CRL. Organizations can download these lists periodically (i.e., daily or weekly) and store them locally on the devices themselves or even onto another nearby local enclave resource. Storing them locally ensures revocation status can be checked even if internet connectivity is severed at the enclave’s point of presence (PoP). However, CRLs can be rather large in storage size and further, the use of CRLs can be rather taxing on some computing resources.</t>
    </r>
    <r>
      <rPr>
        <sz val="11"/>
        <color rgb="FF000000"/>
        <rFont val="Calibri"/>
      </rPr>
      <t xml:space="preserve">
</t>
    </r>
    <r>
      <rPr>
        <sz val="11"/>
        <color rgb="FF000000"/>
        <rFont val="Calibri"/>
      </rPr>
      <t>Another method of validating certificate status is to use the online certificate status protocol (OCSP). Using OCSP, a requestor (i.e., the network device which the user is trying to authenticate to) sends a request to an authoritative CA challenging the validity of a certificate that has been presented for identification and authentication. The CA receives the request and sends a digitally signed response indicating the status of the user’s certificate as valid, revoked, or unknown. Network devices must only allow access for responses that indicate the certificates presented by the user were considered valid by an approved DOD CA. OCSP is the preferred method because it is fast, provides the most current status, and is lightweight.</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</si>
  <si>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Users.</t>
    </r>
    <r>
      <rPr>
        <sz val="11"/>
        <color rgb="FF000000"/>
        <rFont val="Calibri"/>
      </rPr>
      <t xml:space="preserve">
</t>
    </r>
    <r>
      <rPr>
        <sz val="11"/>
        <color rgb="FF000000"/>
        <rFont val="Calibri"/>
      </rPr>
      <t>3. Authentication.</t>
    </r>
    <r>
      <rPr>
        <sz val="11"/>
        <color rgb="FF000000"/>
        <rFont val="Calibri"/>
      </rPr>
      <t xml:space="preserve">
</t>
    </r>
    <r>
      <rPr>
        <sz val="11"/>
        <color rgb="FF000000"/>
        <rFont val="Calibri"/>
      </rPr>
      <t>4. If "User Directory" is configured for "Remote - ClientCert LDAP", verify the "OCSP Responder" configured is DOD approved</t>
    </r>
    <r>
      <rPr>
        <sz val="11"/>
        <color rgb="FF000000"/>
        <rFont val="Calibri"/>
      </rPr>
      <t xml:space="preserve">
</t>
    </r>
    <r>
      <rPr>
        <sz val="11"/>
        <color rgb="FF000000"/>
        <rFont val="Calibri"/>
      </rPr>
      <t>Note: The OCSP Override option must be set to "on" to view the OCSP Responder value.</t>
    </r>
    <r>
      <rPr>
        <sz val="11"/>
        <color rgb="FF000000"/>
        <rFont val="Calibri"/>
      </rPr>
      <t xml:space="preserve">
</t>
    </r>
    <r>
      <rPr>
        <sz val="11"/>
        <color rgb="FF000000"/>
        <rFont val="Calibri"/>
      </rPr>
      <t>If the BIG-IP appliance is not configured to use DOD-approved OCSP responders or CRLs to validate certificates used for PKI-based authentication, this is a finding.</t>
    </r>
  </si>
  <si>
    <t>V-266095</t>
  </si>
  <si>
    <r>
      <rPr>
        <sz val="11"/>
        <rFont val="Calibri"/>
      </rPr>
      <t>The F5 BIG-IP appliance must set the idle time before automatic logout to five minutes of inactivity except to fulfill documented and validated mission requirements.</t>
    </r>
  </si>
  <si>
    <r>
      <rPr>
        <sz val="11"/>
        <color rgb="FF000000"/>
        <rFont val="Calibri"/>
      </rPr>
      <t>From the BIG-IP GUI:</t>
    </r>
    <r>
      <rPr>
        <sz val="11"/>
        <color rgb="FF000000"/>
        <rFont val="Calibri"/>
      </rPr>
      <t xml:space="preserve">
</t>
    </r>
    <r>
      <rPr>
        <sz val="11"/>
        <color rgb="FF000000"/>
        <rFont val="Calibri"/>
      </rPr>
      <t>HTTPD/TMSH:</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Preferences.</t>
    </r>
    <r>
      <rPr>
        <sz val="11"/>
        <color rgb="FF000000"/>
        <rFont val="Calibri"/>
      </rPr>
      <t xml:space="preserve">
</t>
    </r>
    <r>
      <rPr>
        <sz val="11"/>
        <color rgb="FF000000"/>
        <rFont val="Calibri"/>
      </rPr>
      <t>3. Under Security Settings configure "Idle Time Before Automatic Logout" to 300 seconds.</t>
    </r>
    <r>
      <rPr>
        <sz val="11"/>
        <color rgb="FF000000"/>
        <rFont val="Calibri"/>
      </rPr>
      <t xml:space="preserve">
</t>
    </r>
    <r>
      <rPr>
        <sz val="11"/>
        <color rgb="FF000000"/>
        <rFont val="Calibri"/>
      </rPr>
      <t>4. Click "Update".</t>
    </r>
    <r>
      <rPr>
        <sz val="11"/>
        <color rgb="FF000000"/>
        <rFont val="Calibri"/>
      </rPr>
      <t xml:space="preserve">
</t>
    </r>
    <r>
      <rPr>
        <sz val="11"/>
        <color rgb="FF000000"/>
        <rFont val="Calibri"/>
      </rPr>
      <t>SSHD:</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Configuration.</t>
    </r>
    <r>
      <rPr>
        <sz val="11"/>
        <color rgb="FF000000"/>
        <rFont val="Calibri"/>
      </rPr>
      <t xml:space="preserve">
</t>
    </r>
    <r>
      <rPr>
        <sz val="11"/>
        <color rgb="FF000000"/>
        <rFont val="Calibri"/>
      </rPr>
      <t>3. Device.</t>
    </r>
    <r>
      <rPr>
        <sz val="11"/>
        <color rgb="FF000000"/>
        <rFont val="Calibri"/>
      </rPr>
      <t xml:space="preserve">
</t>
    </r>
    <r>
      <rPr>
        <sz val="11"/>
        <color rgb="FF000000"/>
        <rFont val="Calibri"/>
      </rPr>
      <t>4. SSHD.</t>
    </r>
    <r>
      <rPr>
        <sz val="11"/>
        <color rgb="FF000000"/>
        <rFont val="Calibri"/>
      </rPr>
      <t xml:space="preserve">
</t>
    </r>
    <r>
      <rPr>
        <sz val="11"/>
        <color rgb="FF000000"/>
        <rFont val="Calibri"/>
      </rPr>
      <t>5. Configure "Idle Time Before Automatic Logout" to 300 seconds.</t>
    </r>
    <r>
      <rPr>
        <sz val="11"/>
        <color rgb="FF000000"/>
        <rFont val="Calibri"/>
      </rPr>
      <t xml:space="preserve">
</t>
    </r>
    <r>
      <rPr>
        <sz val="11"/>
        <color rgb="FF000000"/>
        <rFont val="Calibri"/>
      </rPr>
      <t>6. Click "Update".</t>
    </r>
    <r>
      <rPr>
        <sz val="11"/>
        <color rgb="FF000000"/>
        <rFont val="Calibri"/>
      </rPr>
      <t xml:space="preserve">
</t>
    </r>
    <r>
      <rPr>
        <sz val="11"/>
        <color rgb="FF000000"/>
        <rFont val="Calibri"/>
      </rPr>
      <t>From the BIG-IP Console, issue the following commands:</t>
    </r>
    <r>
      <rPr>
        <sz val="11"/>
        <color rgb="FF000000"/>
        <rFont val="Calibri"/>
      </rPr>
      <t xml:space="preserve">
</t>
    </r>
    <r>
      <rPr>
        <sz val="11"/>
        <color rgb="FF000000"/>
        <rFont val="Calibri"/>
      </rPr>
      <t>HTTPD/TMSH:</t>
    </r>
    <r>
      <rPr>
        <sz val="11"/>
        <color rgb="FF000000"/>
        <rFont val="Calibri"/>
      </rPr>
      <t xml:space="preserve">
</t>
    </r>
    <r>
      <rPr>
        <sz val="11"/>
        <color rgb="FF000000"/>
        <rFont val="Calibri"/>
      </rPr>
      <t>tmsh modify sys httpd auth-pam-idle-timeout 300</t>
    </r>
    <r>
      <rPr>
        <sz val="11"/>
        <color rgb="FF000000"/>
        <rFont val="Calibri"/>
      </rPr>
      <t xml:space="preserve">
</t>
    </r>
    <r>
      <rPr>
        <sz val="11"/>
        <color rgb="FF000000"/>
        <rFont val="Calibri"/>
      </rPr>
      <t>tmsh modify sys httpd auth-pam-dashboard-timeout on</t>
    </r>
    <r>
      <rPr>
        <sz val="11"/>
        <color rgb="FF000000"/>
        <rFont val="Calibri"/>
      </rPr>
      <t xml:space="preserve">
</t>
    </r>
    <r>
      <rPr>
        <sz val="11"/>
        <color rgb="FF000000"/>
        <rFont val="Calibri"/>
      </rPr>
      <t>tmsh modify sys global-settings console-inactivity-timeout 300</t>
    </r>
    <r>
      <rPr>
        <sz val="11"/>
        <color rgb="FF000000"/>
        <rFont val="Calibri"/>
      </rPr>
      <t xml:space="preserve">
</t>
    </r>
    <r>
      <rPr>
        <sz val="11"/>
        <color rgb="FF000000"/>
        <rFont val="Calibri"/>
      </rPr>
      <t>tmsh modify cli global-settings idle-timeout 5</t>
    </r>
    <r>
      <rPr>
        <sz val="11"/>
        <color rgb="FF000000"/>
        <rFont val="Calibri"/>
      </rPr>
      <t xml:space="preserve">
</t>
    </r>
    <r>
      <rPr>
        <sz val="11"/>
        <color rgb="FF000000"/>
        <rFont val="Calibri"/>
      </rPr>
      <t>SSHD:</t>
    </r>
    <r>
      <rPr>
        <sz val="11"/>
        <color rgb="FF000000"/>
        <rFont val="Calibri"/>
      </rPr>
      <t xml:space="preserve">
</t>
    </r>
    <r>
      <rPr>
        <sz val="11"/>
        <color rgb="FF000000"/>
        <rFont val="Calibri"/>
      </rPr>
      <t>tmsh modify sys sshd inactivity-timeout 300</t>
    </r>
    <r>
      <rPr>
        <sz val="11"/>
        <color rgb="FF000000"/>
        <rFont val="Calibri"/>
      </rPr>
      <t xml:space="preserve">
</t>
    </r>
    <r>
      <rPr>
        <sz val="11"/>
        <color rgb="FF000000"/>
        <rFont val="Calibri"/>
      </rPr>
      <t>tmsh save sys config</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</si>
  <si>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 system-level network connection. This does not mean that the device terminates all sessions or network access; it only ends the inactive session and releases the resources associated with that session.</t>
    </r>
    <r>
      <rPr>
        <sz val="11"/>
        <color rgb="FF000000"/>
        <rFont val="Calibri"/>
      </rPr>
      <t xml:space="preserve">
</t>
    </r>
    <r>
      <rPr>
        <sz val="11"/>
        <color rgb="FF000000"/>
        <rFont val="Calibri"/>
      </rPr>
      <t>Satisfies: SRG-APP-000190-NDM-000267, SRG-APP-000003-NDM-000202</t>
    </r>
  </si>
  <si>
    <r>
      <rPr>
        <sz val="11"/>
        <color rgb="FF000000"/>
        <rFont val="Calibri"/>
      </rPr>
      <t>If a documented and validated reason for not implementing the five-minute idle timeout exists, this is not a finding.</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HTTPD/TMSH:</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Preferences.</t>
    </r>
    <r>
      <rPr>
        <sz val="11"/>
        <color rgb="FF000000"/>
        <rFont val="Calibri"/>
      </rPr>
      <t xml:space="preserve">
</t>
    </r>
    <r>
      <rPr>
        <sz val="11"/>
        <color rgb="FF000000"/>
        <rFont val="Calibri"/>
      </rPr>
      <t>3. Under Security Settings, verify "Idle Time Before Automatic Logout" is configured for 300 seconds or less.</t>
    </r>
    <r>
      <rPr>
        <sz val="11"/>
        <color rgb="FF000000"/>
        <rFont val="Calibri"/>
      </rPr>
      <t xml:space="preserve">
</t>
    </r>
    <r>
      <rPr>
        <sz val="11"/>
        <color rgb="FF000000"/>
        <rFont val="Calibri"/>
      </rPr>
      <t>SSHD:</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Configuration.</t>
    </r>
    <r>
      <rPr>
        <sz val="11"/>
        <color rgb="FF000000"/>
        <rFont val="Calibri"/>
      </rPr>
      <t xml:space="preserve">
</t>
    </r>
    <r>
      <rPr>
        <sz val="11"/>
        <color rgb="FF000000"/>
        <rFont val="Calibri"/>
      </rPr>
      <t>3. Device.</t>
    </r>
    <r>
      <rPr>
        <sz val="11"/>
        <color rgb="FF000000"/>
        <rFont val="Calibri"/>
      </rPr>
      <t xml:space="preserve">
</t>
    </r>
    <r>
      <rPr>
        <sz val="11"/>
        <color rgb="FF000000"/>
        <rFont val="Calibri"/>
      </rPr>
      <t>4. SSHD.</t>
    </r>
    <r>
      <rPr>
        <sz val="11"/>
        <color rgb="FF000000"/>
        <rFont val="Calibri"/>
      </rPr>
      <t xml:space="preserve">
</t>
    </r>
    <r>
      <rPr>
        <sz val="11"/>
        <color rgb="FF000000"/>
        <rFont val="Calibri"/>
      </rPr>
      <t>5. Verify "Idle Time Before Automatic Logout" is configured for 300 seconds or less.</t>
    </r>
    <r>
      <rPr>
        <sz val="11"/>
        <color rgb="FF000000"/>
        <rFont val="Calibri"/>
      </rPr>
      <t xml:space="preserve">
</t>
    </r>
    <r>
      <rPr>
        <sz val="11"/>
        <color rgb="FF000000"/>
        <rFont val="Calibri"/>
      </rPr>
      <t>From the BIG-IP Console, issue the following commands:</t>
    </r>
    <r>
      <rPr>
        <sz val="11"/>
        <color rgb="FF000000"/>
        <rFont val="Calibri"/>
      </rPr>
      <t xml:space="preserve">
</t>
    </r>
    <r>
      <rPr>
        <sz val="11"/>
        <color rgb="FF000000"/>
        <rFont val="Calibri"/>
      </rPr>
      <t>HTTPD/TMSH:</t>
    </r>
    <r>
      <rPr>
        <sz val="11"/>
        <color rgb="FF000000"/>
        <rFont val="Calibri"/>
      </rPr>
      <t xml:space="preserve">
</t>
    </r>
    <r>
      <rPr>
        <sz val="11"/>
        <color rgb="FF000000"/>
        <rFont val="Calibri"/>
      </rPr>
      <t>tmsh list sys httpd auth-pam-idle-timeout</t>
    </r>
    <r>
      <rPr>
        <sz val="11"/>
        <color rgb="FF000000"/>
        <rFont val="Calibri"/>
      </rPr>
      <t xml:space="preserve">
</t>
    </r>
    <r>
      <rPr>
        <sz val="11"/>
        <color rgb="FF000000"/>
        <rFont val="Calibri"/>
      </rPr>
      <t>Note: This must return a value of 300 or less.</t>
    </r>
    <r>
      <rPr>
        <sz val="11"/>
        <color rgb="FF000000"/>
        <rFont val="Calibri"/>
      </rPr>
      <t xml:space="preserve">
</t>
    </r>
    <r>
      <rPr>
        <sz val="11"/>
        <color rgb="FF000000"/>
        <rFont val="Calibri"/>
      </rPr>
      <t>tmsh list sys httpd auth-pam-dashboard-timeout</t>
    </r>
    <r>
      <rPr>
        <sz val="11"/>
        <color rgb="FF000000"/>
        <rFont val="Calibri"/>
      </rPr>
      <t xml:space="preserve">
</t>
    </r>
    <r>
      <rPr>
        <sz val="11"/>
        <color rgb="FF000000"/>
        <rFont val="Calibri"/>
      </rPr>
      <t>Note: This must return a value of "on".</t>
    </r>
    <r>
      <rPr>
        <sz val="11"/>
        <color rgb="FF000000"/>
        <rFont val="Calibri"/>
      </rPr>
      <t xml:space="preserve">
</t>
    </r>
    <r>
      <rPr>
        <sz val="11"/>
        <color rgb="FF000000"/>
        <rFont val="Calibri"/>
      </rPr>
      <t>tmsh list sys global-settings console-inactivity-timeout</t>
    </r>
    <r>
      <rPr>
        <sz val="11"/>
        <color rgb="FF000000"/>
        <rFont val="Calibri"/>
      </rPr>
      <t xml:space="preserve">
</t>
    </r>
    <r>
      <rPr>
        <sz val="11"/>
        <color rgb="FF000000"/>
        <rFont val="Calibri"/>
      </rPr>
      <t>Note: This must return a value of 300 or less.</t>
    </r>
    <r>
      <rPr>
        <sz val="11"/>
        <color rgb="FF000000"/>
        <rFont val="Calibri"/>
      </rPr>
      <t xml:space="preserve">
</t>
    </r>
    <r>
      <rPr>
        <sz val="11"/>
        <color rgb="FF000000"/>
        <rFont val="Calibri"/>
      </rPr>
      <t>tmsh list cli global-settings idle-timeout</t>
    </r>
    <r>
      <rPr>
        <sz val="11"/>
        <color rgb="FF000000"/>
        <rFont val="Calibri"/>
      </rPr>
      <t xml:space="preserve">
</t>
    </r>
    <r>
      <rPr>
        <sz val="11"/>
        <color rgb="FF000000"/>
        <rFont val="Calibri"/>
      </rPr>
      <t>Note: This must return a value of 5.</t>
    </r>
    <r>
      <rPr>
        <sz val="11"/>
        <color rgb="FF000000"/>
        <rFont val="Calibri"/>
      </rPr>
      <t xml:space="preserve">
</t>
    </r>
    <r>
      <rPr>
        <sz val="11"/>
        <color rgb="FF000000"/>
        <rFont val="Calibri"/>
      </rPr>
      <t>SSHD:</t>
    </r>
    <r>
      <rPr>
        <sz val="11"/>
        <color rgb="FF000000"/>
        <rFont val="Calibri"/>
      </rPr>
      <t xml:space="preserve">
</t>
    </r>
    <r>
      <rPr>
        <sz val="11"/>
        <color rgb="FF000000"/>
        <rFont val="Calibri"/>
      </rPr>
      <t>tmsh list sys sshd inactivity-timeout</t>
    </r>
    <r>
      <rPr>
        <sz val="11"/>
        <color rgb="FF000000"/>
        <rFont val="Calibri"/>
      </rPr>
      <t xml:space="preserve">
</t>
    </r>
    <r>
      <rPr>
        <sz val="11"/>
        <color rgb="FF000000"/>
        <rFont val="Calibri"/>
      </rPr>
      <t>Note: This must return a value of 300 or less.</t>
    </r>
    <r>
      <rPr>
        <sz val="11"/>
        <color rgb="FF000000"/>
        <rFont val="Calibri"/>
      </rPr>
      <t xml:space="preserve">
</t>
    </r>
    <r>
      <rPr>
        <sz val="11"/>
        <color rgb="FF000000"/>
        <rFont val="Calibri"/>
      </rPr>
      <t>If the BIG-IP appliance is not configured to terminate inactive sessions after five minutes of inactivity, this is a finding.</t>
    </r>
  </si>
  <si>
    <t>V-266096</t>
  </si>
  <si>
    <r>
      <rPr>
        <sz val="11"/>
        <rFont val="Calibri"/>
      </rPr>
      <t>The F5 BIG-IP appliance must conduct backups of the configuration at a weekly or organization-defined frequency and store on a separate device.</t>
    </r>
  </si>
  <si>
    <r>
      <rPr>
        <sz val="11"/>
        <color rgb="FF000000"/>
        <rFont val="Calibri"/>
      </rPr>
      <t>Document this process in the system security plan (SSP) and perform periodic manual backups. This process backs up the current configuration. Backups must be weekly or a documented organization-defined frequency.</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Archives.</t>
    </r>
    <r>
      <rPr>
        <sz val="11"/>
        <color rgb="FF000000"/>
        <rFont val="Calibri"/>
      </rPr>
      <t xml:space="preserve">
</t>
    </r>
    <r>
      <rPr>
        <sz val="11"/>
        <color rgb="FF000000"/>
        <rFont val="Calibri"/>
      </rPr>
      <t>3. Create.</t>
    </r>
    <r>
      <rPr>
        <sz val="11"/>
        <color rgb="FF000000"/>
        <rFont val="Calibri"/>
      </rPr>
      <t xml:space="preserve">
</t>
    </r>
    <r>
      <rPr>
        <sz val="11"/>
        <color rgb="FF000000"/>
        <rFont val="Calibri"/>
      </rPr>
      <t>From the BIG-IP console, type the following command:</t>
    </r>
    <r>
      <rPr>
        <sz val="11"/>
        <color rgb="FF000000"/>
        <rFont val="Calibri"/>
      </rPr>
      <t xml:space="preserve">
</t>
    </r>
    <r>
      <rPr>
        <sz val="11"/>
        <color rgb="FF000000"/>
        <rFont val="Calibri"/>
      </rPr>
      <t>tmsh save sys ucs &lt;name&gt;</t>
    </r>
  </si>
  <si>
    <r>
      <rPr>
        <sz val="11"/>
        <color rgb="FF000000"/>
        <rFont val="Calibri"/>
      </rPr>
      <t>Information system backup is a critical step in maintaining data assurance and availability. Information system and security-related documentation contains information pertaining to system configuration and security settings. If this information were not backed up, and a system failure were to occur, the security settings would be difficult to reconfigure quickly and accurately. Maintaining a backup of information system and security-related documentation provides for a quicker recovery time when system outages occur.</t>
    </r>
    <r>
      <rPr>
        <sz val="11"/>
        <color rgb="FF000000"/>
        <rFont val="Calibri"/>
      </rPr>
      <t xml:space="preserve">
</t>
    </r>
    <r>
      <rPr>
        <sz val="11"/>
        <color rgb="FF000000"/>
        <rFont val="Calibri"/>
      </rPr>
      <t>This control requires the network device to support the organizational central backup process for user account information associated with the network device. This function may be provided by the network device itself; however, the preferred best practice is a centralized backup rather than each network device performing discrete backups.</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</si>
  <si>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Archives.</t>
    </r>
    <r>
      <rPr>
        <sz val="11"/>
        <color rgb="FF000000"/>
        <rFont val="Calibri"/>
      </rPr>
      <t xml:space="preserve">
</t>
    </r>
    <r>
      <rPr>
        <sz val="11"/>
        <color rgb="FF000000"/>
        <rFont val="Calibri"/>
      </rPr>
      <t>3. Review the list of archives to verify backups are conducted in accordance with the local backup policy.</t>
    </r>
    <r>
      <rPr>
        <sz val="11"/>
        <color rgb="FF000000"/>
        <rFont val="Calibri"/>
      </rPr>
      <t xml:space="preserve">
</t>
    </r>
    <r>
      <rPr>
        <sz val="11"/>
        <color rgb="FF000000"/>
        <rFont val="Calibri"/>
      </rPr>
      <t>From the BIG-IP console, type the following command:</t>
    </r>
    <r>
      <rPr>
        <sz val="11"/>
        <color rgb="FF000000"/>
        <rFont val="Calibri"/>
      </rPr>
      <t xml:space="preserve">
</t>
    </r>
    <r>
      <rPr>
        <sz val="11"/>
        <color rgb="FF000000"/>
        <rFont val="Calibri"/>
      </rPr>
      <t>tmsh list sys ucs</t>
    </r>
    <r>
      <rPr>
        <sz val="11"/>
        <color rgb="FF000000"/>
        <rFont val="Calibri"/>
      </rPr>
      <t xml:space="preserve">
</t>
    </r>
    <r>
      <rPr>
        <sz val="11"/>
        <color rgb="FF000000"/>
        <rFont val="Calibri"/>
      </rPr>
      <t>If the BIG-IP appliance is not configured to back up at system-level information weekly or at an organization-defined frequency this is a finding.</t>
    </r>
  </si>
  <si>
    <t>V-266134</t>
  </si>
  <si>
    <r>
      <rPr>
        <sz val="11"/>
        <rFont val="Calibri"/>
      </rPr>
      <t>The F5 BIG-IP appliance must be configured to display the Standard Mandatory DOD Notice and Consent Banner when accessing via SSH.</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</si>
  <si>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Configuration.</t>
    </r>
    <r>
      <rPr>
        <sz val="11"/>
        <color rgb="FF000000"/>
        <rFont val="Calibri"/>
      </rPr>
      <t xml:space="preserve">
</t>
    </r>
    <r>
      <rPr>
        <sz val="11"/>
        <color rgb="FF000000"/>
        <rFont val="Calibri"/>
      </rPr>
      <t>3. Device.</t>
    </r>
    <r>
      <rPr>
        <sz val="11"/>
        <color rgb="FF000000"/>
        <rFont val="Calibri"/>
      </rPr>
      <t xml:space="preserve">
</t>
    </r>
    <r>
      <rPr>
        <sz val="11"/>
        <color rgb="FF000000"/>
        <rFont val="Calibri"/>
      </rPr>
      <t>4. SSHD.</t>
    </r>
    <r>
      <rPr>
        <sz val="11"/>
        <color rgb="FF000000"/>
        <rFont val="Calibri"/>
      </rPr>
      <t xml:space="preserve">
</t>
    </r>
    <r>
      <rPr>
        <sz val="11"/>
        <color rgb="FF000000"/>
        <rFont val="Calibri"/>
      </rPr>
      <t>5. Check the box for "Show The Security Banner On The Login Screen".</t>
    </r>
    <r>
      <rPr>
        <sz val="11"/>
        <color rgb="FF000000"/>
        <rFont val="Calibri"/>
      </rPr>
      <t xml:space="preserve">
</t>
    </r>
    <r>
      <rPr>
        <sz val="11"/>
        <color rgb="FF000000"/>
        <rFont val="Calibri"/>
      </rPr>
      <t>6. Enter the following in the "Security Banner Text To Show On The Login Screen" under the "Security Settings" section and then select "Update" to save.</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</si>
  <si>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Configuration.</t>
    </r>
    <r>
      <rPr>
        <sz val="11"/>
        <color rgb="FF000000"/>
        <rFont val="Calibri"/>
      </rPr>
      <t xml:space="preserve">
</t>
    </r>
    <r>
      <rPr>
        <sz val="11"/>
        <color rgb="FF000000"/>
        <rFont val="Calibri"/>
      </rPr>
      <t>3. Device.</t>
    </r>
    <r>
      <rPr>
        <sz val="11"/>
        <color rgb="FF000000"/>
        <rFont val="Calibri"/>
      </rPr>
      <t xml:space="preserve">
</t>
    </r>
    <r>
      <rPr>
        <sz val="11"/>
        <color rgb="FF000000"/>
        <rFont val="Calibri"/>
      </rPr>
      <t>4. SSHD.</t>
    </r>
    <r>
      <rPr>
        <sz val="11"/>
        <color rgb="FF000000"/>
        <rFont val="Calibri"/>
      </rPr>
      <t xml:space="preserve">
</t>
    </r>
    <r>
      <rPr>
        <sz val="11"/>
        <color rgb="FF000000"/>
        <rFont val="Calibri"/>
      </rPr>
      <t>5. Verify the box for “Show The Security Banner On The Login Screen” is checked.</t>
    </r>
    <r>
      <rPr>
        <sz val="11"/>
        <color rgb="FF000000"/>
        <rFont val="Calibri"/>
      </rPr>
      <t xml:space="preserve">
</t>
    </r>
    <r>
      <rPr>
        <sz val="11"/>
        <color rgb="FF000000"/>
        <rFont val="Calibri"/>
      </rPr>
      <t>6. Review the "Security Banner Text To Show On The Login Screen" under the "Security Settings" section for the following verbiage:</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such a banner is not presented, this is a finding.</t>
    </r>
  </si>
  <si>
    <t>V-266135</t>
  </si>
  <si>
    <r>
      <rPr>
        <sz val="11"/>
        <rFont val="Calibri"/>
      </rPr>
      <t>The F5 BIG-IP appliance must be configured to restrict a consistent inbound IP for the entire management session.</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</si>
  <si>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Preferences.</t>
    </r>
    <r>
      <rPr>
        <sz val="11"/>
        <color rgb="FF000000"/>
        <rFont val="Calibri"/>
      </rPr>
      <t xml:space="preserve">
</t>
    </r>
    <r>
      <rPr>
        <sz val="11"/>
        <color rgb="FF000000"/>
        <rFont val="Calibri"/>
      </rPr>
      <t>3. Under "Security Settings", check "Require A Consistent Inbound IP For The Entire Web Session".</t>
    </r>
    <r>
      <rPr>
        <sz val="11"/>
        <color rgb="FF000000"/>
        <rFont val="Calibri"/>
      </rPr>
      <t xml:space="preserve">
</t>
    </r>
    <r>
      <rPr>
        <sz val="11"/>
        <color rgb="FF000000"/>
        <rFont val="Calibri"/>
      </rPr>
      <t>4. Update.</t>
    </r>
  </si>
  <si>
    <r>
      <rPr>
        <sz val="11"/>
        <color rgb="FF000000"/>
        <rFont val="Calibri"/>
      </rPr>
      <t>This security measure helps limit the effects of denial-of-service (DoS) attacks by employing anti-session hijacking security safeguards. Session hijacking, also called cookie hijacking, is the exploitation of a valid computer session to gain unauthorized access to an application. The attacker steals (or hijacks) the cookies from a valid user and attempts to use them for authentication.</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</si>
  <si>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Preferences.</t>
    </r>
    <r>
      <rPr>
        <sz val="11"/>
        <color rgb="FF000000"/>
        <rFont val="Calibri"/>
      </rPr>
      <t xml:space="preserve">
</t>
    </r>
    <r>
      <rPr>
        <sz val="11"/>
        <color rgb="FF000000"/>
        <rFont val="Calibri"/>
      </rPr>
      <t>3. Under "Security Settings", verify "Require A Consistent Inbound IP For The Entire Web Session" box is checked.</t>
    </r>
    <r>
      <rPr>
        <sz val="11"/>
        <color rgb="FF000000"/>
        <rFont val="Calibri"/>
      </rPr>
      <t xml:space="preserve">
</t>
    </r>
    <r>
      <rPr>
        <sz val="11"/>
        <color rgb="FF000000"/>
        <rFont val="Calibri"/>
      </rPr>
      <t>If the BIG-IP appliance is not configured to require a consistent inbound IP for the entire session for management sessions, this is a finding.</t>
    </r>
  </si>
  <si>
    <t>V-266137</t>
  </si>
  <si>
    <r>
      <rPr>
        <sz val="11"/>
        <rFont val="Calibri"/>
      </rPr>
      <t>The F5 BIG-IP appliance providing user access control intermediary services must limit the number of concurrent sessions to one or an organization-defined number for each access profile.</t>
    </r>
  </si>
  <si>
    <t>ALG</t>
  </si>
  <si>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the Name of the Access profile.</t>
    </r>
    <r>
      <rPr>
        <sz val="11"/>
        <color rgb="FF000000"/>
        <rFont val="Calibri"/>
      </rPr>
      <t xml:space="preserve">
</t>
    </r>
    <r>
      <rPr>
        <sz val="11"/>
        <color rgb="FF000000"/>
        <rFont val="Calibri"/>
      </rPr>
      <t>5. Under "Settings", set "Max Sessions per User" to "1" or to an organization-defined number.</t>
    </r>
    <r>
      <rPr>
        <sz val="11"/>
        <color rgb="FF000000"/>
        <rFont val="Calibri"/>
      </rPr>
      <t xml:space="preserve">
</t>
    </r>
    <r>
      <rPr>
        <sz val="11"/>
        <color rgb="FF000000"/>
        <rFont val="Calibri"/>
      </rPr>
      <t>6. Update.</t>
    </r>
  </si>
  <si>
    <r>
      <rPr>
        <sz val="11"/>
        <color rgb="FF000000"/>
        <rFont val="Calibri"/>
      </rPr>
      <t>The "Max In Progress Sessions Per Client IP" setting in an APM Access Profile is a security configuration that limits the number of simultaneous sessions that can be initiated from a single IP address. This is particularly helpful in preventing a session flood, where a hacker might attempt to overwhelm the system by initiating many sessions from a single source. By capping the number of sessions per IP, this setting can help maintain the system's stability and integrity while also providing a layer of protection against such potential attacks.</t>
    </r>
    <r>
      <rPr>
        <sz val="11"/>
        <color rgb="FF000000"/>
        <rFont val="Calibri"/>
      </rPr>
      <t xml:space="preserve">
</t>
    </r>
    <r>
      <rPr>
        <sz val="11"/>
        <color rgb="FF000000"/>
        <rFont val="Calibri"/>
      </rPr>
      <t>False positives may result from this setting in networks where users are behind a shared proxy. Sites must conduct operational testing to determine if there are adverse operational impacts. View Log reports to identify recurring IP sources within the user community.</t>
    </r>
    <r>
      <rPr>
        <sz val="11"/>
        <color rgb="FF000000"/>
        <rFont val="Calibri"/>
      </rPr>
      <t xml:space="preserve">
</t>
    </r>
    <r>
      <rPr>
        <sz val="11"/>
        <color rgb="FF000000"/>
        <rFont val="Calibri"/>
      </rPr>
      <t>Max In Progress Sessions per Client IP represents the maximum number of sessions that can be in progress for a client IP address. When setting this value, take into account whether users will come from a NAT-ed or proxied client address and, if so, increase the value accordingly.</t>
    </r>
  </si>
  <si>
    <r>
      <rPr>
        <sz val="11"/>
        <color rgb="FF000000"/>
        <rFont val="Calibri"/>
      </rPr>
      <t>If the BIG-IP appliance does not provide user access control intermediary services, this is not applicable.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the Name of the Access profile.</t>
    </r>
    <r>
      <rPr>
        <sz val="11"/>
        <color rgb="FF000000"/>
        <rFont val="Calibri"/>
      </rPr>
      <t xml:space="preserve">
</t>
    </r>
    <r>
      <rPr>
        <sz val="11"/>
        <color rgb="FF000000"/>
        <rFont val="Calibri"/>
      </rPr>
      <t>5. Under "Settings", verify "Max Sessions per User" is set to "1" or to an organization-defined number.</t>
    </r>
    <r>
      <rPr>
        <sz val="11"/>
        <color rgb="FF000000"/>
        <rFont val="Calibri"/>
      </rPr>
      <t xml:space="preserve">
</t>
    </r>
    <r>
      <rPr>
        <sz val="11"/>
        <color rgb="FF000000"/>
        <rFont val="Calibri"/>
      </rPr>
      <t>If the BIG-IP appliance is not configured to limit the number of concurrent sessions for user accounts to 1 or to an organization-defined number, this is a finding.</t>
    </r>
  </si>
  <si>
    <t>V-266138</t>
  </si>
  <si>
    <r>
      <rPr>
        <sz val="11"/>
        <rFont val="Calibri"/>
      </rPr>
      <t>The F5 BIG-IP appliance providing intermediary services for remote access communications traffic must ensure inbound and outbound traffic is monitored for compliance with remote access security policies.</t>
    </r>
  </si>
  <si>
    <r>
      <rPr>
        <sz val="11"/>
        <color rgb="FF000000"/>
        <rFont val="Calibri"/>
      </rPr>
      <t>From the BIG-IP GUI:</t>
    </r>
    <r>
      <rPr>
        <sz val="11"/>
        <color rgb="FF000000"/>
        <rFont val="Calibri"/>
      </rPr>
      <t xml:space="preserve">
</t>
    </r>
    <r>
      <rPr>
        <sz val="11"/>
        <color rgb="FF000000"/>
        <rFont val="Calibri"/>
      </rPr>
      <t>1. Local Traffic.</t>
    </r>
    <r>
      <rPr>
        <sz val="11"/>
        <color rgb="FF000000"/>
        <rFont val="Calibri"/>
      </rPr>
      <t xml:space="preserve">
</t>
    </r>
    <r>
      <rPr>
        <sz val="11"/>
        <color rgb="FF000000"/>
        <rFont val="Calibri"/>
      </rPr>
      <t>2. Virtual Servers.</t>
    </r>
    <r>
      <rPr>
        <sz val="11"/>
        <color rgb="FF000000"/>
        <rFont val="Calibri"/>
      </rPr>
      <t xml:space="preserve">
</t>
    </r>
    <r>
      <rPr>
        <sz val="11"/>
        <color rgb="FF000000"/>
        <rFont val="Calibri"/>
      </rPr>
      <t>3. Virtual Server List.</t>
    </r>
    <r>
      <rPr>
        <sz val="11"/>
        <color rgb="FF000000"/>
        <rFont val="Calibri"/>
      </rPr>
      <t xml:space="preserve">
</t>
    </r>
    <r>
      <rPr>
        <sz val="11"/>
        <color rgb="FF000000"/>
        <rFont val="Calibri"/>
      </rPr>
      <t>4. Click on the name of a virtual server.</t>
    </r>
    <r>
      <rPr>
        <sz val="11"/>
        <color rgb="FF000000"/>
        <rFont val="Calibri"/>
      </rPr>
      <t xml:space="preserve">
</t>
    </r>
    <r>
      <rPr>
        <sz val="11"/>
        <color rgb="FF000000"/>
        <rFont val="Calibri"/>
      </rPr>
      <t>5. Security tab &gt;&gt; Policies.</t>
    </r>
    <r>
      <rPr>
        <sz val="11"/>
        <color rgb="FF000000"/>
        <rFont val="Calibri"/>
      </rPr>
      <t xml:space="preserve">
</t>
    </r>
    <r>
      <rPr>
        <sz val="11"/>
        <color rgb="FF000000"/>
        <rFont val="Calibri"/>
      </rPr>
      <t>6. Set "Application Security Policy" to "Enabled".</t>
    </r>
    <r>
      <rPr>
        <sz val="11"/>
        <color rgb="FF000000"/>
        <rFont val="Calibri"/>
      </rPr>
      <t xml:space="preserve">
</t>
    </r>
    <r>
      <rPr>
        <sz val="11"/>
        <color rgb="FF000000"/>
        <rFont val="Calibri"/>
      </rPr>
      <t>7. Select the policy from the drop-down.</t>
    </r>
    <r>
      <rPr>
        <sz val="11"/>
        <color rgb="FF000000"/>
        <rFont val="Calibri"/>
      </rPr>
      <t xml:space="preserve">
</t>
    </r>
    <r>
      <rPr>
        <sz val="11"/>
        <color rgb="FF000000"/>
        <rFont val="Calibri"/>
      </rPr>
      <t>8. Update.</t>
    </r>
    <r>
      <rPr>
        <sz val="11"/>
        <color rgb="FF000000"/>
        <rFont val="Calibri"/>
      </rPr>
      <t xml:space="preserve">
</t>
    </r>
    <r>
      <rPr>
        <sz val="11"/>
        <color rgb="FF000000"/>
        <rFont val="Calibri"/>
      </rPr>
      <t>9. Repeat for additional virtual servers.</t>
    </r>
  </si>
  <si>
    <r>
      <rPr>
        <sz val="11"/>
        <color rgb="FF000000"/>
        <rFont val="Calibri"/>
      </rPr>
      <t>Automated monitoring of remote access traffic allows organizations to detect cyberattacks and also ensure ongoing compliance with remote access policies by inspecting connection activities of remote access capabilities.</t>
    </r>
    <r>
      <rPr>
        <sz val="11"/>
        <color rgb="FF000000"/>
        <rFont val="Calibri"/>
      </rPr>
      <t xml:space="preserve">
</t>
    </r>
    <r>
      <rPr>
        <sz val="11"/>
        <color rgb="FF000000"/>
        <rFont val="Calibri"/>
      </rPr>
      <t>Remote access methods include both unencrypted and encrypted traffic (e.g., web portals, web content filter, TLS, and webmail). With inbound TLS inspection, the traffic must be inspected prior to being allowed on the enclave's web servers hosting TLS or HTTPS applications. With outbound traffic inspection, traffic must be inspected prior to being forwarded to destinations outside of the enclave, such as external email traffic.</t>
    </r>
  </si>
  <si>
    <r>
      <rPr>
        <sz val="11"/>
        <color rgb="FF000000"/>
        <rFont val="Calibri"/>
      </rPr>
      <t>If the BIG-IP appliance does not serve as an intermediary for remote access traffic, this is not applicable.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Application Security.</t>
    </r>
    <r>
      <rPr>
        <sz val="11"/>
        <color rgb="FF000000"/>
        <rFont val="Calibri"/>
      </rPr>
      <t xml:space="preserve">
</t>
    </r>
    <r>
      <rPr>
        <sz val="11"/>
        <color rgb="FF000000"/>
        <rFont val="Calibri"/>
      </rPr>
      <t>3. Security Policies.</t>
    </r>
    <r>
      <rPr>
        <sz val="11"/>
        <color rgb="FF000000"/>
        <rFont val="Calibri"/>
      </rPr>
      <t xml:space="preserve">
</t>
    </r>
    <r>
      <rPr>
        <sz val="11"/>
        <color rgb="FF000000"/>
        <rFont val="Calibri"/>
      </rPr>
      <t>4. Policies List.</t>
    </r>
    <r>
      <rPr>
        <sz val="11"/>
        <color rgb="FF000000"/>
        <rFont val="Calibri"/>
      </rPr>
      <t xml:space="preserve">
</t>
    </r>
    <r>
      <rPr>
        <sz val="11"/>
        <color rgb="FF000000"/>
        <rFont val="Calibri"/>
      </rPr>
      <t>5. Review the list of policies and confirm they are applied to virtual servers being used for intermediary services for remote access communications traffic.</t>
    </r>
    <r>
      <rPr>
        <sz val="11"/>
        <color rgb="FF000000"/>
        <rFont val="Calibri"/>
      </rPr>
      <t xml:space="preserve">
</t>
    </r>
    <r>
      <rPr>
        <sz val="11"/>
        <color rgb="FF000000"/>
        <rFont val="Calibri"/>
      </rPr>
      <t>If the BIG-IP appliance is not configured to ensure inbound and outbound traffic is monitored for compliance with remote access security policies, this is a finding.</t>
    </r>
  </si>
  <si>
    <t>V-266139</t>
  </si>
  <si>
    <r>
      <rPr>
        <sz val="11"/>
        <rFont val="Calibri"/>
      </rPr>
      <t>The F5 BIG-IP appliance providing intermediary services for remote access must use FIPS-validated cryptographic algorithms, including TLS 1.2 at a minimum.</t>
    </r>
  </si>
  <si>
    <r>
      <rPr>
        <sz val="11"/>
        <color rgb="FF000000"/>
        <rFont val="Calibri"/>
      </rPr>
      <t>Client SSL Profile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Local Traffic.</t>
    </r>
    <r>
      <rPr>
        <sz val="11"/>
        <color rgb="FF000000"/>
        <rFont val="Calibri"/>
      </rPr>
      <t xml:space="preserve">
</t>
    </r>
    <r>
      <rPr>
        <sz val="11"/>
        <color rgb="FF000000"/>
        <rFont val="Calibri"/>
      </rPr>
      <t>2. Profiles.</t>
    </r>
    <r>
      <rPr>
        <sz val="11"/>
        <color rgb="FF000000"/>
        <rFont val="Calibri"/>
      </rPr>
      <t xml:space="preserve">
</t>
    </r>
    <r>
      <rPr>
        <sz val="11"/>
        <color rgb="FF000000"/>
        <rFont val="Calibri"/>
      </rPr>
      <t>3. SSL.</t>
    </r>
    <r>
      <rPr>
        <sz val="11"/>
        <color rgb="FF000000"/>
        <rFont val="Calibri"/>
      </rPr>
      <t xml:space="preserve">
</t>
    </r>
    <r>
      <rPr>
        <sz val="11"/>
        <color rgb="FF000000"/>
        <rFont val="Calibri"/>
      </rPr>
      <t>4. Client.</t>
    </r>
    <r>
      <rPr>
        <sz val="11"/>
        <color rgb="FF000000"/>
        <rFont val="Calibri"/>
      </rPr>
      <t xml:space="preserve">
</t>
    </r>
    <r>
      <rPr>
        <sz val="11"/>
        <color rgb="FF000000"/>
        <rFont val="Calibri"/>
      </rPr>
      <t>5. Click on the name of the SSL Profile.</t>
    </r>
    <r>
      <rPr>
        <sz val="11"/>
        <color rgb="FF000000"/>
        <rFont val="Calibri"/>
      </rPr>
      <t xml:space="preserve">
</t>
    </r>
    <r>
      <rPr>
        <sz val="11"/>
        <color rgb="FF000000"/>
        <rFont val="Calibri"/>
      </rPr>
      <t>6. Change "Configuration" to "Advanced".</t>
    </r>
    <r>
      <rPr>
        <sz val="11"/>
        <color rgb="FF000000"/>
        <rFont val="Calibri"/>
      </rPr>
      <t xml:space="preserve">
</t>
    </r>
    <r>
      <rPr>
        <sz val="11"/>
        <color rgb="FF000000"/>
        <rFont val="Calibri"/>
      </rPr>
      <t>7. Configure "Ciphers" to use NIST FIPS-validated ciphers.</t>
    </r>
    <r>
      <rPr>
        <sz val="11"/>
        <color rgb="FF000000"/>
        <rFont val="Calibri"/>
      </rPr>
      <t xml:space="preserve">
</t>
    </r>
    <r>
      <rPr>
        <sz val="11"/>
        <color rgb="FF000000"/>
        <rFont val="Calibri"/>
      </rPr>
      <t>8. Click "Update".</t>
    </r>
    <r>
      <rPr>
        <sz val="11"/>
        <color rgb="FF000000"/>
        <rFont val="Calibri"/>
      </rPr>
      <t xml:space="preserve">
</t>
    </r>
    <r>
      <rPr>
        <sz val="11"/>
        <color rgb="FF000000"/>
        <rFont val="Calibri"/>
      </rPr>
      <t>9. Repeat for other SSL Profiles in use.</t>
    </r>
    <r>
      <rPr>
        <sz val="11"/>
        <color rgb="FF000000"/>
        <rFont val="Calibri"/>
      </rPr>
      <t xml:space="preserve">
</t>
    </r>
    <r>
      <rPr>
        <sz val="11"/>
        <color rgb="FF000000"/>
        <rFont val="Calibri"/>
      </rPr>
      <t>Virtual Server</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Local Traffic.</t>
    </r>
    <r>
      <rPr>
        <sz val="11"/>
        <color rgb="FF000000"/>
        <rFont val="Calibri"/>
      </rPr>
      <t xml:space="preserve">
</t>
    </r>
    <r>
      <rPr>
        <sz val="11"/>
        <color rgb="FF000000"/>
        <rFont val="Calibri"/>
      </rPr>
      <t>2. Virtual Servers.</t>
    </r>
    <r>
      <rPr>
        <sz val="11"/>
        <color rgb="FF000000"/>
        <rFont val="Calibri"/>
      </rPr>
      <t xml:space="preserve">
</t>
    </r>
    <r>
      <rPr>
        <sz val="11"/>
        <color rgb="FF000000"/>
        <rFont val="Calibri"/>
      </rPr>
      <t>3. Virtual Server List.</t>
    </r>
    <r>
      <rPr>
        <sz val="11"/>
        <color rgb="FF000000"/>
        <rFont val="Calibri"/>
      </rPr>
      <t xml:space="preserve">
</t>
    </r>
    <r>
      <rPr>
        <sz val="11"/>
        <color rgb="FF000000"/>
        <rFont val="Calibri"/>
      </rPr>
      <t>4. Click the name of the virtual server.</t>
    </r>
    <r>
      <rPr>
        <sz val="11"/>
        <color rgb="FF000000"/>
        <rFont val="Calibri"/>
      </rPr>
      <t xml:space="preserve">
</t>
    </r>
    <r>
      <rPr>
        <sz val="11"/>
        <color rgb="FF000000"/>
        <rFont val="Calibri"/>
      </rPr>
      <t>5. Configure "SSL Profile (Client)" to use a NIST FIPS-validated SSL Profile.</t>
    </r>
    <r>
      <rPr>
        <sz val="11"/>
        <color rgb="FF000000"/>
        <rFont val="Calibri"/>
      </rPr>
      <t xml:space="preserve">
</t>
    </r>
    <r>
      <rPr>
        <sz val="11"/>
        <color rgb="FF000000"/>
        <rFont val="Calibri"/>
      </rPr>
      <t>6. Click "Update".</t>
    </r>
    <r>
      <rPr>
        <sz val="11"/>
        <color rgb="FF000000"/>
        <rFont val="Calibri"/>
      </rPr>
      <t xml:space="preserve">
</t>
    </r>
    <r>
      <rPr>
        <sz val="11"/>
        <color rgb="FF000000"/>
        <rFont val="Calibri"/>
      </rPr>
      <t>7. Repeat for other virtual servers.</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</si>
  <si>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broadband and wireless connections. Remote access methods include, for example, proxied remote encrypted traffic (e.g., TLS gateways, web content filters, and webmail proxies).</t>
    </r>
    <r>
      <rPr>
        <sz val="11"/>
        <color rgb="FF000000"/>
        <rFont val="Calibri"/>
      </rPr>
      <t xml:space="preserve">
</t>
    </r>
    <r>
      <rPr>
        <sz val="11"/>
        <color rgb="FF000000"/>
        <rFont val="Calibri"/>
      </rPr>
      <t>Encryption provides a means to secure the remote connection to prevent unauthorized access to the data traversing the remote access connection, thereby providing a degree of confidentiality. The encryption strength of the mechanism is selected based on the security categorization of the information.</t>
    </r>
    <r>
      <rPr>
        <sz val="11"/>
        <color rgb="FF000000"/>
        <rFont val="Calibri"/>
      </rPr>
      <t xml:space="preserve">
</t>
    </r>
    <r>
      <rPr>
        <sz val="11"/>
        <color rgb="FF000000"/>
        <rFont val="Calibri"/>
      </rPr>
      <t>This requirement applies to ALGs providing remote access proxy services as part of its intermediary services (e.g., OWA or SSL VPN gateway).</t>
    </r>
    <r>
      <rPr>
        <sz val="11"/>
        <color rgb="FF000000"/>
        <rFont val="Calibri"/>
      </rPr>
      <t xml:space="preserve">
</t>
    </r>
    <r>
      <rPr>
        <sz val="11"/>
        <color rgb="FF000000"/>
        <rFont val="Calibri"/>
      </rPr>
      <t>Satisfies: SRG-NET-000062-ALG-000011, SRG-NET-000062-ALG-000150, SRG-NET-000063-ALG-000012, SRG-NET-000230-ALG-000113, SRG-NET-000355-ALG-000117</t>
    </r>
  </si>
  <si>
    <r>
      <rPr>
        <sz val="11"/>
        <color rgb="FF000000"/>
        <rFont val="Calibri"/>
      </rPr>
      <t>If the BIG-IP appliance does not provide intermediary services for remote access (e.g., web content filter, TLS, and webmail), TLS, or application protocols that use TLS (e.g., DNSSEC or HTTPS), this is not applicable.</t>
    </r>
    <r>
      <rPr>
        <sz val="11"/>
        <color rgb="FF000000"/>
        <rFont val="Calibri"/>
      </rPr>
      <t xml:space="preserve">
</t>
    </r>
    <r>
      <rPr>
        <sz val="11"/>
        <color rgb="FF000000"/>
        <rFont val="Calibri"/>
      </rPr>
      <t>Client SSL Profile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Local Traffic.</t>
    </r>
    <r>
      <rPr>
        <sz val="11"/>
        <color rgb="FF000000"/>
        <rFont val="Calibri"/>
      </rPr>
      <t xml:space="preserve">
</t>
    </r>
    <r>
      <rPr>
        <sz val="11"/>
        <color rgb="FF000000"/>
        <rFont val="Calibri"/>
      </rPr>
      <t>2. Profiles.</t>
    </r>
    <r>
      <rPr>
        <sz val="11"/>
        <color rgb="FF000000"/>
        <rFont val="Calibri"/>
      </rPr>
      <t xml:space="preserve">
</t>
    </r>
    <r>
      <rPr>
        <sz val="11"/>
        <color rgb="FF000000"/>
        <rFont val="Calibri"/>
      </rPr>
      <t>3. SSL.</t>
    </r>
    <r>
      <rPr>
        <sz val="11"/>
        <color rgb="FF000000"/>
        <rFont val="Calibri"/>
      </rPr>
      <t xml:space="preserve">
</t>
    </r>
    <r>
      <rPr>
        <sz val="11"/>
        <color rgb="FF000000"/>
        <rFont val="Calibri"/>
      </rPr>
      <t>4. Client.</t>
    </r>
    <r>
      <rPr>
        <sz val="11"/>
        <color rgb="FF000000"/>
        <rFont val="Calibri"/>
      </rPr>
      <t xml:space="preserve">
</t>
    </r>
    <r>
      <rPr>
        <sz val="11"/>
        <color rgb="FF000000"/>
        <rFont val="Calibri"/>
      </rPr>
      <t>5. Click on the name of the SSL Profile.</t>
    </r>
    <r>
      <rPr>
        <sz val="11"/>
        <color rgb="FF000000"/>
        <rFont val="Calibri"/>
      </rPr>
      <t xml:space="preserve">
</t>
    </r>
    <r>
      <rPr>
        <sz val="11"/>
        <color rgb="FF000000"/>
        <rFont val="Calibri"/>
      </rPr>
      <t>6. Change "Configuration" to "Advanced".</t>
    </r>
    <r>
      <rPr>
        <sz val="11"/>
        <color rgb="FF000000"/>
        <rFont val="Calibri"/>
      </rPr>
      <t xml:space="preserve">
</t>
    </r>
    <r>
      <rPr>
        <sz val="11"/>
        <color rgb="FF000000"/>
        <rFont val="Calibri"/>
      </rPr>
      <t>7. Verify "Ciphers" is configured to use NIST FIPS-validated ciphers.</t>
    </r>
    <r>
      <rPr>
        <sz val="11"/>
        <color rgb="FF000000"/>
        <rFont val="Calibri"/>
      </rPr>
      <t xml:space="preserve">
</t>
    </r>
    <r>
      <rPr>
        <sz val="11"/>
        <color rgb="FF000000"/>
        <rFont val="Calibri"/>
      </rPr>
      <t>8. Repeat for other SSL Profiles in use.</t>
    </r>
    <r>
      <rPr>
        <sz val="11"/>
        <color rgb="FF000000"/>
        <rFont val="Calibri"/>
      </rPr>
      <t xml:space="preserve">
</t>
    </r>
    <r>
      <rPr>
        <sz val="11"/>
        <color rgb="FF000000"/>
        <rFont val="Calibri"/>
      </rPr>
      <t>Virtual Server</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Local Traffic.</t>
    </r>
    <r>
      <rPr>
        <sz val="11"/>
        <color rgb="FF000000"/>
        <rFont val="Calibri"/>
      </rPr>
      <t xml:space="preserve">
</t>
    </r>
    <r>
      <rPr>
        <sz val="11"/>
        <color rgb="FF000000"/>
        <rFont val="Calibri"/>
      </rPr>
      <t>2. Virtual Servers.</t>
    </r>
    <r>
      <rPr>
        <sz val="11"/>
        <color rgb="FF000000"/>
        <rFont val="Calibri"/>
      </rPr>
      <t xml:space="preserve">
</t>
    </r>
    <r>
      <rPr>
        <sz val="11"/>
        <color rgb="FF000000"/>
        <rFont val="Calibri"/>
      </rPr>
      <t>3. Virtual Server List.</t>
    </r>
    <r>
      <rPr>
        <sz val="11"/>
        <color rgb="FF000000"/>
        <rFont val="Calibri"/>
      </rPr>
      <t xml:space="preserve">
</t>
    </r>
    <r>
      <rPr>
        <sz val="11"/>
        <color rgb="FF000000"/>
        <rFont val="Calibri"/>
      </rPr>
      <t>4. Click the name of the virtual server.</t>
    </r>
    <r>
      <rPr>
        <sz val="11"/>
        <color rgb="FF000000"/>
        <rFont val="Calibri"/>
      </rPr>
      <t xml:space="preserve">
</t>
    </r>
    <r>
      <rPr>
        <sz val="11"/>
        <color rgb="FF000000"/>
        <rFont val="Calibri"/>
      </rPr>
      <t>5. Verify that the "SSL Profile (Client)" is using a NIST FIPS-validated SSL Profile.</t>
    </r>
    <r>
      <rPr>
        <sz val="11"/>
        <color rgb="FF000000"/>
        <rFont val="Calibri"/>
      </rPr>
      <t xml:space="preserve">
</t>
    </r>
    <r>
      <rPr>
        <sz val="11"/>
        <color rgb="FF000000"/>
        <rFont val="Calibri"/>
      </rPr>
      <t>6. Repeat these steps to review all other virtual servers.</t>
    </r>
    <r>
      <rPr>
        <sz val="11"/>
        <color rgb="FF000000"/>
        <rFont val="Calibri"/>
      </rPr>
      <t xml:space="preserve">
</t>
    </r>
    <r>
      <rPr>
        <sz val="11"/>
        <color rgb="FF000000"/>
        <rFont val="Calibri"/>
      </rPr>
      <t>If the BIG-IP appliance is not configured to use TLS 1.2 or higher, this is a finding.</t>
    </r>
  </si>
  <si>
    <t>V-266140</t>
  </si>
  <si>
    <r>
      <rPr>
        <sz val="11"/>
        <rFont val="Calibri"/>
      </rPr>
      <t>To protect against data mining, the F5 BIG-IP appliance providing content filtering must prevent code injection attacks from being launched against data storage objects, including, at a minimum, databases, database records, queries, and fields.</t>
    </r>
  </si>
  <si>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Application Security.</t>
    </r>
    <r>
      <rPr>
        <sz val="11"/>
        <color rgb="FF000000"/>
        <rFont val="Calibri"/>
      </rPr>
      <t xml:space="preserve">
</t>
    </r>
    <r>
      <rPr>
        <sz val="11"/>
        <color rgb="FF000000"/>
        <rFont val="Calibri"/>
      </rPr>
      <t>3. Security Policies.</t>
    </r>
    <r>
      <rPr>
        <sz val="11"/>
        <color rgb="FF000000"/>
        <rFont val="Calibri"/>
      </rPr>
      <t xml:space="preserve">
</t>
    </r>
    <r>
      <rPr>
        <sz val="11"/>
        <color rgb="FF000000"/>
        <rFont val="Calibri"/>
      </rPr>
      <t>4. Policies List.</t>
    </r>
    <r>
      <rPr>
        <sz val="11"/>
        <color rgb="FF000000"/>
        <rFont val="Calibri"/>
      </rPr>
      <t xml:space="preserve">
</t>
    </r>
    <r>
      <rPr>
        <sz val="11"/>
        <color rgb="FF000000"/>
        <rFont val="Calibri"/>
      </rPr>
      <t>5. Click the name of the policy.</t>
    </r>
    <r>
      <rPr>
        <sz val="11"/>
        <color rgb="FF000000"/>
        <rFont val="Calibri"/>
      </rPr>
      <t xml:space="preserve">
</t>
    </r>
    <r>
      <rPr>
        <sz val="11"/>
        <color rgb="FF000000"/>
        <rFont val="Calibri"/>
      </rPr>
      <t>6. Set "Enforcement Mode" to "Blocking".</t>
    </r>
    <r>
      <rPr>
        <sz val="11"/>
        <color rgb="FF000000"/>
        <rFont val="Calibri"/>
      </rPr>
      <t xml:space="preserve">
</t>
    </r>
    <r>
      <rPr>
        <sz val="11"/>
        <color rgb="FF000000"/>
        <rFont val="Calibri"/>
      </rPr>
      <t>7. Select "Attack Signatures".</t>
    </r>
    <r>
      <rPr>
        <sz val="11"/>
        <color rgb="FF000000"/>
        <rFont val="Calibri"/>
      </rPr>
      <t xml:space="preserve">
</t>
    </r>
    <r>
      <rPr>
        <sz val="11"/>
        <color rgb="FF000000"/>
        <rFont val="Calibri"/>
      </rPr>
      <t>8. Click the filter at the top left of the signatures window.</t>
    </r>
    <r>
      <rPr>
        <sz val="11"/>
        <color rgb="FF000000"/>
        <rFont val="Calibri"/>
      </rPr>
      <t xml:space="preserve">
</t>
    </r>
    <r>
      <rPr>
        <sz val="11"/>
        <color rgb="FF000000"/>
        <rFont val="Calibri"/>
      </rPr>
      <t>9. Select "XPath Injection" in the "Attack Type" field and click "Apply".</t>
    </r>
    <r>
      <rPr>
        <sz val="11"/>
        <color rgb="FF000000"/>
        <rFont val="Calibri"/>
      </rPr>
      <t xml:space="preserve">
</t>
    </r>
    <r>
      <rPr>
        <sz val="11"/>
        <color rgb="FF000000"/>
        <rFont val="Calibri"/>
      </rPr>
      <t>10. Select all signatures in the filtered list and click "Enforce".</t>
    </r>
    <r>
      <rPr>
        <sz val="11"/>
        <color rgb="FF000000"/>
        <rFont val="Calibri"/>
      </rPr>
      <t xml:space="preserve">
</t>
    </r>
    <r>
      <rPr>
        <sz val="11"/>
        <color rgb="FF000000"/>
        <rFont val="Calibri"/>
      </rPr>
      <t>11. Click "Enforce" again.</t>
    </r>
    <r>
      <rPr>
        <sz val="11"/>
        <color rgb="FF000000"/>
        <rFont val="Calibri"/>
      </rPr>
      <t xml:space="preserve">
</t>
    </r>
    <r>
      <rPr>
        <sz val="11"/>
        <color rgb="FF000000"/>
        <rFont val="Calibri"/>
      </rPr>
      <t>12. Click the filter at the top left of the signatures window.</t>
    </r>
    <r>
      <rPr>
        <sz val="11"/>
        <color rgb="FF000000"/>
        <rFont val="Calibri"/>
      </rPr>
      <t xml:space="preserve">
</t>
    </r>
    <r>
      <rPr>
        <sz val="11"/>
        <color rgb="FF000000"/>
        <rFont val="Calibri"/>
      </rPr>
      <t>13. Select "LDAP Injection" in the "Attack Type" field and click "Apply".</t>
    </r>
    <r>
      <rPr>
        <sz val="11"/>
        <color rgb="FF000000"/>
        <rFont val="Calibri"/>
      </rPr>
      <t xml:space="preserve">
</t>
    </r>
    <r>
      <rPr>
        <sz val="11"/>
        <color rgb="FF000000"/>
        <rFont val="Calibri"/>
      </rPr>
      <t>14. Select all signatures in the filtered list and click "Enforce".</t>
    </r>
    <r>
      <rPr>
        <sz val="11"/>
        <color rgb="FF000000"/>
        <rFont val="Calibri"/>
      </rPr>
      <t xml:space="preserve">
</t>
    </r>
    <r>
      <rPr>
        <sz val="11"/>
        <color rgb="FF000000"/>
        <rFont val="Calibri"/>
      </rPr>
      <t>15. Click "Enforce" again.</t>
    </r>
    <r>
      <rPr>
        <sz val="11"/>
        <color rgb="FF000000"/>
        <rFont val="Calibri"/>
      </rPr>
      <t xml:space="preserve">
</t>
    </r>
    <r>
      <rPr>
        <sz val="11"/>
        <color rgb="FF000000"/>
        <rFont val="Calibri"/>
      </rPr>
      <t>16. Click "Apply Policy".</t>
    </r>
  </si>
  <si>
    <r>
      <rPr>
        <sz val="11"/>
        <color rgb="FF000000"/>
        <rFont val="Calibri"/>
      </rPr>
      <t>Data mining is the analysis of large quantities of data to discover patterns and is used in intelligence gathering. Failure to prevent attacks launched against organizational information from unauthorized data mining may result in the compromise of information.</t>
    </r>
    <r>
      <rPr>
        <sz val="11"/>
        <color rgb="FF000000"/>
        <rFont val="Calibri"/>
      </rPr>
      <t xml:space="preserve">
</t>
    </r>
    <r>
      <rPr>
        <sz val="11"/>
        <color rgb="FF000000"/>
        <rFont val="Calibri"/>
      </rPr>
      <t>Injection attacks allow an attacker to inject code into a program or query or inject malware onto a computer to execute remote commands that can read or modify a database or change data on a website. Web applications frequently access databases to store, retrieve, and update information. An attacker can construct inputs that the database will execute. This is most commonly referred to as a code injection attack. This type of attack includes XPath and LDAP injections.</t>
    </r>
    <r>
      <rPr>
        <sz val="11"/>
        <color rgb="FF000000"/>
        <rFont val="Calibri"/>
      </rPr>
      <t xml:space="preserve">
</t>
    </r>
    <r>
      <rPr>
        <sz val="11"/>
        <color rgb="FF000000"/>
        <rFont val="Calibri"/>
      </rPr>
      <t>Compliance requires the ALG to have the capability to prevent code injections. Examples include a Web Application Firewalls (WAFs) or database application gateways.</t>
    </r>
    <r>
      <rPr>
        <sz val="11"/>
        <color rgb="FF000000"/>
        <rFont val="Calibri"/>
      </rPr>
      <t xml:space="preserve">
</t>
    </r>
    <r>
      <rPr>
        <sz val="11"/>
        <color rgb="FF000000"/>
        <rFont val="Calibri"/>
      </rPr>
      <t>Satisfies: SRG-NET-000318-ALG-000014, SRG-NET-000319-ALG-000015</t>
    </r>
  </si>
  <si>
    <r>
      <rPr>
        <sz val="11"/>
        <color rgb="FF000000"/>
        <rFont val="Calibri"/>
      </rPr>
      <t>If the ALG does not perform content filtering as part of the traffic management functions, this is not applicable.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Application Security.</t>
    </r>
    <r>
      <rPr>
        <sz val="11"/>
        <color rgb="FF000000"/>
        <rFont val="Calibri"/>
      </rPr>
      <t xml:space="preserve">
</t>
    </r>
    <r>
      <rPr>
        <sz val="11"/>
        <color rgb="FF000000"/>
        <rFont val="Calibri"/>
      </rPr>
      <t>3. Security Policies.</t>
    </r>
    <r>
      <rPr>
        <sz val="11"/>
        <color rgb="FF000000"/>
        <rFont val="Calibri"/>
      </rPr>
      <t xml:space="preserve">
</t>
    </r>
    <r>
      <rPr>
        <sz val="11"/>
        <color rgb="FF000000"/>
        <rFont val="Calibri"/>
      </rPr>
      <t>4. Policies List.</t>
    </r>
    <r>
      <rPr>
        <sz val="11"/>
        <color rgb="FF000000"/>
        <rFont val="Calibri"/>
      </rPr>
      <t xml:space="preserve">
</t>
    </r>
    <r>
      <rPr>
        <sz val="11"/>
        <color rgb="FF000000"/>
        <rFont val="Calibri"/>
      </rPr>
      <t>5. Click the name of the policy.</t>
    </r>
    <r>
      <rPr>
        <sz val="11"/>
        <color rgb="FF000000"/>
        <rFont val="Calibri"/>
      </rPr>
      <t xml:space="preserve">
</t>
    </r>
    <r>
      <rPr>
        <sz val="11"/>
        <color rgb="FF000000"/>
        <rFont val="Calibri"/>
      </rPr>
      <t>6. Verify "Enforcement Mode" is set to "Blocking".</t>
    </r>
    <r>
      <rPr>
        <sz val="11"/>
        <color rgb="FF000000"/>
        <rFont val="Calibri"/>
      </rPr>
      <t xml:space="preserve">
</t>
    </r>
    <r>
      <rPr>
        <sz val="11"/>
        <color rgb="FF000000"/>
        <rFont val="Calibri"/>
      </rPr>
      <t>7. Select "Attack Signatures".</t>
    </r>
    <r>
      <rPr>
        <sz val="11"/>
        <color rgb="FF000000"/>
        <rFont val="Calibri"/>
      </rPr>
      <t xml:space="preserve">
</t>
    </r>
    <r>
      <rPr>
        <sz val="11"/>
        <color rgb="FF000000"/>
        <rFont val="Calibri"/>
      </rPr>
      <t>8. Click the filter at the top left of the signatures window.</t>
    </r>
    <r>
      <rPr>
        <sz val="11"/>
        <color rgb="FF000000"/>
        <rFont val="Calibri"/>
      </rPr>
      <t xml:space="preserve">
</t>
    </r>
    <r>
      <rPr>
        <sz val="11"/>
        <color rgb="FF000000"/>
        <rFont val="Calibri"/>
      </rPr>
      <t>9. Select "XPath Injection" in the "Attack Type" field and click "Apply".</t>
    </r>
    <r>
      <rPr>
        <sz val="11"/>
        <color rgb="FF000000"/>
        <rFont val="Calibri"/>
      </rPr>
      <t xml:space="preserve">
</t>
    </r>
    <r>
      <rPr>
        <sz val="11"/>
        <color rgb="FF000000"/>
        <rFont val="Calibri"/>
      </rPr>
      <t>10. Verify "Block" is checked for all signatures and "Status" is set to "Enforced".</t>
    </r>
    <r>
      <rPr>
        <sz val="11"/>
        <color rgb="FF000000"/>
        <rFont val="Calibri"/>
      </rPr>
      <t xml:space="preserve">
</t>
    </r>
    <r>
      <rPr>
        <sz val="11"/>
        <color rgb="FF000000"/>
        <rFont val="Calibri"/>
      </rPr>
      <t>11. Click the filter at the top left of the signatures window.</t>
    </r>
    <r>
      <rPr>
        <sz val="11"/>
        <color rgb="FF000000"/>
        <rFont val="Calibri"/>
      </rPr>
      <t xml:space="preserve">
</t>
    </r>
    <r>
      <rPr>
        <sz val="11"/>
        <color rgb="FF000000"/>
        <rFont val="Calibri"/>
      </rPr>
      <t>12. Select "LDAP Injection" in the "Attack Type" field and click "Apply".</t>
    </r>
    <r>
      <rPr>
        <sz val="11"/>
        <color rgb="FF000000"/>
        <rFont val="Calibri"/>
      </rPr>
      <t xml:space="preserve">
</t>
    </r>
    <r>
      <rPr>
        <sz val="11"/>
        <color rgb="FF000000"/>
        <rFont val="Calibri"/>
      </rPr>
      <t>13. Verify "Block" is checked for all signatures and "Status" is set to "Enforced".</t>
    </r>
    <r>
      <rPr>
        <sz val="11"/>
        <color rgb="FF000000"/>
        <rFont val="Calibri"/>
      </rPr>
      <t xml:space="preserve">
</t>
    </r>
    <r>
      <rPr>
        <sz val="11"/>
        <color rgb="FF000000"/>
        <rFont val="Calibri"/>
      </rPr>
      <t>If the BIG-IP appliance is not configured to prevent code injection attacks from being launched against data storage objects, including, at a minimum, databases, database records, queries, and fields, this is a finding.</t>
    </r>
  </si>
  <si>
    <t>V-266141</t>
  </si>
  <si>
    <r>
      <rPr>
        <sz val="11"/>
        <rFont val="Calibri"/>
      </rPr>
      <t>To protect against data mining, the F5 BIG-IP appliance providing content filtering must prevent code injection attacks launched against application objects including, at a minimum, application URLs and application code.</t>
    </r>
  </si>
  <si>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Application Security.</t>
    </r>
    <r>
      <rPr>
        <sz val="11"/>
        <color rgb="FF000000"/>
        <rFont val="Calibri"/>
      </rPr>
      <t xml:space="preserve">
</t>
    </r>
    <r>
      <rPr>
        <sz val="11"/>
        <color rgb="FF000000"/>
        <rFont val="Calibri"/>
      </rPr>
      <t>3. Security Policies.</t>
    </r>
    <r>
      <rPr>
        <sz val="11"/>
        <color rgb="FF000000"/>
        <rFont val="Calibri"/>
      </rPr>
      <t xml:space="preserve">
</t>
    </r>
    <r>
      <rPr>
        <sz val="11"/>
        <color rgb="FF000000"/>
        <rFont val="Calibri"/>
      </rPr>
      <t>4. Policies List.</t>
    </r>
    <r>
      <rPr>
        <sz val="11"/>
        <color rgb="FF000000"/>
        <rFont val="Calibri"/>
      </rPr>
      <t xml:space="preserve">
</t>
    </r>
    <r>
      <rPr>
        <sz val="11"/>
        <color rgb="FF000000"/>
        <rFont val="Calibri"/>
      </rPr>
      <t>5. Click the name of the policy.</t>
    </r>
    <r>
      <rPr>
        <sz val="11"/>
        <color rgb="FF000000"/>
        <rFont val="Calibri"/>
      </rPr>
      <t xml:space="preserve">
</t>
    </r>
    <r>
      <rPr>
        <sz val="11"/>
        <color rgb="FF000000"/>
        <rFont val="Calibri"/>
      </rPr>
      <t>6. Set "Enforcement Mode" to "Blocking".</t>
    </r>
    <r>
      <rPr>
        <sz val="11"/>
        <color rgb="FF000000"/>
        <rFont val="Calibri"/>
      </rPr>
      <t xml:space="preserve">
</t>
    </r>
    <r>
      <rPr>
        <sz val="11"/>
        <color rgb="FF000000"/>
        <rFont val="Calibri"/>
      </rPr>
      <t>7. Select "Attack Signatures".</t>
    </r>
    <r>
      <rPr>
        <sz val="11"/>
        <color rgb="FF000000"/>
        <rFont val="Calibri"/>
      </rPr>
      <t xml:space="preserve">
</t>
    </r>
    <r>
      <rPr>
        <sz val="11"/>
        <color rgb="FF000000"/>
        <rFont val="Calibri"/>
      </rPr>
      <t>8. Click the filter at the top left of the signatures window.</t>
    </r>
    <r>
      <rPr>
        <sz val="11"/>
        <color rgb="FF000000"/>
        <rFont val="Calibri"/>
      </rPr>
      <t xml:space="preserve">
</t>
    </r>
    <r>
      <rPr>
        <sz val="11"/>
        <color rgb="FF000000"/>
        <rFont val="Calibri"/>
      </rPr>
      <t>9. Select "Buffer Overflow" in the "Attack Type" field and click "Apply".</t>
    </r>
    <r>
      <rPr>
        <sz val="11"/>
        <color rgb="FF000000"/>
        <rFont val="Calibri"/>
      </rPr>
      <t xml:space="preserve">
</t>
    </r>
    <r>
      <rPr>
        <sz val="11"/>
        <color rgb="FF000000"/>
        <rFont val="Calibri"/>
      </rPr>
      <t>10. Select all signatures in the filtered list and click "Enforce".</t>
    </r>
    <r>
      <rPr>
        <sz val="11"/>
        <color rgb="FF000000"/>
        <rFont val="Calibri"/>
      </rPr>
      <t xml:space="preserve">
</t>
    </r>
    <r>
      <rPr>
        <sz val="11"/>
        <color rgb="FF000000"/>
        <rFont val="Calibri"/>
      </rPr>
      <t>11. Click "Enforce" again.</t>
    </r>
    <r>
      <rPr>
        <sz val="11"/>
        <color rgb="FF000000"/>
        <rFont val="Calibri"/>
      </rPr>
      <t xml:space="preserve">
</t>
    </r>
    <r>
      <rPr>
        <sz val="11"/>
        <color rgb="FF000000"/>
        <rFont val="Calibri"/>
      </rPr>
      <t>12. Click the filter at the top left of the signatures window.</t>
    </r>
    <r>
      <rPr>
        <sz val="11"/>
        <color rgb="FF000000"/>
        <rFont val="Calibri"/>
      </rPr>
      <t xml:space="preserve">
</t>
    </r>
    <r>
      <rPr>
        <sz val="11"/>
        <color rgb="FF000000"/>
        <rFont val="Calibri"/>
      </rPr>
      <t>13. Select "Server Side Code Injection" in the "Attack Type" field and click "Apply".</t>
    </r>
    <r>
      <rPr>
        <sz val="11"/>
        <color rgb="FF000000"/>
        <rFont val="Calibri"/>
      </rPr>
      <t xml:space="preserve">
</t>
    </r>
    <r>
      <rPr>
        <sz val="11"/>
        <color rgb="FF000000"/>
        <rFont val="Calibri"/>
      </rPr>
      <t>14. Select all signatures in the filtered list and click "Enforce".</t>
    </r>
    <r>
      <rPr>
        <sz val="11"/>
        <color rgb="FF000000"/>
        <rFont val="Calibri"/>
      </rPr>
      <t xml:space="preserve">
</t>
    </r>
    <r>
      <rPr>
        <sz val="11"/>
        <color rgb="FF000000"/>
        <rFont val="Calibri"/>
      </rPr>
      <t>15. Click "Enforce" again.</t>
    </r>
    <r>
      <rPr>
        <sz val="11"/>
        <color rgb="FF000000"/>
        <rFont val="Calibri"/>
      </rPr>
      <t xml:space="preserve">
</t>
    </r>
    <r>
      <rPr>
        <sz val="11"/>
        <color rgb="FF000000"/>
        <rFont val="Calibri"/>
      </rPr>
      <t>16. Click "Apply Policy".</t>
    </r>
  </si>
  <si>
    <r>
      <rPr>
        <sz val="11"/>
        <color rgb="FF000000"/>
        <rFont val="Calibri"/>
      </rPr>
      <t>Data mining is the analysis of large quantities of data to discover patterns and is used in intelligence gathering. Failure to prevent attacks launched against organizational information from unauthorized data mining may result in the compromise of information.</t>
    </r>
    <r>
      <rPr>
        <sz val="11"/>
        <color rgb="FF000000"/>
        <rFont val="Calibri"/>
      </rPr>
      <t xml:space="preserve">
</t>
    </r>
    <r>
      <rPr>
        <sz val="11"/>
        <color rgb="FF000000"/>
        <rFont val="Calibri"/>
      </rPr>
      <t>Injection attacks allow an attacker to inject code into a program or query or inject malware onto a computer to execute remote commands that can read or modify a database or change data on a website. These attacks include buffer overrun, XML, JavaScript, and HTML injections.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Compliance requires the ALG to have the capability to prevent code injections. Examples include a Web Application Firewalls (WAFs) or database application gateways.</t>
    </r>
    <r>
      <rPr>
        <sz val="11"/>
        <color rgb="FF000000"/>
        <rFont val="Calibri"/>
      </rPr>
      <t xml:space="preserve">
</t>
    </r>
    <r>
      <rPr>
        <sz val="11"/>
        <color rgb="FF000000"/>
        <rFont val="Calibri"/>
      </rPr>
      <t>Satisfies: SRG-NET-000318-ALG-000151, SRG-NET-000319-ALG-000153</t>
    </r>
  </si>
  <si>
    <r>
      <rPr>
        <sz val="11"/>
        <color rgb="FF000000"/>
        <rFont val="Calibri"/>
      </rPr>
      <t>If the ALG does not perform content filtering as part of the traffic management functions, this is not applicable.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Application Security.</t>
    </r>
    <r>
      <rPr>
        <sz val="11"/>
        <color rgb="FF000000"/>
        <rFont val="Calibri"/>
      </rPr>
      <t xml:space="preserve">
</t>
    </r>
    <r>
      <rPr>
        <sz val="11"/>
        <color rgb="FF000000"/>
        <rFont val="Calibri"/>
      </rPr>
      <t>3. Security Policies.</t>
    </r>
    <r>
      <rPr>
        <sz val="11"/>
        <color rgb="FF000000"/>
        <rFont val="Calibri"/>
      </rPr>
      <t xml:space="preserve">
</t>
    </r>
    <r>
      <rPr>
        <sz val="11"/>
        <color rgb="FF000000"/>
        <rFont val="Calibri"/>
      </rPr>
      <t>4. Policies List.</t>
    </r>
    <r>
      <rPr>
        <sz val="11"/>
        <color rgb="FF000000"/>
        <rFont val="Calibri"/>
      </rPr>
      <t xml:space="preserve">
</t>
    </r>
    <r>
      <rPr>
        <sz val="11"/>
        <color rgb="FF000000"/>
        <rFont val="Calibri"/>
      </rPr>
      <t>5. Click the name of the policy.</t>
    </r>
    <r>
      <rPr>
        <sz val="11"/>
        <color rgb="FF000000"/>
        <rFont val="Calibri"/>
      </rPr>
      <t xml:space="preserve">
</t>
    </r>
    <r>
      <rPr>
        <sz val="11"/>
        <color rgb="FF000000"/>
        <rFont val="Calibri"/>
      </rPr>
      <t>6. Verify "Enforcement Mode" is set to "Blocking".</t>
    </r>
    <r>
      <rPr>
        <sz val="11"/>
        <color rgb="FF000000"/>
        <rFont val="Calibri"/>
      </rPr>
      <t xml:space="preserve">
</t>
    </r>
    <r>
      <rPr>
        <sz val="11"/>
        <color rgb="FF000000"/>
        <rFont val="Calibri"/>
      </rPr>
      <t>7. Select "Attack Signatures".</t>
    </r>
    <r>
      <rPr>
        <sz val="11"/>
        <color rgb="FF000000"/>
        <rFont val="Calibri"/>
      </rPr>
      <t xml:space="preserve">
</t>
    </r>
    <r>
      <rPr>
        <sz val="11"/>
        <color rgb="FF000000"/>
        <rFont val="Calibri"/>
      </rPr>
      <t>8. Click the filter at the top left of the signatures window.</t>
    </r>
    <r>
      <rPr>
        <sz val="11"/>
        <color rgb="FF000000"/>
        <rFont val="Calibri"/>
      </rPr>
      <t xml:space="preserve">
</t>
    </r>
    <r>
      <rPr>
        <sz val="11"/>
        <color rgb="FF000000"/>
        <rFont val="Calibri"/>
      </rPr>
      <t>9. Select "Buffer Overflow" in the "Attack Type" field and click "Apply".</t>
    </r>
    <r>
      <rPr>
        <sz val="11"/>
        <color rgb="FF000000"/>
        <rFont val="Calibri"/>
      </rPr>
      <t xml:space="preserve">
</t>
    </r>
    <r>
      <rPr>
        <sz val="11"/>
        <color rgb="FF000000"/>
        <rFont val="Calibri"/>
      </rPr>
      <t>10. Verify "Block" is checked for all signatures and "Status" is set to "Enforced".</t>
    </r>
    <r>
      <rPr>
        <sz val="11"/>
        <color rgb="FF000000"/>
        <rFont val="Calibri"/>
      </rPr>
      <t xml:space="preserve">
</t>
    </r>
    <r>
      <rPr>
        <sz val="11"/>
        <color rgb="FF000000"/>
        <rFont val="Calibri"/>
      </rPr>
      <t>11. Click the filter at the top left of the signatures window.</t>
    </r>
    <r>
      <rPr>
        <sz val="11"/>
        <color rgb="FF000000"/>
        <rFont val="Calibri"/>
      </rPr>
      <t xml:space="preserve">
</t>
    </r>
    <r>
      <rPr>
        <sz val="11"/>
        <color rgb="FF000000"/>
        <rFont val="Calibri"/>
      </rPr>
      <t>12. Select "Server Side Code Injection" in the "Attack Type" field and click "Apply".</t>
    </r>
    <r>
      <rPr>
        <sz val="11"/>
        <color rgb="FF000000"/>
        <rFont val="Calibri"/>
      </rPr>
      <t xml:space="preserve">
</t>
    </r>
    <r>
      <rPr>
        <sz val="11"/>
        <color rgb="FF000000"/>
        <rFont val="Calibri"/>
      </rPr>
      <t>13. Verify "Block" is checked for all signatures and "Status" is set to "Enforced".</t>
    </r>
    <r>
      <rPr>
        <sz val="11"/>
        <color rgb="FF000000"/>
        <rFont val="Calibri"/>
      </rPr>
      <t xml:space="preserve">
</t>
    </r>
    <r>
      <rPr>
        <sz val="11"/>
        <color rgb="FF000000"/>
        <rFont val="Calibri"/>
      </rPr>
      <t>If the BIG-IP appliance is not configured to prevent code injection attacks launched against application objects including, at a minimum, application URLs and application code, this is a finding.</t>
    </r>
  </si>
  <si>
    <t>V-266142</t>
  </si>
  <si>
    <r>
      <rPr>
        <sz val="11"/>
        <rFont val="Calibri"/>
      </rPr>
      <t>To protect against data mining, the F5 BIG-IP appliance providing content filtering must prevent SQL injection attacks launched against data storage objects, including, at a minimum, databases, database records, and database fields.</t>
    </r>
  </si>
  <si>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Application Security.</t>
    </r>
    <r>
      <rPr>
        <sz val="11"/>
        <color rgb="FF000000"/>
        <rFont val="Calibri"/>
      </rPr>
      <t xml:space="preserve">
</t>
    </r>
    <r>
      <rPr>
        <sz val="11"/>
        <color rgb="FF000000"/>
        <rFont val="Calibri"/>
      </rPr>
      <t>3. Security Policies.</t>
    </r>
    <r>
      <rPr>
        <sz val="11"/>
        <color rgb="FF000000"/>
        <rFont val="Calibri"/>
      </rPr>
      <t xml:space="preserve">
</t>
    </r>
    <r>
      <rPr>
        <sz val="11"/>
        <color rgb="FF000000"/>
        <rFont val="Calibri"/>
      </rPr>
      <t>4. Policies List.</t>
    </r>
    <r>
      <rPr>
        <sz val="11"/>
        <color rgb="FF000000"/>
        <rFont val="Calibri"/>
      </rPr>
      <t xml:space="preserve">
</t>
    </r>
    <r>
      <rPr>
        <sz val="11"/>
        <color rgb="FF000000"/>
        <rFont val="Calibri"/>
      </rPr>
      <t>5. Click the name of the policy.</t>
    </r>
    <r>
      <rPr>
        <sz val="11"/>
        <color rgb="FF000000"/>
        <rFont val="Calibri"/>
      </rPr>
      <t xml:space="preserve">
</t>
    </r>
    <r>
      <rPr>
        <sz val="11"/>
        <color rgb="FF000000"/>
        <rFont val="Calibri"/>
      </rPr>
      <t>6. Set "Enforcement Mode" to "Blocking".</t>
    </r>
    <r>
      <rPr>
        <sz val="11"/>
        <color rgb="FF000000"/>
        <rFont val="Calibri"/>
      </rPr>
      <t xml:space="preserve">
</t>
    </r>
    <r>
      <rPr>
        <sz val="11"/>
        <color rgb="FF000000"/>
        <rFont val="Calibri"/>
      </rPr>
      <t>7. Select "Attack Signatures".</t>
    </r>
    <r>
      <rPr>
        <sz val="11"/>
        <color rgb="FF000000"/>
        <rFont val="Calibri"/>
      </rPr>
      <t xml:space="preserve">
</t>
    </r>
    <r>
      <rPr>
        <sz val="11"/>
        <color rgb="FF000000"/>
        <rFont val="Calibri"/>
      </rPr>
      <t>8. Click the filter at the top left of the signatures window.</t>
    </r>
    <r>
      <rPr>
        <sz val="11"/>
        <color rgb="FF000000"/>
        <rFont val="Calibri"/>
      </rPr>
      <t xml:space="preserve">
</t>
    </r>
    <r>
      <rPr>
        <sz val="11"/>
        <color rgb="FF000000"/>
        <rFont val="Calibri"/>
      </rPr>
      <t>9. Select "SQL-Injection" in the "Attack Type" field and click "Apply".</t>
    </r>
    <r>
      <rPr>
        <sz val="11"/>
        <color rgb="FF000000"/>
        <rFont val="Calibri"/>
      </rPr>
      <t xml:space="preserve">
</t>
    </r>
    <r>
      <rPr>
        <sz val="11"/>
        <color rgb="FF000000"/>
        <rFont val="Calibri"/>
      </rPr>
      <t>10. Select all signatures in the filtered list and click "Enforce".</t>
    </r>
    <r>
      <rPr>
        <sz val="11"/>
        <color rgb="FF000000"/>
        <rFont val="Calibri"/>
      </rPr>
      <t xml:space="preserve">
</t>
    </r>
    <r>
      <rPr>
        <sz val="11"/>
        <color rgb="FF000000"/>
        <rFont val="Calibri"/>
      </rPr>
      <t>11. Click "Enforce" again.</t>
    </r>
    <r>
      <rPr>
        <sz val="11"/>
        <color rgb="FF000000"/>
        <rFont val="Calibri"/>
      </rPr>
      <t xml:space="preserve">
</t>
    </r>
    <r>
      <rPr>
        <sz val="11"/>
        <color rgb="FF000000"/>
        <rFont val="Calibri"/>
      </rPr>
      <t>12. Click "Apply Policy".</t>
    </r>
  </si>
  <si>
    <r>
      <rPr>
        <sz val="11"/>
        <color rgb="FF000000"/>
        <rFont val="Calibri"/>
      </rPr>
      <t>Data mining is the analysis of large quantities of data to discover patterns and is used in intelligence gathering. Failure to prevent attacks launched against organizational information from unauthorized data mining may result in the compromise of information.</t>
    </r>
    <r>
      <rPr>
        <sz val="11"/>
        <color rgb="FF000000"/>
        <rFont val="Calibri"/>
      </rPr>
      <t xml:space="preserve">
</t>
    </r>
    <r>
      <rPr>
        <sz val="11"/>
        <color rgb="FF000000"/>
        <rFont val="Calibri"/>
      </rPr>
      <t>SQL injection attacks are the most prevalent attacks against web applications and databases. These attacks inject SQL commands that can read, modify, or compromise the meaning of the original SQL query. An attacker can spoof identity; expose, tamper, destroy, or make existing data unavailable; or gain unauthorized privileges on the database server.</t>
    </r>
    <r>
      <rPr>
        <sz val="11"/>
        <color rgb="FF000000"/>
        <rFont val="Calibri"/>
      </rPr>
      <t xml:space="preserve">
</t>
    </r>
    <r>
      <rPr>
        <sz val="11"/>
        <color rgb="FF000000"/>
        <rFont val="Calibri"/>
      </rPr>
      <t>Compliance requires the ALG to have the capability to prevent SQL code injections. Examples include a Web Application Firewalls (WAFs) or database application gateways.</t>
    </r>
    <r>
      <rPr>
        <sz val="11"/>
        <color rgb="FF000000"/>
        <rFont val="Calibri"/>
      </rPr>
      <t xml:space="preserve">
</t>
    </r>
    <r>
      <rPr>
        <sz val="11"/>
        <color rgb="FF000000"/>
        <rFont val="Calibri"/>
      </rPr>
      <t>Satisfies: SRG-NET-000318-ALG-000152, SRG-NET-000319-ALG-000020</t>
    </r>
  </si>
  <si>
    <r>
      <rPr>
        <sz val="11"/>
        <color rgb="FF000000"/>
        <rFont val="Calibri"/>
      </rPr>
      <t>If the ALG does not perform content filtering as part of the traffic management functions, this is not applicable.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Application Security.</t>
    </r>
    <r>
      <rPr>
        <sz val="11"/>
        <color rgb="FF000000"/>
        <rFont val="Calibri"/>
      </rPr>
      <t xml:space="preserve">
</t>
    </r>
    <r>
      <rPr>
        <sz val="11"/>
        <color rgb="FF000000"/>
        <rFont val="Calibri"/>
      </rPr>
      <t>3. Security Policies.</t>
    </r>
    <r>
      <rPr>
        <sz val="11"/>
        <color rgb="FF000000"/>
        <rFont val="Calibri"/>
      </rPr>
      <t xml:space="preserve">
</t>
    </r>
    <r>
      <rPr>
        <sz val="11"/>
        <color rgb="FF000000"/>
        <rFont val="Calibri"/>
      </rPr>
      <t>4. Policies List.</t>
    </r>
    <r>
      <rPr>
        <sz val="11"/>
        <color rgb="FF000000"/>
        <rFont val="Calibri"/>
      </rPr>
      <t xml:space="preserve">
</t>
    </r>
    <r>
      <rPr>
        <sz val="11"/>
        <color rgb="FF000000"/>
        <rFont val="Calibri"/>
      </rPr>
      <t>5. Click the name of the policy.</t>
    </r>
    <r>
      <rPr>
        <sz val="11"/>
        <color rgb="FF000000"/>
        <rFont val="Calibri"/>
      </rPr>
      <t xml:space="preserve">
</t>
    </r>
    <r>
      <rPr>
        <sz val="11"/>
        <color rgb="FF000000"/>
        <rFont val="Calibri"/>
      </rPr>
      <t>6. Verify "Enforcement Mode" is set to "Blocking".</t>
    </r>
    <r>
      <rPr>
        <sz val="11"/>
        <color rgb="FF000000"/>
        <rFont val="Calibri"/>
      </rPr>
      <t xml:space="preserve">
</t>
    </r>
    <r>
      <rPr>
        <sz val="11"/>
        <color rgb="FF000000"/>
        <rFont val="Calibri"/>
      </rPr>
      <t>7. Select "Attack Signatures".</t>
    </r>
    <r>
      <rPr>
        <sz val="11"/>
        <color rgb="FF000000"/>
        <rFont val="Calibri"/>
      </rPr>
      <t xml:space="preserve">
</t>
    </r>
    <r>
      <rPr>
        <sz val="11"/>
        <color rgb="FF000000"/>
        <rFont val="Calibri"/>
      </rPr>
      <t>8. Click the filter at the top left of the signatures window.</t>
    </r>
    <r>
      <rPr>
        <sz val="11"/>
        <color rgb="FF000000"/>
        <rFont val="Calibri"/>
      </rPr>
      <t xml:space="preserve">
</t>
    </r>
    <r>
      <rPr>
        <sz val="11"/>
        <color rgb="FF000000"/>
        <rFont val="Calibri"/>
      </rPr>
      <t>9. Select "SQL-Injection" in the "Attack Type" field and click "Apply".</t>
    </r>
    <r>
      <rPr>
        <sz val="11"/>
        <color rgb="FF000000"/>
        <rFont val="Calibri"/>
      </rPr>
      <t xml:space="preserve">
</t>
    </r>
    <r>
      <rPr>
        <sz val="11"/>
        <color rgb="FF000000"/>
        <rFont val="Calibri"/>
      </rPr>
      <t>10. Verify "Block" is checked for all signatures and "Status" is set to "Enforced".</t>
    </r>
    <r>
      <rPr>
        <sz val="11"/>
        <color rgb="FF000000"/>
        <rFont val="Calibri"/>
      </rPr>
      <t xml:space="preserve">
</t>
    </r>
    <r>
      <rPr>
        <sz val="11"/>
        <color rgb="FF000000"/>
        <rFont val="Calibri"/>
      </rPr>
      <t>If the BIG-IP appliance is not configured to prevent SQL injection attacks launched against data storage objects, including, at a minimum, databases, database records, and database fields, this is a finding.</t>
    </r>
  </si>
  <si>
    <t>V-266143</t>
  </si>
  <si>
    <r>
      <rPr>
        <sz val="11"/>
        <rFont val="Calibri"/>
      </rPr>
      <t>The F5 BIG-IP appliance providing user access control intermediary services must enforce approved authorizations for logical access to information and system resources by employing identity-based, role-based, and/or attribute-based security policies.</t>
    </r>
  </si>
  <si>
    <r>
      <rPr>
        <sz val="11"/>
        <color rgb="FF000000"/>
        <rFont val="Calibri"/>
      </rPr>
      <t xml:space="preserve">For each APM Access Policy, ensure that for each resource, all Advanced Resource Assign agents used in the configuration are explicitly configured to use an authorization list. </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"Edit" under "Per-Session Policy" for the Access Profile.</t>
    </r>
    <r>
      <rPr>
        <sz val="11"/>
        <color rgb="FF000000"/>
        <rFont val="Calibri"/>
      </rPr>
      <t xml:space="preserve">
</t>
    </r>
    <r>
      <rPr>
        <sz val="11"/>
        <color rgb="FF000000"/>
        <rFont val="Calibri"/>
      </rPr>
      <t>5. Click on any items that use the Advanced Resource Assign VPE object.</t>
    </r>
    <r>
      <rPr>
        <sz val="11"/>
        <color rgb="FF000000"/>
        <rFont val="Calibri"/>
      </rPr>
      <t xml:space="preserve">
</t>
    </r>
    <r>
      <rPr>
        <sz val="11"/>
        <color rgb="FF000000"/>
        <rFont val="Calibri"/>
      </rPr>
      <t>6. For each entry with an expression that is "Empty", click "change".</t>
    </r>
    <r>
      <rPr>
        <sz val="11"/>
        <color rgb="FF000000"/>
        <rFont val="Calibri"/>
      </rPr>
      <t xml:space="preserve">
</t>
    </r>
    <r>
      <rPr>
        <sz val="11"/>
        <color rgb="FF000000"/>
        <rFont val="Calibri"/>
      </rPr>
      <t>7. Add an appropriate expression that validates the user's authorization to access the resource specified in the item.</t>
    </r>
    <r>
      <rPr>
        <sz val="11"/>
        <color rgb="FF000000"/>
        <rFont val="Calibri"/>
      </rPr>
      <t xml:space="preserve">
</t>
    </r>
    <r>
      <rPr>
        <sz val="11"/>
        <color rgb="FF000000"/>
        <rFont val="Calibri"/>
      </rPr>
      <t>8. Click "Finished".</t>
    </r>
    <r>
      <rPr>
        <sz val="11"/>
        <color rgb="FF000000"/>
        <rFont val="Calibri"/>
      </rPr>
      <t xml:space="preserve">
</t>
    </r>
    <r>
      <rPr>
        <sz val="11"/>
        <color rgb="FF000000"/>
        <rFont val="Calibri"/>
      </rPr>
      <t>9. Click "Save".</t>
    </r>
    <r>
      <rPr>
        <sz val="11"/>
        <color rgb="FF000000"/>
        <rFont val="Calibri"/>
      </rPr>
      <t xml:space="preserve">
</t>
    </r>
    <r>
      <rPr>
        <sz val="11"/>
        <color rgb="FF000000"/>
        <rFont val="Calibri"/>
      </rPr>
      <t>10. Click "Apply Access Policy".</t>
    </r>
  </si>
  <si>
    <r>
      <rPr>
        <sz val="11"/>
        <color rgb="FF000000"/>
        <rFont val="Calibri"/>
      </rPr>
      <t>Successful authentication must not automatically give an entity access to an asset or security boundary. The lack of authorization-based access control could result in the immediate compromise of and unauthorized access to sensitive information. All DOD systems must be properly configured to incorporate access control methods that do not rely solely on authentication for authorized access.</t>
    </r>
    <r>
      <rPr>
        <sz val="11"/>
        <color rgb="FF000000"/>
        <rFont val="Calibri"/>
      </rPr>
      <t xml:space="preserve">
</t>
    </r>
    <r>
      <rPr>
        <sz val="11"/>
        <color rgb="FF000000"/>
        <rFont val="Calibri"/>
      </rPr>
      <t>Authorization is the process of determining whether an entity, once authenticated, is permitted to access a specific asset. Information systems use access control policies and enforcement mechanisms to implement this requirement. Authorization procedures and controls must be implemented to ensure each authenticated entity also has a validated and current authorization.</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ALGs must use these policies and mechanisms to control access on behalf of the application for which it is acting as intermediary.</t>
    </r>
  </si>
  <si>
    <r>
      <rPr>
        <sz val="11"/>
        <color rgb="FF000000"/>
        <rFont val="Calibri"/>
      </rPr>
      <t>If the BIG-IP appliance does not provide user access control intermediary services, this is not applicable.</t>
    </r>
    <r>
      <rPr>
        <sz val="11"/>
        <color rgb="FF000000"/>
        <rFont val="Calibri"/>
      </rPr>
      <t xml:space="preserve">
</t>
    </r>
    <r>
      <rPr>
        <sz val="11"/>
        <color rgb="FF000000"/>
        <rFont val="Calibri"/>
      </rPr>
      <t>If Advanced Resource Assign VPE agent is not used in any policy, this is not a finding.</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"Edit" under "Per-Session Policy" for the Access Profile.</t>
    </r>
    <r>
      <rPr>
        <sz val="11"/>
        <color rgb="FF000000"/>
        <rFont val="Calibri"/>
      </rPr>
      <t xml:space="preserve">
</t>
    </r>
    <r>
      <rPr>
        <sz val="11"/>
        <color rgb="FF000000"/>
        <rFont val="Calibri"/>
      </rPr>
      <t>5. Review each Resource.</t>
    </r>
    <r>
      <rPr>
        <sz val="11"/>
        <color rgb="FF000000"/>
        <rFont val="Calibri"/>
      </rPr>
      <t xml:space="preserve">
</t>
    </r>
    <r>
      <rPr>
        <sz val="11"/>
        <color rgb="FF000000"/>
        <rFont val="Calibri"/>
      </rPr>
      <t>- If the Advanced Resource Assign agent is used, verify that each expression listed is explicitly configured to use an authorization list.</t>
    </r>
    <r>
      <rPr>
        <sz val="11"/>
        <color rgb="FF000000"/>
        <rFont val="Calibri"/>
      </rPr>
      <t xml:space="preserve">
</t>
    </r>
    <r>
      <rPr>
        <sz val="11"/>
        <color rgb="FF000000"/>
        <rFont val="Calibri"/>
      </rPr>
      <t>If the Big IP F5 appliance Access Policy has any assigned resources that are not configured with a specific authorization list, this is a finding.</t>
    </r>
  </si>
  <si>
    <t>V-266144</t>
  </si>
  <si>
    <r>
      <rPr>
        <sz val="11"/>
        <rFont val="Calibri"/>
      </rPr>
      <t>The F5 BIG-IP appliance providing user access control intermediary services must implement attribute- and content-based inspection of the source, destination, headers, and/or content of the communications traffic.</t>
    </r>
  </si>
  <si>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Network Firewall.</t>
    </r>
    <r>
      <rPr>
        <sz val="11"/>
        <color rgb="FF000000"/>
        <rFont val="Calibri"/>
      </rPr>
      <t xml:space="preserve">
</t>
    </r>
    <r>
      <rPr>
        <sz val="11"/>
        <color rgb="FF000000"/>
        <rFont val="Calibri"/>
      </rPr>
      <t>3. Policies.</t>
    </r>
    <r>
      <rPr>
        <sz val="11"/>
        <color rgb="FF000000"/>
        <rFont val="Calibri"/>
      </rPr>
      <t xml:space="preserve">
</t>
    </r>
    <r>
      <rPr>
        <sz val="11"/>
        <color rgb="FF000000"/>
        <rFont val="Calibri"/>
      </rPr>
      <t>4. Create and/or edit firewall policies that are applied to the Context needed to enforce approved authorizations for controlling the flow of information within the network.</t>
    </r>
  </si>
  <si>
    <r>
      <rPr>
        <sz val="11"/>
        <color rgb="FF000000"/>
        <rFont val="Calibri"/>
      </rPr>
      <t>Information flow control regulates where information is allowed to travel within a network. The flow of all network traffic must be monitored and controlled so it does not introduce any unacceptable risk to the network infrastructure or data.</t>
    </r>
    <r>
      <rPr>
        <sz val="11"/>
        <color rgb="FF000000"/>
        <rFont val="Calibri"/>
      </rPr>
      <t xml:space="preserve">
</t>
    </r>
    <r>
      <rPr>
        <sz val="11"/>
        <color rgb="FF000000"/>
        <rFont val="Calibri"/>
      </rPr>
      <t>Information flow control policies and enforcement mechanisms are commonly employed by organizations to control the flow of information between designated sources and destinations (e.g., networks, individuals, devices) within information systems. Examples of information flow control restrictions include keeping export controlled information from being transmitted in the clear to the internet or blocking information marked as classified but is being transported to an unapproved destination.</t>
    </r>
    <r>
      <rPr>
        <sz val="11"/>
        <color rgb="FF000000"/>
        <rFont val="Calibri"/>
      </rPr>
      <t xml:space="preserve">
</t>
    </r>
    <r>
      <rPr>
        <sz val="11"/>
        <color rgb="FF000000"/>
        <rFont val="Calibri"/>
      </rPr>
      <t>ALGs enforce approved authorizations by employing security policy and/or rules that restrict information system services, provide packet filtering capability based on header or protocol information and/or message filtering capability based on data content (e.g., implementing key word searches or using document characteristics).</t>
    </r>
    <r>
      <rPr>
        <sz val="11"/>
        <color rgb="FF000000"/>
        <rFont val="Calibri"/>
      </rPr>
      <t xml:space="preserve">
</t>
    </r>
    <r>
      <rPr>
        <sz val="11"/>
        <color rgb="FF000000"/>
        <rFont val="Calibri"/>
      </rPr>
      <t>Satisfies: SRG-NET-000018-ALG-000017, SRG-NET-000019-ALG-000018</t>
    </r>
  </si>
  <si>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Network Firewall.</t>
    </r>
    <r>
      <rPr>
        <sz val="11"/>
        <color rgb="FF000000"/>
        <rFont val="Calibri"/>
      </rPr>
      <t xml:space="preserve">
</t>
    </r>
    <r>
      <rPr>
        <sz val="11"/>
        <color rgb="FF000000"/>
        <rFont val="Calibri"/>
      </rPr>
      <t>3. Active Rules.</t>
    </r>
    <r>
      <rPr>
        <sz val="11"/>
        <color rgb="FF000000"/>
        <rFont val="Calibri"/>
      </rPr>
      <t xml:space="preserve">
</t>
    </r>
    <r>
      <rPr>
        <sz val="11"/>
        <color rgb="FF000000"/>
        <rFont val="Calibri"/>
      </rPr>
      <t>4. Verify "Policy Type" is set to "Enforced".</t>
    </r>
    <r>
      <rPr>
        <sz val="11"/>
        <color rgb="FF000000"/>
        <rFont val="Calibri"/>
      </rPr>
      <t xml:space="preserve">
</t>
    </r>
    <r>
      <rPr>
        <sz val="11"/>
        <color rgb="FF000000"/>
        <rFont val="Calibri"/>
      </rPr>
      <t>5. Inspect the different "Context" choices and verify rules are configured to enforce approved authorizations for controlling the flow of information within the network.</t>
    </r>
    <r>
      <rPr>
        <sz val="11"/>
        <color rgb="FF000000"/>
        <rFont val="Calibri"/>
      </rPr>
      <t xml:space="preserve">
</t>
    </r>
    <r>
      <rPr>
        <sz val="11"/>
        <color rgb="FF000000"/>
        <rFont val="Calibri"/>
      </rPr>
      <t>If the BIG-IP appliance is not configured to enforce approved authorizations for controlling the flow of information within the network based on attribute- and content-based inspection of the source, destination, headers, and/or content of the communications traffic, this is a finding.</t>
    </r>
  </si>
  <si>
    <t>V-266145</t>
  </si>
  <si>
    <r>
      <rPr>
        <sz val="11"/>
        <rFont val="Calibri"/>
      </rPr>
      <t>The F5 BIG-IP appliance providing user access control intermediary services must display the Standard Mandatory DOD-approved Notice and Consent Banner before granting access to the network.</t>
    </r>
  </si>
  <si>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"Edit..." in the "Per-Session Policy" column for an Access Profile used for granting access.</t>
    </r>
    <r>
      <rPr>
        <sz val="11"/>
        <color rgb="FF000000"/>
        <rFont val="Calibri"/>
      </rPr>
      <t xml:space="preserve">
</t>
    </r>
    <r>
      <rPr>
        <sz val="11"/>
        <color rgb="FF000000"/>
        <rFont val="Calibri"/>
      </rPr>
      <t>5. Configure the Access Profile to display the Standard Mandatory DOD Notice and Consent Banner below before granting access to the system.</t>
    </r>
    <r>
      <rPr>
        <sz val="11"/>
        <color rgb="FF000000"/>
        <rFont val="Calibri"/>
      </rPr>
      <t xml:space="preserve">
</t>
    </r>
    <r>
      <rPr>
        <sz val="11"/>
        <color rgb="FF000000"/>
        <rFont val="Calibri"/>
      </rPr>
      <t>6. Click "Apply Access Policy".</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</si>
  <si>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Display of a standardized and approved use notification before granting access to the network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 This requirement applies to network elements that have the concept of a user account and have the logon function residing on the network element.</t>
    </r>
    <r>
      <rPr>
        <sz val="11"/>
        <color rgb="FF000000"/>
        <rFont val="Calibri"/>
      </rPr>
      <t xml:space="preserve">
</t>
    </r>
    <r>
      <rPr>
        <sz val="11"/>
        <color rgb="FF000000"/>
        <rFont val="Calibri"/>
      </rPr>
      <t>The banner must be formatted in accordance with DTM-08-060. Use the following verbiage for network elements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This policy only applies to ALGs (e.g., identity management or authentication gateways) that provide user account services as part of the intermediary services.</t>
    </r>
    <r>
      <rPr>
        <sz val="11"/>
        <color rgb="FF000000"/>
        <rFont val="Calibri"/>
      </rPr>
      <t xml:space="preserve">
</t>
    </r>
    <r>
      <rPr>
        <sz val="11"/>
        <color rgb="FF000000"/>
        <rFont val="Calibri"/>
      </rPr>
      <t>Satisfies: SRG-NET-000041-ALG-000022, SRG-NET-000042-ALG-000023, SRG-NET-000043-ALG-000024</t>
    </r>
  </si>
  <si>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"Edit..." in the "Per-Session Policy" column for an Access Profile used for granting access.</t>
    </r>
    <r>
      <rPr>
        <sz val="11"/>
        <color rgb="FF000000"/>
        <rFont val="Calibri"/>
      </rPr>
      <t xml:space="preserve">
</t>
    </r>
    <r>
      <rPr>
        <sz val="11"/>
        <color rgb="FF000000"/>
        <rFont val="Calibri"/>
      </rPr>
      <t>5. Verify the Access Profile is configured to display the Standard Mandatory DOD Notice and Consent Banner before granting access to the system. The banner must be exactly formatted in accordance with the policy (see below).</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BIG-IP APM module is not configured to display the Standard Mandatory DOD Notice and Consent Banner before granting access to the system, this is a finding.</t>
    </r>
  </si>
  <si>
    <t>V-266146</t>
  </si>
  <si>
    <r>
      <rPr>
        <sz val="11"/>
        <rFont val="Calibri"/>
      </rPr>
      <t>The F5 BIG-IP appliance must generate event log records that can be forwarded to the centralized events log.</t>
    </r>
  </si>
  <si>
    <r>
      <rPr>
        <sz val="11"/>
        <color rgb="FF000000"/>
        <rFont val="Calibri"/>
      </rPr>
      <t>Note: Performing this Fix modifies the "default-log-setting" log profile, but users can use a different log profile for the Access Profile. However, this requires using the APM Module.</t>
    </r>
    <r>
      <rPr>
        <sz val="11"/>
        <color rgb="FF000000"/>
        <rFont val="Calibri"/>
      </rPr>
      <t xml:space="preserve">
</t>
    </r>
    <r>
      <rPr>
        <sz val="11"/>
        <color rgb="FF000000"/>
        <rFont val="Calibri"/>
      </rPr>
      <t>APM Default Log Profile: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Overview.</t>
    </r>
    <r>
      <rPr>
        <sz val="11"/>
        <color rgb="FF000000"/>
        <rFont val="Calibri"/>
      </rPr>
      <t xml:space="preserve">
</t>
    </r>
    <r>
      <rPr>
        <sz val="11"/>
        <color rgb="FF000000"/>
        <rFont val="Calibri"/>
      </rPr>
      <t>3. Event Logs.</t>
    </r>
    <r>
      <rPr>
        <sz val="11"/>
        <color rgb="FF000000"/>
        <rFont val="Calibri"/>
      </rPr>
      <t xml:space="preserve">
</t>
    </r>
    <r>
      <rPr>
        <sz val="11"/>
        <color rgb="FF000000"/>
        <rFont val="Calibri"/>
      </rPr>
      <t>4. Settings.</t>
    </r>
    <r>
      <rPr>
        <sz val="11"/>
        <color rgb="FF000000"/>
        <rFont val="Calibri"/>
      </rPr>
      <t xml:space="preserve">
</t>
    </r>
    <r>
      <rPr>
        <sz val="11"/>
        <color rgb="FF000000"/>
        <rFont val="Calibri"/>
      </rPr>
      <t>5. Check the box for the "default-log-setting" and click "Edit".</t>
    </r>
    <r>
      <rPr>
        <sz val="11"/>
        <color rgb="FF000000"/>
        <rFont val="Calibri"/>
      </rPr>
      <t xml:space="preserve">
</t>
    </r>
    <r>
      <rPr>
        <sz val="11"/>
        <color rgb="FF000000"/>
        <rFont val="Calibri"/>
      </rPr>
      <t>6. Check "Enable Access System Logs".</t>
    </r>
    <r>
      <rPr>
        <sz val="11"/>
        <color rgb="FF000000"/>
        <rFont val="Calibri"/>
      </rPr>
      <t xml:space="preserve">
</t>
    </r>
    <r>
      <rPr>
        <sz val="11"/>
        <color rgb="FF000000"/>
        <rFont val="Calibri"/>
      </rPr>
      <t>7. On the "Access System Logs" tab, set all items are to "Notice".</t>
    </r>
    <r>
      <rPr>
        <sz val="11"/>
        <color rgb="FF000000"/>
        <rFont val="Calibri"/>
      </rPr>
      <t xml:space="preserve">
</t>
    </r>
    <r>
      <rPr>
        <sz val="11"/>
        <color rgb="FF000000"/>
        <rFont val="Calibri"/>
      </rPr>
      <t>8. Click "OK".</t>
    </r>
    <r>
      <rPr>
        <sz val="11"/>
        <color rgb="FF000000"/>
        <rFont val="Calibri"/>
      </rPr>
      <t xml:space="preserve">
</t>
    </r>
    <r>
      <rPr>
        <sz val="11"/>
        <color rgb="FF000000"/>
        <rFont val="Calibri"/>
      </rPr>
      <t>Access Profile Log Setting:</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 (Per-Session Policies).</t>
    </r>
    <r>
      <rPr>
        <sz val="11"/>
        <color rgb="FF000000"/>
        <rFont val="Calibri"/>
      </rPr>
      <t xml:space="preserve">
</t>
    </r>
    <r>
      <rPr>
        <sz val="11"/>
        <color rgb="FF000000"/>
        <rFont val="Calibri"/>
      </rPr>
      <t>4. Click the Name of the Access Profile.</t>
    </r>
    <r>
      <rPr>
        <sz val="11"/>
        <color rgb="FF000000"/>
        <rFont val="Calibri"/>
      </rPr>
      <t xml:space="preserve">
</t>
    </r>
    <r>
      <rPr>
        <sz val="11"/>
        <color rgb="FF000000"/>
        <rFont val="Calibri"/>
      </rPr>
      <t>5. Logs tab.</t>
    </r>
    <r>
      <rPr>
        <sz val="11"/>
        <color rgb="FF000000"/>
        <rFont val="Calibri"/>
      </rPr>
      <t xml:space="preserve">
</t>
    </r>
    <r>
      <rPr>
        <sz val="11"/>
        <color rgb="FF000000"/>
        <rFont val="Calibri"/>
      </rPr>
      <t>6. Move "default-log-setting" to the "Selected" column.</t>
    </r>
    <r>
      <rPr>
        <sz val="11"/>
        <color rgb="FF000000"/>
        <rFont val="Calibri"/>
      </rPr>
      <t xml:space="preserve">
</t>
    </r>
    <r>
      <rPr>
        <sz val="11"/>
        <color rgb="FF000000"/>
        <rFont val="Calibri"/>
      </rPr>
      <t>7. Click "Update".</t>
    </r>
  </si>
  <si>
    <r>
      <rPr>
        <sz val="11"/>
        <color rgb="FF000000"/>
        <rFont val="Calibri"/>
      </rPr>
      <t>Without generating audit records that log usage of objects by subjects and other objects, it would be difficult to establish, correlate, and investigate the events relating to an incident, or identify those responsible for one. The device logs internal users associated with denied outgoing communications traffic posing a threat to external information systems.</t>
    </r>
    <r>
      <rPr>
        <sz val="11"/>
        <color rgb="FF000000"/>
        <rFont val="Calibri"/>
      </rPr>
      <t xml:space="preserve">
</t>
    </r>
    <r>
      <rPr>
        <sz val="11"/>
        <color rgb="FF000000"/>
        <rFont val="Calibri"/>
      </rPr>
      <t>Audit records can be generated from various components within the information system (e.g., module or policy filter). Security objects are data objects which are controlled by security policy and bound to security attributes.</t>
    </r>
    <r>
      <rPr>
        <sz val="11"/>
        <color rgb="FF000000"/>
        <rFont val="Calibri"/>
      </rPr>
      <t xml:space="preserve">
</t>
    </r>
    <r>
      <rPr>
        <sz val="11"/>
        <color rgb="FF000000"/>
        <rFont val="Calibri"/>
      </rPr>
      <t>Satisfies: SRG-NET-000492-ALG-000027, SRG-NET-000494-ALG-000029, SRG-NET-000495-ALG-000030, SRG-NET-000496-ALG-000031, SRG-NET-000497-ALG-000032, SRG-NET-000498-ALG-000033, SRG-NET-000499-ALG-000034, SRG-NET-000500-ALG-000035, SRG-NET-000501-ALG-000036, SRG-NET-000502-ALG-000037, SRG-NET-000503-ALG-000038, SRG-NET-000505-ALG-000039, SRG-NET-000513-ALG-000026, SRG-NET-000074-ALG-000043, SRG-NET-000075-ALG-000044, SRG-NET-000076-ALG-000045, SRG-NET-000077-ALG-000046, SRG-NET-000078-ALG-000047, SRG-NET-000079-ALG-000048, SRG-NET-000249-ALG-000146, SRG-NET-000383-ALG-000135, SRG-NET-000385-ALG-000138, SRG-NET-000392-ALG-000141, SRG-NET-000392-ALG-000142, SRG-NET-000392-ALG-000143, SRG-NET-000392-ALG-000147, SRG-NET-000392-ALG-000148, SRG-NET-000392-ALG-000149, SRG-NET-000370-ALG-000125</t>
    </r>
  </si>
  <si>
    <r>
      <rPr>
        <sz val="11"/>
        <color rgb="FF000000"/>
        <rFont val="Calibri"/>
      </rPr>
      <t>APM Default Log Profile: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Overview.</t>
    </r>
    <r>
      <rPr>
        <sz val="11"/>
        <color rgb="FF000000"/>
        <rFont val="Calibri"/>
      </rPr>
      <t xml:space="preserve">
</t>
    </r>
    <r>
      <rPr>
        <sz val="11"/>
        <color rgb="FF000000"/>
        <rFont val="Calibri"/>
      </rPr>
      <t>3. Event Logs.</t>
    </r>
    <r>
      <rPr>
        <sz val="11"/>
        <color rgb="FF000000"/>
        <rFont val="Calibri"/>
      </rPr>
      <t xml:space="preserve">
</t>
    </r>
    <r>
      <rPr>
        <sz val="11"/>
        <color rgb="FF000000"/>
        <rFont val="Calibri"/>
      </rPr>
      <t>4. Settings.</t>
    </r>
    <r>
      <rPr>
        <sz val="11"/>
        <color rgb="FF000000"/>
        <rFont val="Calibri"/>
      </rPr>
      <t xml:space="preserve">
</t>
    </r>
    <r>
      <rPr>
        <sz val="11"/>
        <color rgb="FF000000"/>
        <rFont val="Calibri"/>
      </rPr>
      <t>5. Check the box for the "default-log-setting" and click "Edit".</t>
    </r>
    <r>
      <rPr>
        <sz val="11"/>
        <color rgb="FF000000"/>
        <rFont val="Calibri"/>
      </rPr>
      <t xml:space="preserve">
</t>
    </r>
    <r>
      <rPr>
        <sz val="11"/>
        <color rgb="FF000000"/>
        <rFont val="Calibri"/>
      </rPr>
      <t>6. Verify "Enable Access System Logs" is checked.</t>
    </r>
    <r>
      <rPr>
        <sz val="11"/>
        <color rgb="FF000000"/>
        <rFont val="Calibri"/>
      </rPr>
      <t xml:space="preserve">
</t>
    </r>
    <r>
      <rPr>
        <sz val="11"/>
        <color rgb="FF000000"/>
        <rFont val="Calibri"/>
      </rPr>
      <t>7. On the "Access System Logs" tab, verify all items are set to "Notice".</t>
    </r>
    <r>
      <rPr>
        <sz val="11"/>
        <color rgb="FF000000"/>
        <rFont val="Calibri"/>
      </rPr>
      <t xml:space="preserve">
</t>
    </r>
    <r>
      <rPr>
        <sz val="11"/>
        <color rgb="FF000000"/>
        <rFont val="Calibri"/>
      </rPr>
      <t>Access Profile Log Setting:</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 (Per-Session Policies).</t>
    </r>
    <r>
      <rPr>
        <sz val="11"/>
        <color rgb="FF000000"/>
        <rFont val="Calibri"/>
      </rPr>
      <t xml:space="preserve">
</t>
    </r>
    <r>
      <rPr>
        <sz val="11"/>
        <color rgb="FF000000"/>
        <rFont val="Calibri"/>
      </rPr>
      <t>4. Click the Name of the Access Profile.</t>
    </r>
    <r>
      <rPr>
        <sz val="11"/>
        <color rgb="FF000000"/>
        <rFont val="Calibri"/>
      </rPr>
      <t xml:space="preserve">
</t>
    </r>
    <r>
      <rPr>
        <sz val="11"/>
        <color rgb="FF000000"/>
        <rFont val="Calibri"/>
      </rPr>
      <t>5. Logs tab.</t>
    </r>
    <r>
      <rPr>
        <sz val="11"/>
        <color rgb="FF000000"/>
        <rFont val="Calibri"/>
      </rPr>
      <t xml:space="preserve">
</t>
    </r>
    <r>
      <rPr>
        <sz val="11"/>
        <color rgb="FF000000"/>
        <rFont val="Calibri"/>
      </rPr>
      <t>6. Verify "default-log-setting" is in the "Selected" column.</t>
    </r>
    <r>
      <rPr>
        <sz val="11"/>
        <color rgb="FF000000"/>
        <rFont val="Calibri"/>
      </rPr>
      <t xml:space="preserve">
</t>
    </r>
    <r>
      <rPr>
        <sz val="11"/>
        <color rgb="FF000000"/>
        <rFont val="Calibri"/>
      </rPr>
      <t>If the BIG-IP appliance is not configured to generate log records, this is a finding.</t>
    </r>
  </si>
  <si>
    <t>V-266147</t>
  </si>
  <si>
    <r>
      <rPr>
        <sz val="11"/>
        <rFont val="Calibri"/>
      </rPr>
      <t>The F5 BIG-IP appliance that provides intermediary services for SMTP must inspect inbound and outbound SMTP and Extended SMTP communications traffic for protocol compliance and protocol anomalies.</t>
    </r>
  </si>
  <si>
    <r>
      <rPr>
        <sz val="11"/>
        <color rgb="FF000000"/>
        <rFont val="Calibri"/>
      </rPr>
      <t>SMTP Profile: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Local Traffic.</t>
    </r>
    <r>
      <rPr>
        <sz val="11"/>
        <color rgb="FF000000"/>
        <rFont val="Calibri"/>
      </rPr>
      <t xml:space="preserve">
</t>
    </r>
    <r>
      <rPr>
        <sz val="11"/>
        <color rgb="FF000000"/>
        <rFont val="Calibri"/>
      </rPr>
      <t>2. Profiles.</t>
    </r>
    <r>
      <rPr>
        <sz val="11"/>
        <color rgb="FF000000"/>
        <rFont val="Calibri"/>
      </rPr>
      <t xml:space="preserve">
</t>
    </r>
    <r>
      <rPr>
        <sz val="11"/>
        <color rgb="FF000000"/>
        <rFont val="Calibri"/>
      </rPr>
      <t>3. Services.</t>
    </r>
    <r>
      <rPr>
        <sz val="11"/>
        <color rgb="FF000000"/>
        <rFont val="Calibri"/>
      </rPr>
      <t xml:space="preserve">
</t>
    </r>
    <r>
      <rPr>
        <sz val="11"/>
        <color rgb="FF000000"/>
        <rFont val="Calibri"/>
      </rPr>
      <t>4. SMTP.</t>
    </r>
    <r>
      <rPr>
        <sz val="11"/>
        <color rgb="FF000000"/>
        <rFont val="Calibri"/>
      </rPr>
      <t xml:space="preserve">
</t>
    </r>
    <r>
      <rPr>
        <sz val="11"/>
        <color rgb="FF000000"/>
        <rFont val="Calibri"/>
      </rPr>
      <t>5. Click the name of the SMTP profile.</t>
    </r>
    <r>
      <rPr>
        <sz val="11"/>
        <color rgb="FF000000"/>
        <rFont val="Calibri"/>
      </rPr>
      <t xml:space="preserve">
</t>
    </r>
    <r>
      <rPr>
        <sz val="11"/>
        <color rgb="FF000000"/>
        <rFont val="Calibri"/>
      </rPr>
      <t>6. Check "Protocol Security".</t>
    </r>
    <r>
      <rPr>
        <sz val="11"/>
        <color rgb="FF000000"/>
        <rFont val="Calibri"/>
      </rPr>
      <t xml:space="preserve">
</t>
    </r>
    <r>
      <rPr>
        <sz val="11"/>
        <color rgb="FF000000"/>
        <rFont val="Calibri"/>
      </rPr>
      <t>7. Click "Update".</t>
    </r>
    <r>
      <rPr>
        <sz val="11"/>
        <color rgb="FF000000"/>
        <rFont val="Calibri"/>
      </rPr>
      <t xml:space="preserve">
</t>
    </r>
    <r>
      <rPr>
        <sz val="11"/>
        <color rgb="FF000000"/>
        <rFont val="Calibri"/>
      </rPr>
      <t>SMTP Virtual Server:</t>
    </r>
    <r>
      <rPr>
        <sz val="11"/>
        <color rgb="FF000000"/>
        <rFont val="Calibri"/>
      </rPr>
      <t xml:space="preserve">
</t>
    </r>
    <r>
      <rPr>
        <sz val="11"/>
        <color rgb="FF000000"/>
        <rFont val="Calibri"/>
      </rPr>
      <t>1. Local Traffic.</t>
    </r>
    <r>
      <rPr>
        <sz val="11"/>
        <color rgb="FF000000"/>
        <rFont val="Calibri"/>
      </rPr>
      <t xml:space="preserve">
</t>
    </r>
    <r>
      <rPr>
        <sz val="11"/>
        <color rgb="FF000000"/>
        <rFont val="Calibri"/>
      </rPr>
      <t>2. Virtual Servers.</t>
    </r>
    <r>
      <rPr>
        <sz val="11"/>
        <color rgb="FF000000"/>
        <rFont val="Calibri"/>
      </rPr>
      <t xml:space="preserve">
</t>
    </r>
    <r>
      <rPr>
        <sz val="11"/>
        <color rgb="FF000000"/>
        <rFont val="Calibri"/>
      </rPr>
      <t>3. Virtual Server List.</t>
    </r>
    <r>
      <rPr>
        <sz val="11"/>
        <color rgb="FF000000"/>
        <rFont val="Calibri"/>
      </rPr>
      <t xml:space="preserve">
</t>
    </r>
    <r>
      <rPr>
        <sz val="11"/>
        <color rgb="FF000000"/>
        <rFont val="Calibri"/>
      </rPr>
      <t>4. Click the name of the SMTP virtual server.</t>
    </r>
    <r>
      <rPr>
        <sz val="11"/>
        <color rgb="FF000000"/>
        <rFont val="Calibri"/>
      </rPr>
      <t xml:space="preserve">
</t>
    </r>
    <r>
      <rPr>
        <sz val="11"/>
        <color rgb="FF000000"/>
        <rFont val="Calibri"/>
      </rPr>
      <t>5. Select the SMTP profile from the "SMTP Profile" drop-down list.</t>
    </r>
    <r>
      <rPr>
        <sz val="11"/>
        <color rgb="FF000000"/>
        <rFont val="Calibri"/>
      </rPr>
      <t xml:space="preserve">
</t>
    </r>
    <r>
      <rPr>
        <sz val="11"/>
        <color rgb="FF000000"/>
        <rFont val="Calibri"/>
      </rPr>
      <t>6. Click "Update".</t>
    </r>
    <r>
      <rPr>
        <sz val="11"/>
        <color rgb="FF000000"/>
        <rFont val="Calibri"/>
      </rPr>
      <t xml:space="preserve">
</t>
    </r>
    <r>
      <rPr>
        <sz val="11"/>
        <color rgb="FF000000"/>
        <rFont val="Calibri"/>
      </rPr>
      <t>Refer to vendor documentation for more information.</t>
    </r>
  </si>
  <si>
    <r>
      <rPr>
        <sz val="11"/>
        <color rgb="FF000000"/>
        <rFont val="Calibri"/>
      </rPr>
      <t>Application protocol anomaly detection examines application layer protocols such as SMTP to identify attacks based on observed deviations in the normal RFC behavior of a protocol or service. This type of monitoring allows for the detection of known and unknown exploits which exploit weaknesses of commonly used protocols.</t>
    </r>
    <r>
      <rPr>
        <sz val="11"/>
        <color rgb="FF000000"/>
        <rFont val="Calibri"/>
      </rPr>
      <t xml:space="preserve">
</t>
    </r>
    <r>
      <rPr>
        <sz val="11"/>
        <color rgb="FF000000"/>
        <rFont val="Calibri"/>
      </rPr>
      <t>Since protocol anomaly analysis examines the application payload for patterns or anomalies, an SMTP proxy must be included in the ALG. This ALG will be configured to inspect inbound and outbound SMTP and extended SMTP communications traffic to detect protocol anomalies such as malformed message and command insertion attacks.</t>
    </r>
  </si>
  <si>
    <r>
      <rPr>
        <sz val="11"/>
        <color rgb="FF000000"/>
        <rFont val="Calibri"/>
      </rPr>
      <t>If the BIG-IP appliance does not provide intermediary/proxy services for SMTP communications traffic, this is not applicable.</t>
    </r>
    <r>
      <rPr>
        <sz val="11"/>
        <color rgb="FF000000"/>
        <rFont val="Calibri"/>
      </rPr>
      <t xml:space="preserve">
</t>
    </r>
    <r>
      <rPr>
        <sz val="11"/>
        <color rgb="FF000000"/>
        <rFont val="Calibri"/>
      </rPr>
      <t>SMTP Profile: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Local Traffic.</t>
    </r>
    <r>
      <rPr>
        <sz val="11"/>
        <color rgb="FF000000"/>
        <rFont val="Calibri"/>
      </rPr>
      <t xml:space="preserve">
</t>
    </r>
    <r>
      <rPr>
        <sz val="11"/>
        <color rgb="FF000000"/>
        <rFont val="Calibri"/>
      </rPr>
      <t>2. Profiles.</t>
    </r>
    <r>
      <rPr>
        <sz val="11"/>
        <color rgb="FF000000"/>
        <rFont val="Calibri"/>
      </rPr>
      <t xml:space="preserve">
</t>
    </r>
    <r>
      <rPr>
        <sz val="11"/>
        <color rgb="FF000000"/>
        <rFont val="Calibri"/>
      </rPr>
      <t>3. Services.</t>
    </r>
    <r>
      <rPr>
        <sz val="11"/>
        <color rgb="FF000000"/>
        <rFont val="Calibri"/>
      </rPr>
      <t xml:space="preserve">
</t>
    </r>
    <r>
      <rPr>
        <sz val="11"/>
        <color rgb="FF000000"/>
        <rFont val="Calibri"/>
      </rPr>
      <t>4. SMTP.</t>
    </r>
    <r>
      <rPr>
        <sz val="11"/>
        <color rgb="FF000000"/>
        <rFont val="Calibri"/>
      </rPr>
      <t xml:space="preserve">
</t>
    </r>
    <r>
      <rPr>
        <sz val="11"/>
        <color rgb="FF000000"/>
        <rFont val="Calibri"/>
      </rPr>
      <t>5. Click the name of the SMTP profile.</t>
    </r>
    <r>
      <rPr>
        <sz val="11"/>
        <color rgb="FF000000"/>
        <rFont val="Calibri"/>
      </rPr>
      <t xml:space="preserve">
</t>
    </r>
    <r>
      <rPr>
        <sz val="11"/>
        <color rgb="FF000000"/>
        <rFont val="Calibri"/>
      </rPr>
      <t>6. Verify "Protocol Security" is checked.</t>
    </r>
    <r>
      <rPr>
        <sz val="11"/>
        <color rgb="FF000000"/>
        <rFont val="Calibri"/>
      </rPr>
      <t xml:space="preserve">
</t>
    </r>
    <r>
      <rPr>
        <sz val="11"/>
        <color rgb="FF000000"/>
        <rFont val="Calibri"/>
      </rPr>
      <t>SMTP Virtual Server:</t>
    </r>
    <r>
      <rPr>
        <sz val="11"/>
        <color rgb="FF000000"/>
        <rFont val="Calibri"/>
      </rPr>
      <t xml:space="preserve">
</t>
    </r>
    <r>
      <rPr>
        <sz val="11"/>
        <color rgb="FF000000"/>
        <rFont val="Calibri"/>
      </rPr>
      <t>1. Local Traffic.</t>
    </r>
    <r>
      <rPr>
        <sz val="11"/>
        <color rgb="FF000000"/>
        <rFont val="Calibri"/>
      </rPr>
      <t xml:space="preserve">
</t>
    </r>
    <r>
      <rPr>
        <sz val="11"/>
        <color rgb="FF000000"/>
        <rFont val="Calibri"/>
      </rPr>
      <t>2. Virtual Servers.</t>
    </r>
    <r>
      <rPr>
        <sz val="11"/>
        <color rgb="FF000000"/>
        <rFont val="Calibri"/>
      </rPr>
      <t xml:space="preserve">
</t>
    </r>
    <r>
      <rPr>
        <sz val="11"/>
        <color rgb="FF000000"/>
        <rFont val="Calibri"/>
      </rPr>
      <t>3. Virtual Server List.</t>
    </r>
    <r>
      <rPr>
        <sz val="11"/>
        <color rgb="FF000000"/>
        <rFont val="Calibri"/>
      </rPr>
      <t xml:space="preserve">
</t>
    </r>
    <r>
      <rPr>
        <sz val="11"/>
        <color rgb="FF000000"/>
        <rFont val="Calibri"/>
      </rPr>
      <t>4. Click the name of the SMTP virtual server.</t>
    </r>
    <r>
      <rPr>
        <sz val="11"/>
        <color rgb="FF000000"/>
        <rFont val="Calibri"/>
      </rPr>
      <t xml:space="preserve">
</t>
    </r>
    <r>
      <rPr>
        <sz val="11"/>
        <color rgb="FF000000"/>
        <rFont val="Calibri"/>
      </rPr>
      <t>5. Verify the SMTP profile is selected in the "SMTP Profile" drop-down list.</t>
    </r>
    <r>
      <rPr>
        <sz val="11"/>
        <color rgb="FF000000"/>
        <rFont val="Calibri"/>
      </rPr>
      <t xml:space="preserve">
</t>
    </r>
    <r>
      <rPr>
        <sz val="11"/>
        <color rgb="FF000000"/>
        <rFont val="Calibri"/>
      </rPr>
      <t>If the BIG-IP appliance is not configured to inspect inbound and outbound SMTP and Extended SMTP communications traffic for protocol compliance and protocol anomalies, this is a finding.</t>
    </r>
  </si>
  <si>
    <t>V-266148</t>
  </si>
  <si>
    <r>
      <rPr>
        <sz val="11"/>
        <rFont val="Calibri"/>
      </rPr>
      <t>The F5 BIG-IP appliance that intermediary services for FTP must inspect inbound and outbound FTP communications traffic for protocol compliance and protocol anomalies.</t>
    </r>
  </si>
  <si>
    <r>
      <rPr>
        <sz val="11"/>
        <color rgb="FF000000"/>
        <rFont val="Calibri"/>
      </rPr>
      <t>FTP Profile: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Local Traffic.</t>
    </r>
    <r>
      <rPr>
        <sz val="11"/>
        <color rgb="FF000000"/>
        <rFont val="Calibri"/>
      </rPr>
      <t xml:space="preserve">
</t>
    </r>
    <r>
      <rPr>
        <sz val="11"/>
        <color rgb="FF000000"/>
        <rFont val="Calibri"/>
      </rPr>
      <t>2. Profiles.</t>
    </r>
    <r>
      <rPr>
        <sz val="11"/>
        <color rgb="FF000000"/>
        <rFont val="Calibri"/>
      </rPr>
      <t xml:space="preserve">
</t>
    </r>
    <r>
      <rPr>
        <sz val="11"/>
        <color rgb="FF000000"/>
        <rFont val="Calibri"/>
      </rPr>
      <t>3. Services.</t>
    </r>
    <r>
      <rPr>
        <sz val="11"/>
        <color rgb="FF000000"/>
        <rFont val="Calibri"/>
      </rPr>
      <t xml:space="preserve">
</t>
    </r>
    <r>
      <rPr>
        <sz val="11"/>
        <color rgb="FF000000"/>
        <rFont val="Calibri"/>
      </rPr>
      <t>4. FTP.</t>
    </r>
    <r>
      <rPr>
        <sz val="11"/>
        <color rgb="FF000000"/>
        <rFont val="Calibri"/>
      </rPr>
      <t xml:space="preserve">
</t>
    </r>
    <r>
      <rPr>
        <sz val="11"/>
        <color rgb="FF000000"/>
        <rFont val="Calibri"/>
      </rPr>
      <t>5. Click the name of the FTP profile.</t>
    </r>
    <r>
      <rPr>
        <sz val="11"/>
        <color rgb="FF000000"/>
        <rFont val="Calibri"/>
      </rPr>
      <t xml:space="preserve">
</t>
    </r>
    <r>
      <rPr>
        <sz val="11"/>
        <color rgb="FF000000"/>
        <rFont val="Calibri"/>
      </rPr>
      <t>6. Check "Protocol Security".</t>
    </r>
    <r>
      <rPr>
        <sz val="11"/>
        <color rgb="FF000000"/>
        <rFont val="Calibri"/>
      </rPr>
      <t xml:space="preserve">
</t>
    </r>
    <r>
      <rPr>
        <sz val="11"/>
        <color rgb="FF000000"/>
        <rFont val="Calibri"/>
      </rPr>
      <t>7. Click "Update".</t>
    </r>
    <r>
      <rPr>
        <sz val="11"/>
        <color rgb="FF000000"/>
        <rFont val="Calibri"/>
      </rPr>
      <t xml:space="preserve">
</t>
    </r>
    <r>
      <rPr>
        <sz val="11"/>
        <color rgb="FF000000"/>
        <rFont val="Calibri"/>
      </rPr>
      <t>FTP Virtual Server:</t>
    </r>
    <r>
      <rPr>
        <sz val="11"/>
        <color rgb="FF000000"/>
        <rFont val="Calibri"/>
      </rPr>
      <t xml:space="preserve">
</t>
    </r>
    <r>
      <rPr>
        <sz val="11"/>
        <color rgb="FF000000"/>
        <rFont val="Calibri"/>
      </rPr>
      <t>1. Local Traffic.</t>
    </r>
    <r>
      <rPr>
        <sz val="11"/>
        <color rgb="FF000000"/>
        <rFont val="Calibri"/>
      </rPr>
      <t xml:space="preserve">
</t>
    </r>
    <r>
      <rPr>
        <sz val="11"/>
        <color rgb="FF000000"/>
        <rFont val="Calibri"/>
      </rPr>
      <t>2. Virtual Servers.</t>
    </r>
    <r>
      <rPr>
        <sz val="11"/>
        <color rgb="FF000000"/>
        <rFont val="Calibri"/>
      </rPr>
      <t xml:space="preserve">
</t>
    </r>
    <r>
      <rPr>
        <sz val="11"/>
        <color rgb="FF000000"/>
        <rFont val="Calibri"/>
      </rPr>
      <t>3. Virtual Server List.</t>
    </r>
    <r>
      <rPr>
        <sz val="11"/>
        <color rgb="FF000000"/>
        <rFont val="Calibri"/>
      </rPr>
      <t xml:space="preserve">
</t>
    </r>
    <r>
      <rPr>
        <sz val="11"/>
        <color rgb="FF000000"/>
        <rFont val="Calibri"/>
      </rPr>
      <t>4. Click the name of the FTP virtual server.</t>
    </r>
    <r>
      <rPr>
        <sz val="11"/>
        <color rgb="FF000000"/>
        <rFont val="Calibri"/>
      </rPr>
      <t xml:space="preserve">
</t>
    </r>
    <r>
      <rPr>
        <sz val="11"/>
        <color rgb="FF000000"/>
        <rFont val="Calibri"/>
      </rPr>
      <t>5. Select the FTP profile from the "FTP Profile" drop-down list.</t>
    </r>
    <r>
      <rPr>
        <sz val="11"/>
        <color rgb="FF000000"/>
        <rFont val="Calibri"/>
      </rPr>
      <t xml:space="preserve">
</t>
    </r>
    <r>
      <rPr>
        <sz val="11"/>
        <color rgb="FF000000"/>
        <rFont val="Calibri"/>
      </rPr>
      <t>6. Click "Update".</t>
    </r>
    <r>
      <rPr>
        <sz val="11"/>
        <color rgb="FF000000"/>
        <rFont val="Calibri"/>
      </rPr>
      <t xml:space="preserve">
</t>
    </r>
    <r>
      <rPr>
        <sz val="11"/>
        <color rgb="FF000000"/>
        <rFont val="Calibri"/>
      </rPr>
      <t>Refer to vendor documentation for more information.</t>
    </r>
  </si>
  <si>
    <r>
      <rPr>
        <sz val="11"/>
        <color rgb="FF000000"/>
        <rFont val="Calibri"/>
      </rPr>
      <t>Application protocol anomaly detection examines application layer protocols such as FTP to identify attacks based on observed deviations in the normal RFC behavior of a protocol or service. This type of monitoring allows for the detection of known and unknown exploits which exploit weaknesses of commonly used protocols.</t>
    </r>
    <r>
      <rPr>
        <sz val="11"/>
        <color rgb="FF000000"/>
        <rFont val="Calibri"/>
      </rPr>
      <t xml:space="preserve">
</t>
    </r>
    <r>
      <rPr>
        <sz val="11"/>
        <color rgb="FF000000"/>
        <rFont val="Calibri"/>
      </rPr>
      <t>Since protocol anomaly analysis examines the application payload for patterns or anomalies, an FTP proxy must be included in the ALG. This ALG will be configured to inspect inbound and outbound FTP communications traffic to detect protocol anomalies such as malformed message and command insertion attacks.</t>
    </r>
  </si>
  <si>
    <r>
      <rPr>
        <sz val="11"/>
        <color rgb="FF000000"/>
        <rFont val="Calibri"/>
      </rPr>
      <t>If the BIG-IP appliance does not provide intermediary/proxy services for FTP communications traffic, this is not applicable.</t>
    </r>
    <r>
      <rPr>
        <sz val="11"/>
        <color rgb="FF000000"/>
        <rFont val="Calibri"/>
      </rPr>
      <t xml:space="preserve">
</t>
    </r>
    <r>
      <rPr>
        <sz val="11"/>
        <color rgb="FF000000"/>
        <rFont val="Calibri"/>
      </rPr>
      <t>FTP Profile: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Local Traffic.</t>
    </r>
    <r>
      <rPr>
        <sz val="11"/>
        <color rgb="FF000000"/>
        <rFont val="Calibri"/>
      </rPr>
      <t xml:space="preserve">
</t>
    </r>
    <r>
      <rPr>
        <sz val="11"/>
        <color rgb="FF000000"/>
        <rFont val="Calibri"/>
      </rPr>
      <t>2. Profiles.</t>
    </r>
    <r>
      <rPr>
        <sz val="11"/>
        <color rgb="FF000000"/>
        <rFont val="Calibri"/>
      </rPr>
      <t xml:space="preserve">
</t>
    </r>
    <r>
      <rPr>
        <sz val="11"/>
        <color rgb="FF000000"/>
        <rFont val="Calibri"/>
      </rPr>
      <t>3. Services.</t>
    </r>
    <r>
      <rPr>
        <sz val="11"/>
        <color rgb="FF000000"/>
        <rFont val="Calibri"/>
      </rPr>
      <t xml:space="preserve">
</t>
    </r>
    <r>
      <rPr>
        <sz val="11"/>
        <color rgb="FF000000"/>
        <rFont val="Calibri"/>
      </rPr>
      <t>4. FTP.</t>
    </r>
    <r>
      <rPr>
        <sz val="11"/>
        <color rgb="FF000000"/>
        <rFont val="Calibri"/>
      </rPr>
      <t xml:space="preserve">
</t>
    </r>
    <r>
      <rPr>
        <sz val="11"/>
        <color rgb="FF000000"/>
        <rFont val="Calibri"/>
      </rPr>
      <t>5. Click the name of the FTP profile.</t>
    </r>
    <r>
      <rPr>
        <sz val="11"/>
        <color rgb="FF000000"/>
        <rFont val="Calibri"/>
      </rPr>
      <t xml:space="preserve">
</t>
    </r>
    <r>
      <rPr>
        <sz val="11"/>
        <color rgb="FF000000"/>
        <rFont val="Calibri"/>
      </rPr>
      <t>6. Verify "Protocol Security" is checked.</t>
    </r>
    <r>
      <rPr>
        <sz val="11"/>
        <color rgb="FF000000"/>
        <rFont val="Calibri"/>
      </rPr>
      <t xml:space="preserve">
</t>
    </r>
    <r>
      <rPr>
        <sz val="11"/>
        <color rgb="FF000000"/>
        <rFont val="Calibri"/>
      </rPr>
      <t>FTP Virtual Server:</t>
    </r>
    <r>
      <rPr>
        <sz val="11"/>
        <color rgb="FF000000"/>
        <rFont val="Calibri"/>
      </rPr>
      <t xml:space="preserve">
</t>
    </r>
    <r>
      <rPr>
        <sz val="11"/>
        <color rgb="FF000000"/>
        <rFont val="Calibri"/>
      </rPr>
      <t>1. Local Traffic.</t>
    </r>
    <r>
      <rPr>
        <sz val="11"/>
        <color rgb="FF000000"/>
        <rFont val="Calibri"/>
      </rPr>
      <t xml:space="preserve">
</t>
    </r>
    <r>
      <rPr>
        <sz val="11"/>
        <color rgb="FF000000"/>
        <rFont val="Calibri"/>
      </rPr>
      <t>2. Virtual Servers.</t>
    </r>
    <r>
      <rPr>
        <sz val="11"/>
        <color rgb="FF000000"/>
        <rFont val="Calibri"/>
      </rPr>
      <t xml:space="preserve">
</t>
    </r>
    <r>
      <rPr>
        <sz val="11"/>
        <color rgb="FF000000"/>
        <rFont val="Calibri"/>
      </rPr>
      <t>3. Virtual Server List.</t>
    </r>
    <r>
      <rPr>
        <sz val="11"/>
        <color rgb="FF000000"/>
        <rFont val="Calibri"/>
      </rPr>
      <t xml:space="preserve">
</t>
    </r>
    <r>
      <rPr>
        <sz val="11"/>
        <color rgb="FF000000"/>
        <rFont val="Calibri"/>
      </rPr>
      <t>4. Click the name of the FTP virtual server.</t>
    </r>
    <r>
      <rPr>
        <sz val="11"/>
        <color rgb="FF000000"/>
        <rFont val="Calibri"/>
      </rPr>
      <t xml:space="preserve">
</t>
    </r>
    <r>
      <rPr>
        <sz val="11"/>
        <color rgb="FF000000"/>
        <rFont val="Calibri"/>
      </rPr>
      <t>5. Verify the FTP profile is selected in the "FTP Profile" drop-down list.</t>
    </r>
    <r>
      <rPr>
        <sz val="11"/>
        <color rgb="FF000000"/>
        <rFont val="Calibri"/>
      </rPr>
      <t xml:space="preserve">
</t>
    </r>
    <r>
      <rPr>
        <sz val="11"/>
        <color rgb="FF000000"/>
        <rFont val="Calibri"/>
      </rPr>
      <t>If the BIG-IP appliance is not configured to inspect inbound and outbound FTP communications traffic for protocol compliance and protocol anomalies, this is a finding.</t>
    </r>
  </si>
  <si>
    <t>V-266149</t>
  </si>
  <si>
    <r>
      <rPr>
        <sz val="11"/>
        <rFont val="Calibri"/>
      </rPr>
      <t>The F5 BIG-IP appliance that provides intermediary services for HTTP must inspect inbound and outbound HTTP traffic for protocol compliance and protocol anomalies.</t>
    </r>
  </si>
  <si>
    <r>
      <rPr>
        <sz val="11"/>
        <color rgb="FF000000"/>
        <rFont val="Calibri"/>
      </rPr>
      <t>Application Security Policy:</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Application Security.</t>
    </r>
    <r>
      <rPr>
        <sz val="11"/>
        <color rgb="FF000000"/>
        <rFont val="Calibri"/>
      </rPr>
      <t xml:space="preserve">
</t>
    </r>
    <r>
      <rPr>
        <sz val="11"/>
        <color rgb="FF000000"/>
        <rFont val="Calibri"/>
      </rPr>
      <t>3. Policy Building.</t>
    </r>
    <r>
      <rPr>
        <sz val="11"/>
        <color rgb="FF000000"/>
        <rFont val="Calibri"/>
      </rPr>
      <t xml:space="preserve">
</t>
    </r>
    <r>
      <rPr>
        <sz val="11"/>
        <color rgb="FF000000"/>
        <rFont val="Calibri"/>
      </rPr>
      <t>4. Learning and Blocking Settings.</t>
    </r>
    <r>
      <rPr>
        <sz val="11"/>
        <color rgb="FF000000"/>
        <rFont val="Calibri"/>
      </rPr>
      <t xml:space="preserve">
</t>
    </r>
    <r>
      <rPr>
        <sz val="11"/>
        <color rgb="FF000000"/>
        <rFont val="Calibri"/>
      </rPr>
      <t>5. Select the correct policy from the drop-down in the upper left.</t>
    </r>
    <r>
      <rPr>
        <sz val="11"/>
        <color rgb="FF000000"/>
        <rFont val="Calibri"/>
      </rPr>
      <t xml:space="preserve">
</t>
    </r>
    <r>
      <rPr>
        <sz val="11"/>
        <color rgb="FF000000"/>
        <rFont val="Calibri"/>
      </rPr>
      <t>6. Expand "HTTP protocol compliance failed".</t>
    </r>
    <r>
      <rPr>
        <sz val="11"/>
        <color rgb="FF000000"/>
        <rFont val="Calibri"/>
      </rPr>
      <t xml:space="preserve">
</t>
    </r>
    <r>
      <rPr>
        <sz val="11"/>
        <color rgb="FF000000"/>
        <rFont val="Calibri"/>
      </rPr>
      <t>7. Select the proper inspection criteria.</t>
    </r>
    <r>
      <rPr>
        <sz val="11"/>
        <color rgb="FF000000"/>
        <rFont val="Calibri"/>
      </rPr>
      <t xml:space="preserve">
</t>
    </r>
    <r>
      <rPr>
        <sz val="11"/>
        <color rgb="FF000000"/>
        <rFont val="Calibri"/>
      </rPr>
      <t>8. Click "Save".</t>
    </r>
    <r>
      <rPr>
        <sz val="11"/>
        <color rgb="FF000000"/>
        <rFont val="Calibri"/>
      </rPr>
      <t xml:space="preserve">
</t>
    </r>
    <r>
      <rPr>
        <sz val="11"/>
        <color rgb="FF000000"/>
        <rFont val="Calibri"/>
      </rPr>
      <t>9. Click "Apply Policy".</t>
    </r>
    <r>
      <rPr>
        <sz val="11"/>
        <color rgb="FF000000"/>
        <rFont val="Calibri"/>
      </rPr>
      <t xml:space="preserve">
</t>
    </r>
    <r>
      <rPr>
        <sz val="11"/>
        <color rgb="FF000000"/>
        <rFont val="Calibri"/>
      </rPr>
      <t>HTTP Virtual Server:</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Local Traffic.</t>
    </r>
    <r>
      <rPr>
        <sz val="11"/>
        <color rgb="FF000000"/>
        <rFont val="Calibri"/>
      </rPr>
      <t xml:space="preserve">
</t>
    </r>
    <r>
      <rPr>
        <sz val="11"/>
        <color rgb="FF000000"/>
        <rFont val="Calibri"/>
      </rPr>
      <t>2. Virtual Servers.</t>
    </r>
    <r>
      <rPr>
        <sz val="11"/>
        <color rgb="FF000000"/>
        <rFont val="Calibri"/>
      </rPr>
      <t xml:space="preserve">
</t>
    </r>
    <r>
      <rPr>
        <sz val="11"/>
        <color rgb="FF000000"/>
        <rFont val="Calibri"/>
      </rPr>
      <t>3. Virtual Server List.</t>
    </r>
    <r>
      <rPr>
        <sz val="11"/>
        <color rgb="FF000000"/>
        <rFont val="Calibri"/>
      </rPr>
      <t xml:space="preserve">
</t>
    </r>
    <r>
      <rPr>
        <sz val="11"/>
        <color rgb="FF000000"/>
        <rFont val="Calibri"/>
      </rPr>
      <t>4. Click the name of the HTTP virtual server.</t>
    </r>
    <r>
      <rPr>
        <sz val="11"/>
        <color rgb="FF000000"/>
        <rFont val="Calibri"/>
      </rPr>
      <t xml:space="preserve">
</t>
    </r>
    <r>
      <rPr>
        <sz val="11"/>
        <color rgb="FF000000"/>
        <rFont val="Calibri"/>
      </rPr>
      <t>5. Security &gt;&gt; Policies tab.</t>
    </r>
    <r>
      <rPr>
        <sz val="11"/>
        <color rgb="FF000000"/>
        <rFont val="Calibri"/>
      </rPr>
      <t xml:space="preserve">
</t>
    </r>
    <r>
      <rPr>
        <sz val="11"/>
        <color rgb="FF000000"/>
        <rFont val="Calibri"/>
      </rPr>
      <t>6. Set "Application Security Policy" to "Enabled".</t>
    </r>
    <r>
      <rPr>
        <sz val="11"/>
        <color rgb="FF000000"/>
        <rFont val="Calibri"/>
      </rPr>
      <t xml:space="preserve">
</t>
    </r>
    <r>
      <rPr>
        <sz val="11"/>
        <color rgb="FF000000"/>
        <rFont val="Calibri"/>
      </rPr>
      <t>7. Select the correct policy from the drop-down.</t>
    </r>
    <r>
      <rPr>
        <sz val="11"/>
        <color rgb="FF000000"/>
        <rFont val="Calibri"/>
      </rPr>
      <t xml:space="preserve">
</t>
    </r>
    <r>
      <rPr>
        <sz val="11"/>
        <color rgb="FF000000"/>
        <rFont val="Calibri"/>
      </rPr>
      <t>8. Click "Update".</t>
    </r>
    <r>
      <rPr>
        <sz val="11"/>
        <color rgb="FF000000"/>
        <rFont val="Calibri"/>
      </rPr>
      <t xml:space="preserve">
</t>
    </r>
    <r>
      <rPr>
        <sz val="11"/>
        <color rgb="FF000000"/>
        <rFont val="Calibri"/>
      </rPr>
      <t>Refer to vendor documentation for more information.</t>
    </r>
  </si>
  <si>
    <r>
      <rPr>
        <sz val="11"/>
        <color rgb="FF000000"/>
        <rFont val="Calibri"/>
      </rPr>
      <t>Application protocol anomaly detection examines application layer protocols such as HTTP to identify attacks based on observed deviations in the normal RFC behavior of a protocol or service. This type of monitoring allows for the detection of known and unknown exploits which exploit weaknesses of commonly used protocols.</t>
    </r>
    <r>
      <rPr>
        <sz val="11"/>
        <color rgb="FF000000"/>
        <rFont val="Calibri"/>
      </rPr>
      <t xml:space="preserve">
</t>
    </r>
    <r>
      <rPr>
        <sz val="11"/>
        <color rgb="FF000000"/>
        <rFont val="Calibri"/>
      </rPr>
      <t>Since protocol anomaly analysis examines the application payload for patterns or anomalies, an HTTP proxy must be included in the ALG. This ALG will be configured to inspect inbound and outbound HTTP communications traffic to detect protocol anomalies such as malformed message and command insertion attacks.</t>
    </r>
    <r>
      <rPr>
        <sz val="11"/>
        <color rgb="FF000000"/>
        <rFont val="Calibri"/>
      </rPr>
      <t xml:space="preserve">
</t>
    </r>
    <r>
      <rPr>
        <sz val="11"/>
        <color rgb="FF000000"/>
        <rFont val="Calibri"/>
      </rPr>
      <t>All inbound and outbound traffic, including HTTPS, must be inspected. However, the intention of this policy is not to mandate HTTPS inspection by the ALG. Typically, HTTPS traffic is inspected either at the source, destination and/or is directed for inspection by organizationally-defined network termination point.</t>
    </r>
  </si>
  <si>
    <r>
      <rPr>
        <sz val="11"/>
        <color rgb="FF000000"/>
        <rFont val="Calibri"/>
      </rPr>
      <t>If the BIG-IP appliance does not provide intermediary/proxy services for HTTP communications traffic, this is not applicable.</t>
    </r>
    <r>
      <rPr>
        <sz val="11"/>
        <color rgb="FF000000"/>
        <rFont val="Calibri"/>
      </rPr>
      <t xml:space="preserve">
</t>
    </r>
    <r>
      <rPr>
        <sz val="11"/>
        <color rgb="FF000000"/>
        <rFont val="Calibri"/>
      </rPr>
      <t>Application Security Policy:</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Application Security.</t>
    </r>
    <r>
      <rPr>
        <sz val="11"/>
        <color rgb="FF000000"/>
        <rFont val="Calibri"/>
      </rPr>
      <t xml:space="preserve">
</t>
    </r>
    <r>
      <rPr>
        <sz val="11"/>
        <color rgb="FF000000"/>
        <rFont val="Calibri"/>
      </rPr>
      <t>3. Policy Building.</t>
    </r>
    <r>
      <rPr>
        <sz val="11"/>
        <color rgb="FF000000"/>
        <rFont val="Calibri"/>
      </rPr>
      <t xml:space="preserve">
</t>
    </r>
    <r>
      <rPr>
        <sz val="11"/>
        <color rgb="FF000000"/>
        <rFont val="Calibri"/>
      </rPr>
      <t>4. Learning and Blocking Settings.</t>
    </r>
    <r>
      <rPr>
        <sz val="11"/>
        <color rgb="FF000000"/>
        <rFont val="Calibri"/>
      </rPr>
      <t xml:space="preserve">
</t>
    </r>
    <r>
      <rPr>
        <sz val="11"/>
        <color rgb="FF000000"/>
        <rFont val="Calibri"/>
      </rPr>
      <t>5. Verify the correct policy is selected from the drop-down in the upper left.</t>
    </r>
    <r>
      <rPr>
        <sz val="11"/>
        <color rgb="FF000000"/>
        <rFont val="Calibri"/>
      </rPr>
      <t xml:space="preserve">
</t>
    </r>
    <r>
      <rPr>
        <sz val="11"/>
        <color rgb="FF000000"/>
        <rFont val="Calibri"/>
      </rPr>
      <t>6. Expand "HTTP protocol compliance failed".</t>
    </r>
    <r>
      <rPr>
        <sz val="11"/>
        <color rgb="FF000000"/>
        <rFont val="Calibri"/>
      </rPr>
      <t xml:space="preserve">
</t>
    </r>
    <r>
      <rPr>
        <sz val="11"/>
        <color rgb="FF000000"/>
        <rFont val="Calibri"/>
      </rPr>
      <t>7. Verify the proper inspection criteria are selected.</t>
    </r>
    <r>
      <rPr>
        <sz val="11"/>
        <color rgb="FF000000"/>
        <rFont val="Calibri"/>
      </rPr>
      <t xml:space="preserve">
</t>
    </r>
    <r>
      <rPr>
        <sz val="11"/>
        <color rgb="FF000000"/>
        <rFont val="Calibri"/>
      </rPr>
      <t>HTTP Virtual Server:</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Local Traffic.</t>
    </r>
    <r>
      <rPr>
        <sz val="11"/>
        <color rgb="FF000000"/>
        <rFont val="Calibri"/>
      </rPr>
      <t xml:space="preserve">
</t>
    </r>
    <r>
      <rPr>
        <sz val="11"/>
        <color rgb="FF000000"/>
        <rFont val="Calibri"/>
      </rPr>
      <t>2. Virtual Servers.</t>
    </r>
    <r>
      <rPr>
        <sz val="11"/>
        <color rgb="FF000000"/>
        <rFont val="Calibri"/>
      </rPr>
      <t xml:space="preserve">
</t>
    </r>
    <r>
      <rPr>
        <sz val="11"/>
        <color rgb="FF000000"/>
        <rFont val="Calibri"/>
      </rPr>
      <t>3. Virtual Server List.</t>
    </r>
    <r>
      <rPr>
        <sz val="11"/>
        <color rgb="FF000000"/>
        <rFont val="Calibri"/>
      </rPr>
      <t xml:space="preserve">
</t>
    </r>
    <r>
      <rPr>
        <sz val="11"/>
        <color rgb="FF000000"/>
        <rFont val="Calibri"/>
      </rPr>
      <t>4. Click the name of the HTTP Virtual Server.</t>
    </r>
    <r>
      <rPr>
        <sz val="11"/>
        <color rgb="FF000000"/>
        <rFont val="Calibri"/>
      </rPr>
      <t xml:space="preserve">
</t>
    </r>
    <r>
      <rPr>
        <sz val="11"/>
        <color rgb="FF000000"/>
        <rFont val="Calibri"/>
      </rPr>
      <t>5. Security &gt;&gt; Policies tab.</t>
    </r>
    <r>
      <rPr>
        <sz val="11"/>
        <color rgb="FF000000"/>
        <rFont val="Calibri"/>
      </rPr>
      <t xml:space="preserve">
</t>
    </r>
    <r>
      <rPr>
        <sz val="11"/>
        <color rgb="FF000000"/>
        <rFont val="Calibri"/>
      </rPr>
      <t>6. Verify the correct policy is selected for "Application Security Policy".</t>
    </r>
    <r>
      <rPr>
        <sz val="11"/>
        <color rgb="FF000000"/>
        <rFont val="Calibri"/>
      </rPr>
      <t xml:space="preserve">
</t>
    </r>
    <r>
      <rPr>
        <sz val="11"/>
        <color rgb="FF000000"/>
        <rFont val="Calibri"/>
      </rPr>
      <t>If the BIG-IP appliance is not configured to inspect inbound and outbound HTTP communications traffic for protocol compliance and protocol anomalies, this is a finding.</t>
    </r>
  </si>
  <si>
    <t>V-266150</t>
  </si>
  <si>
    <r>
      <rPr>
        <sz val="11"/>
        <rFont val="Calibri"/>
      </rPr>
      <t>The F5 BIG-IP appliance must be configured to prohibit or restrict the use of unnecessary or prohibited functions, ports, protocols, and/or services, including those defined in the PPSM CAL and vulnerability assessments.</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</si>
  <si>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ALGs are capable of providing a wide variety of functions and services. Some of the functions and services provided by default may not be necessary to support essential organizational operations. DOD continually assesses the ports, protocols, and services that can be used for network communications. Some ports, protocols or services have known exploits or security weaknesses. Network traffic using these ports, protocols, and services must be prohibited or restricted in accordance with DOD policy. The ALG is a key network element for preventing these noncompliant ports, protocols, and services from causing harm to DOD information systems.</t>
    </r>
    <r>
      <rPr>
        <sz val="11"/>
        <color rgb="FF000000"/>
        <rFont val="Calibri"/>
      </rPr>
      <t xml:space="preserve">
</t>
    </r>
    <r>
      <rPr>
        <sz val="11"/>
        <color rgb="FF000000"/>
        <rFont val="Calibri"/>
      </rPr>
      <t>The network ALG must be configured to prevent or restrict the use of prohibited ports, protocols, and services throughout the network by filtering the network traffic and disallowing or redirecting traffic as necessary. Default and updated policy filters from the vendors will disallow older version of protocols and applications and will address most known nonsecure ports, protocols, and/or services. However, sources for further policy filters are the IAVMs and the PPSM requirements.</t>
    </r>
    <r>
      <rPr>
        <sz val="11"/>
        <color rgb="FF000000"/>
        <rFont val="Calibri"/>
      </rPr>
      <t xml:space="preserve">
</t>
    </r>
    <r>
      <rPr>
        <sz val="11"/>
        <color rgb="FF000000"/>
        <rFont val="Calibri"/>
      </rPr>
      <t>Satisfies: SRG-NET-000132-ALG-000087, SRG-NET-000131-ALG-000085</t>
    </r>
  </si>
  <si>
    <r>
      <rPr>
        <sz val="11"/>
        <color rgb="FF000000"/>
        <rFont val="Calibri"/>
      </rPr>
      <t>From the BIG-IP GUI:</t>
    </r>
    <r>
      <rPr>
        <sz val="11"/>
        <color rgb="FF000000"/>
        <rFont val="Calibri"/>
      </rPr>
      <t xml:space="preserve">
</t>
    </r>
    <r>
      <rPr>
        <sz val="11"/>
        <color rgb="FF000000"/>
        <rFont val="Calibri"/>
      </rPr>
      <t>1. Local Traffic.</t>
    </r>
    <r>
      <rPr>
        <sz val="11"/>
        <color rgb="FF000000"/>
        <rFont val="Calibri"/>
      </rPr>
      <t xml:space="preserve">
</t>
    </r>
    <r>
      <rPr>
        <sz val="11"/>
        <color rgb="FF000000"/>
        <rFont val="Calibri"/>
      </rPr>
      <t>2. Virtual Servers.</t>
    </r>
    <r>
      <rPr>
        <sz val="11"/>
        <color rgb="FF000000"/>
        <rFont val="Calibri"/>
      </rPr>
      <t xml:space="preserve">
</t>
    </r>
    <r>
      <rPr>
        <sz val="11"/>
        <color rgb="FF000000"/>
        <rFont val="Calibri"/>
      </rPr>
      <t>3. Verify the list of virtual servers are not configured to listen on unnecessary and/or nonsecure functions, ports, protocols, and/or services.</t>
    </r>
    <r>
      <rPr>
        <sz val="11"/>
        <color rgb="FF000000"/>
        <rFont val="Calibri"/>
      </rPr>
      <t xml:space="preserve">
</t>
    </r>
    <r>
      <rPr>
        <sz val="11"/>
        <color rgb="FF000000"/>
        <rFont val="Calibri"/>
      </rPr>
      <t>If any services are running that must not be, this is a finding.</t>
    </r>
  </si>
  <si>
    <t>V-266152</t>
  </si>
  <si>
    <r>
      <rPr>
        <sz val="11"/>
        <rFont val="Calibri"/>
      </rPr>
      <t>The F5 BIG-IP appliance providing user authentication intermediary services must uniquely identify and authenticate users using redundant authentication servers and multifactor authentication (MFA).</t>
    </r>
  </si>
  <si>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 (Per-Session Policies).</t>
    </r>
    <r>
      <rPr>
        <sz val="11"/>
        <color rgb="FF000000"/>
        <rFont val="Calibri"/>
      </rPr>
      <t xml:space="preserve">
</t>
    </r>
    <r>
      <rPr>
        <sz val="11"/>
        <color rgb="FF000000"/>
        <rFont val="Calibri"/>
      </rPr>
      <t>4. Click "Edit" for the Access Profile being used.</t>
    </r>
    <r>
      <rPr>
        <sz val="11"/>
        <color rgb="FF000000"/>
        <rFont val="Calibri"/>
      </rPr>
      <t xml:space="preserve">
</t>
    </r>
    <r>
      <rPr>
        <sz val="11"/>
        <color rgb="FF000000"/>
        <rFont val="Calibri"/>
      </rPr>
      <t>5. Configure the Access Profile to use a separate authentication server (e.g., LDAP, RADIUS, TACACS+) to perform user authentication.</t>
    </r>
    <r>
      <rPr>
        <sz val="11"/>
        <color rgb="FF000000"/>
        <rFont val="Calibri"/>
      </rPr>
      <t xml:space="preserve">
</t>
    </r>
    <r>
      <rPr>
        <sz val="11"/>
        <color rgb="FF000000"/>
        <rFont val="Calibri"/>
      </rPr>
      <t>Note: To create an authentication object in the VPE, it must first be created in APM under Access &gt;&gt; Authentication. Once it has been created, add it to the Access Policy VPE by clicking the "+", selecting the "Authentication" tab, and select the appropriate type of authentication.</t>
    </r>
  </si>
  <si>
    <r>
      <rPr>
        <sz val="11"/>
        <color rgb="FF000000"/>
        <rFont val="Calibri"/>
      </rPr>
      <t>To ensure accountability and prevent unauthenticated access, organizational users must be identified and authenticated to prevent potential misuse and compromise of the system.</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1. Accesses explicitly identified and documented by the organization. Organizations document specific user actions that can be performed on the information system without identification or authentication.</t>
    </r>
    <r>
      <rPr>
        <sz val="11"/>
        <color rgb="FF000000"/>
        <rFont val="Calibri"/>
      </rPr>
      <t xml:space="preserve">
</t>
    </r>
    <r>
      <rPr>
        <sz val="11"/>
        <color rgb="FF000000"/>
        <rFont val="Calibri"/>
      </rPr>
      <t>2. Accesses that occur through authorized use of group authenticators without individual authentication. Organizations may require unique identification of individuals in group accounts (e.g., shared privilege accounts) or for detailed accountability of individual activity.</t>
    </r>
    <r>
      <rPr>
        <sz val="11"/>
        <color rgb="FF000000"/>
        <rFont val="Calibri"/>
      </rPr>
      <t xml:space="preserve">
</t>
    </r>
    <r>
      <rPr>
        <sz val="11"/>
        <color rgb="FF000000"/>
        <rFont val="Calibri"/>
      </rPr>
      <t>This requirement applies to ALGs that provide user proxy services, including identification and authentication. This service must use the site's directory service (e.g., Active Directory). Directory services must not be installed onto the gateway.</t>
    </r>
    <r>
      <rPr>
        <sz val="11"/>
        <color rgb="FF000000"/>
        <rFont val="Calibri"/>
      </rPr>
      <t xml:space="preserve">
</t>
    </r>
    <r>
      <rPr>
        <sz val="11"/>
        <color rgb="FF000000"/>
        <rFont val="Calibri"/>
      </rPr>
      <t>Satisfies: SRG-NET-000138-ALG-000063, SRG-NET-000138-ALG-000088, SRG-NET-000339-ALG-000090, SRG-NET-000340-ALG-000091, SRG-NET-000140-ALG-000094, SRG-NET-000166-ALG-000101, SRG-NET-000169-ALG-000102</t>
    </r>
  </si>
  <si>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 (Per-Session Policies).</t>
    </r>
    <r>
      <rPr>
        <sz val="11"/>
        <color rgb="FF000000"/>
        <rFont val="Calibri"/>
      </rPr>
      <t xml:space="preserve">
</t>
    </r>
    <r>
      <rPr>
        <sz val="11"/>
        <color rgb="FF000000"/>
        <rFont val="Calibri"/>
      </rPr>
      <t>4. Click "Edit" for the Access Profile being used.</t>
    </r>
    <r>
      <rPr>
        <sz val="11"/>
        <color rgb="FF000000"/>
        <rFont val="Calibri"/>
      </rPr>
      <t xml:space="preserve">
</t>
    </r>
    <r>
      <rPr>
        <sz val="11"/>
        <color rgb="FF000000"/>
        <rFont val="Calibri"/>
      </rPr>
      <t>5. Verify the Access Profile uses an authentication server (e.g., LDAP, RADIUS, TACACS+) to perform user authentication.</t>
    </r>
    <r>
      <rPr>
        <sz val="11"/>
        <color rgb="FF000000"/>
        <rFont val="Calibri"/>
      </rPr>
      <t xml:space="preserve">
</t>
    </r>
    <r>
      <rPr>
        <sz val="11"/>
        <color rgb="FF000000"/>
        <rFont val="Calibri"/>
      </rPr>
      <t>If the BIG-IP appliance is not configured to use a separate authentication server (e.g., LDAP, RADIUS, TACACS+) to perform user authentication, this is a finding.</t>
    </r>
  </si>
  <si>
    <t>V-266153</t>
  </si>
  <si>
    <r>
      <rPr>
        <sz val="11"/>
        <rFont val="Calibri"/>
      </rPr>
      <t>The F5 BIG-IP appliance must configure certification path validation to ensure revoked machine credentials are prohibited from establishing an allowed session.</t>
    </r>
  </si>
  <si>
    <r>
      <rPr>
        <sz val="11"/>
        <color rgb="FF000000"/>
        <rFont val="Calibri"/>
      </rPr>
      <t>If the Access Profile is configured to pull a machine cert using the "Machine Cert Auth" object in the policy, then perform the following actions. Note that pulling a Machine Cert requires the use of the APM Edge Client installed on the client.</t>
    </r>
    <r>
      <rPr>
        <sz val="11"/>
        <color rgb="FF000000"/>
        <rFont val="Calibri"/>
      </rPr>
      <t xml:space="preserve">
</t>
    </r>
    <r>
      <rPr>
        <sz val="11"/>
        <color rgb="FF000000"/>
        <rFont val="Calibri"/>
      </rPr>
      <t>To add OCSP machine certificate verification to an access policy:</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"Edit" under "Per-Session Policy" for the Access Profile.</t>
    </r>
    <r>
      <rPr>
        <sz val="11"/>
        <color rgb="FF000000"/>
        <rFont val="Calibri"/>
      </rPr>
      <t xml:space="preserve">
</t>
    </r>
    <r>
      <rPr>
        <sz val="11"/>
        <color rgb="FF000000"/>
        <rFont val="Calibri"/>
      </rPr>
      <t>5. Click the "+" icon on the Successful branch of the Machine Cert Auth object.</t>
    </r>
    <r>
      <rPr>
        <sz val="11"/>
        <color rgb="FF000000"/>
        <rFont val="Calibri"/>
      </rPr>
      <t xml:space="preserve">
</t>
    </r>
    <r>
      <rPr>
        <sz val="11"/>
        <color rgb="FF000000"/>
        <rFont val="Calibri"/>
      </rPr>
      <t>6. Authentication tab.</t>
    </r>
    <r>
      <rPr>
        <sz val="11"/>
        <color rgb="FF000000"/>
        <rFont val="Calibri"/>
      </rPr>
      <t xml:space="preserve">
</t>
    </r>
    <r>
      <rPr>
        <sz val="11"/>
        <color rgb="FF000000"/>
        <rFont val="Calibri"/>
      </rPr>
      <t>7. Select "OCSP Auth".</t>
    </r>
    <r>
      <rPr>
        <sz val="11"/>
        <color rgb="FF000000"/>
        <rFont val="Calibri"/>
      </rPr>
      <t xml:space="preserve">
</t>
    </r>
    <r>
      <rPr>
        <sz val="11"/>
        <color rgb="FF000000"/>
        <rFont val="Calibri"/>
      </rPr>
      <t>8. Click "Add Item".</t>
    </r>
    <r>
      <rPr>
        <sz val="11"/>
        <color rgb="FF000000"/>
        <rFont val="Calibri"/>
      </rPr>
      <t xml:space="preserve">
</t>
    </r>
    <r>
      <rPr>
        <sz val="11"/>
        <color rgb="FF000000"/>
        <rFont val="Calibri"/>
      </rPr>
      <t>9. From the OCSP Responder list, select an OCSP responder.</t>
    </r>
    <r>
      <rPr>
        <sz val="11"/>
        <color rgb="FF000000"/>
        <rFont val="Calibri"/>
      </rPr>
      <t xml:space="preserve">
</t>
    </r>
    <r>
      <rPr>
        <sz val="11"/>
        <color rgb="FF000000"/>
        <rFont val="Calibri"/>
      </rPr>
      <t>Note: To create an OCSP Responder, go to Access &gt;&gt; Authentication &gt;&gt; OCSP Responder.</t>
    </r>
    <r>
      <rPr>
        <sz val="11"/>
        <color rgb="FF000000"/>
        <rFont val="Calibri"/>
      </rPr>
      <t xml:space="preserve">
</t>
    </r>
    <r>
      <rPr>
        <sz val="11"/>
        <color rgb="FF000000"/>
        <rFont val="Calibri"/>
      </rPr>
      <t>10. From the Certificate Type list, select "Machine".</t>
    </r>
    <r>
      <rPr>
        <sz val="11"/>
        <color rgb="FF000000"/>
        <rFont val="Calibri"/>
      </rPr>
      <t xml:space="preserve">
</t>
    </r>
    <r>
      <rPr>
        <sz val="11"/>
        <color rgb="FF000000"/>
        <rFont val="Calibri"/>
      </rPr>
      <t>11. Click "Save".</t>
    </r>
    <r>
      <rPr>
        <sz val="11"/>
        <color rgb="FF000000"/>
        <rFont val="Calibri"/>
      </rPr>
      <t xml:space="preserve">
</t>
    </r>
    <r>
      <rPr>
        <sz val="11"/>
        <color rgb="FF000000"/>
        <rFont val="Calibri"/>
      </rPr>
      <t>12. Click "Apply Access Policy".</t>
    </r>
    <r>
      <rPr>
        <sz val="11"/>
        <color rgb="FF000000"/>
        <rFont val="Calibri"/>
      </rPr>
      <t xml:space="preserve">
</t>
    </r>
    <r>
      <rPr>
        <sz val="11"/>
        <color rgb="FF000000"/>
        <rFont val="Calibri"/>
      </rPr>
      <t>To add CRLDP certificate verification to an access policy:</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"Edit" under "Per-Session Policy" for the Access Profile.</t>
    </r>
    <r>
      <rPr>
        <sz val="11"/>
        <color rgb="FF000000"/>
        <rFont val="Calibri"/>
      </rPr>
      <t xml:space="preserve">
</t>
    </r>
    <r>
      <rPr>
        <sz val="11"/>
        <color rgb="FF000000"/>
        <rFont val="Calibri"/>
      </rPr>
      <t>5. Click the "+" icon on the Successful branch of the Machine Cert Auth object.</t>
    </r>
    <r>
      <rPr>
        <sz val="11"/>
        <color rgb="FF000000"/>
        <rFont val="Calibri"/>
      </rPr>
      <t xml:space="preserve">
</t>
    </r>
    <r>
      <rPr>
        <sz val="11"/>
        <color rgb="FF000000"/>
        <rFont val="Calibri"/>
      </rPr>
      <t>6. Authentication tab.</t>
    </r>
    <r>
      <rPr>
        <sz val="11"/>
        <color rgb="FF000000"/>
        <rFont val="Calibri"/>
      </rPr>
      <t xml:space="preserve">
</t>
    </r>
    <r>
      <rPr>
        <sz val="11"/>
        <color rgb="FF000000"/>
        <rFont val="Calibri"/>
      </rPr>
      <t>7. Select "CRLDP Auth".</t>
    </r>
    <r>
      <rPr>
        <sz val="11"/>
        <color rgb="FF000000"/>
        <rFont val="Calibri"/>
      </rPr>
      <t xml:space="preserve">
</t>
    </r>
    <r>
      <rPr>
        <sz val="11"/>
        <color rgb="FF000000"/>
        <rFont val="Calibri"/>
      </rPr>
      <t>8. Click "Add Item".</t>
    </r>
    <r>
      <rPr>
        <sz val="11"/>
        <color rgb="FF000000"/>
        <rFont val="Calibri"/>
      </rPr>
      <t xml:space="preserve">
</t>
    </r>
    <r>
      <rPr>
        <sz val="11"/>
        <color rgb="FF000000"/>
        <rFont val="Calibri"/>
      </rPr>
      <t>9. Select an item from the CRLDP Server list.</t>
    </r>
    <r>
      <rPr>
        <sz val="11"/>
        <color rgb="FF000000"/>
        <rFont val="Calibri"/>
      </rPr>
      <t xml:space="preserve">
</t>
    </r>
    <r>
      <rPr>
        <sz val="11"/>
        <color rgb="FF000000"/>
        <rFont val="Calibri"/>
      </rPr>
      <t>Note: To create a CRLDP Server, go to Access &gt;&gt; Authentication &gt;&gt; CRLDP.</t>
    </r>
    <r>
      <rPr>
        <sz val="11"/>
        <color rgb="FF000000"/>
        <rFont val="Calibri"/>
      </rPr>
      <t xml:space="preserve">
</t>
    </r>
    <r>
      <rPr>
        <sz val="11"/>
        <color rgb="FF000000"/>
        <rFont val="Calibri"/>
      </rPr>
      <t>10. Click "Save".</t>
    </r>
    <r>
      <rPr>
        <sz val="11"/>
        <color rgb="FF000000"/>
        <rFont val="Calibri"/>
      </rPr>
      <t xml:space="preserve">
</t>
    </r>
    <r>
      <rPr>
        <sz val="11"/>
        <color rgb="FF000000"/>
        <rFont val="Calibri"/>
      </rPr>
      <t>11. Click "Apply Access Policy".</t>
    </r>
  </si>
  <si>
    <r>
      <rPr>
        <sz val="11"/>
        <color rgb="FF000000"/>
        <rFont val="Calibri"/>
      </rPr>
      <t xml:space="preserve">A certificate's certification path is the path from the end entity certificate to a trusted root certification authority (CA). Certification path validation is necessary for a relying party to make an informed decision regarding acceptance of an end entity certificate. </t>
    </r>
    <r>
      <rPr>
        <sz val="11"/>
        <color rgb="FF000000"/>
        <rFont val="Calibri"/>
      </rPr>
      <t xml:space="preserve">
</t>
    </r>
    <r>
      <rPr>
        <sz val="11"/>
        <color rgb="FF000000"/>
        <rFont val="Calibri"/>
      </rPr>
      <t>Certification path validation includes checks such as certificate issuer trust, time validity and revocation status for each certificate in the certification path. Revocation status information for CA and subject certificates in a certification path is commonly provided via certificate revocation lists (CRLs) or online certificate status protocol (OCSP) responses.</t>
    </r>
  </si>
  <si>
    <r>
      <rPr>
        <sz val="11"/>
        <color rgb="FF000000"/>
        <rFont val="Calibri"/>
      </rPr>
      <t>If the BIG-IP appliance does not provide intermediary services for TLS, or application protocols that use TLS (e.g., DNSSEC or HTTPS), this is not applicable.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"Edit" under "Per-Session Policy" for the Access Profile.</t>
    </r>
    <r>
      <rPr>
        <sz val="11"/>
        <color rgb="FF000000"/>
        <rFont val="Calibri"/>
      </rPr>
      <t xml:space="preserve">
</t>
    </r>
    <r>
      <rPr>
        <sz val="11"/>
        <color rgb="FF000000"/>
        <rFont val="Calibri"/>
      </rPr>
      <t>5. Verify an "OCSP Auth" object is configured in the Access Profile for "Machine" type or a CRLDP object is configured.</t>
    </r>
    <r>
      <rPr>
        <sz val="11"/>
        <color rgb="FF000000"/>
        <rFont val="Calibri"/>
      </rPr>
      <t xml:space="preserve">
</t>
    </r>
    <r>
      <rPr>
        <sz val="11"/>
        <color rgb="FF000000"/>
        <rFont val="Calibri"/>
      </rPr>
      <t>If the BIG-IP appliance is not configured to use OCSP or CRLDP to ensure revoked machine credentials are prohibited from establishing an allowed session, this is a finding.</t>
    </r>
  </si>
  <si>
    <t>V-266154</t>
  </si>
  <si>
    <r>
      <rPr>
        <sz val="11"/>
        <rFont val="Calibri"/>
      </rPr>
      <t>The F5 BIG-IP appliance providing user authentication intermediary services using PKI-based user authentication must implement a local cache of revocation data to support path discovery and validation in case of the inability to access revocation information via the network.</t>
    </r>
  </si>
  <si>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"Edit" under "Per-Session Policy" for the Access Profile.</t>
    </r>
    <r>
      <rPr>
        <sz val="11"/>
        <color rgb="FF000000"/>
        <rFont val="Calibri"/>
      </rPr>
      <t xml:space="preserve">
</t>
    </r>
    <r>
      <rPr>
        <sz val="11"/>
        <color rgb="FF000000"/>
        <rFont val="Calibri"/>
      </rPr>
      <t>5. Add "OCSP Auth" and/or "CRLDP" object in the Access Profile.</t>
    </r>
    <r>
      <rPr>
        <sz val="11"/>
        <color rgb="FF000000"/>
        <rFont val="Calibri"/>
      </rPr>
      <t xml:space="preserve">
</t>
    </r>
    <r>
      <rPr>
        <sz val="11"/>
        <color rgb="FF000000"/>
        <rFont val="Calibri"/>
      </rPr>
      <t>Note: To create an OCSP Responder, go to Access &gt;&gt; Authentication &gt;&gt; OCSP Responder.</t>
    </r>
    <r>
      <rPr>
        <sz val="11"/>
        <color rgb="FF000000"/>
        <rFont val="Calibri"/>
      </rPr>
      <t xml:space="preserve">
</t>
    </r>
    <r>
      <rPr>
        <sz val="11"/>
        <color rgb="FF000000"/>
        <rFont val="Calibri"/>
      </rPr>
      <t>Note: To create a CRLDP object, go to Access &gt;&gt; Authentication &gt;&gt; CRLDP.</t>
    </r>
    <r>
      <rPr>
        <sz val="11"/>
        <color rgb="FF000000"/>
        <rFont val="Calibri"/>
      </rPr>
      <t xml:space="preserve">
</t>
    </r>
    <r>
      <rPr>
        <sz val="11"/>
        <color rgb="FF000000"/>
        <rFont val="Calibri"/>
      </rPr>
      <t>6. Ensure the fallback branch of these objects goes to a "Deny" ending.</t>
    </r>
    <r>
      <rPr>
        <sz val="11"/>
        <color rgb="FF000000"/>
        <rFont val="Calibri"/>
      </rPr>
      <t xml:space="preserve">
</t>
    </r>
    <r>
      <rPr>
        <sz val="11"/>
        <color rgb="FF000000"/>
        <rFont val="Calibri"/>
      </rPr>
      <t>7. Click "Apply Access Policy".</t>
    </r>
  </si>
  <si>
    <r>
      <rPr>
        <sz val="11"/>
        <color rgb="FF000000"/>
        <rFont val="Calibri"/>
      </rPr>
      <t>Without configuring a local cache of revocation data, there is the potential to allow access to users who are no longer authorized (users with revoked certificates).</t>
    </r>
    <r>
      <rPr>
        <sz val="11"/>
        <color rgb="FF000000"/>
        <rFont val="Calibri"/>
      </rPr>
      <t xml:space="preserve">
</t>
    </r>
    <r>
      <rPr>
        <sz val="11"/>
        <color rgb="FF000000"/>
        <rFont val="Calibri"/>
      </rPr>
      <t xml:space="preserve">The intent of this requirement is to require support for a secondary certificate validation method using a locally cached revocation data, such as Certificate Revocation List (CRL), in case access to OCSP (required by CCI-000185) is not available. Based on a risk assessment, an alternate mitigation is to configure the system to deny access when revocation data is unavailable. </t>
    </r>
    <r>
      <rPr>
        <sz val="11"/>
        <color rgb="FF000000"/>
        <rFont val="Calibri"/>
      </rPr>
      <t xml:space="preserve">
</t>
    </r>
    <r>
      <rPr>
        <sz val="11"/>
        <color rgb="FF000000"/>
        <rFont val="Calibri"/>
      </rPr>
      <t>This requirement applies to ALGs that provide user authentication intermediary services (e.g., authentication gateway or TLS gateway). This does not apply to authentication for the purpose of configuring the device itself (device management).</t>
    </r>
  </si>
  <si>
    <r>
      <rPr>
        <sz val="11"/>
        <color rgb="FF000000"/>
        <rFont val="Calibri"/>
      </rPr>
      <t>If the BIG-IP appliance does not provide PKI-based user authentication intermediary services, this is not applicable.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"Edit" under "Per-Session Policy" for the Access Profile.</t>
    </r>
    <r>
      <rPr>
        <sz val="11"/>
        <color rgb="FF000000"/>
        <rFont val="Calibri"/>
      </rPr>
      <t xml:space="preserve">
</t>
    </r>
    <r>
      <rPr>
        <sz val="11"/>
        <color rgb="FF000000"/>
        <rFont val="Calibri"/>
      </rPr>
      <t>5. Verify an "OSCP Auth" and/or "CRLDP" object is configured in the Access Profile VPE AND that the fallback branch of these objects leads to a "Deny" ending.</t>
    </r>
    <r>
      <rPr>
        <sz val="11"/>
        <color rgb="FF000000"/>
        <rFont val="Calibri"/>
      </rPr>
      <t xml:space="preserve">
</t>
    </r>
    <r>
      <rPr>
        <sz val="11"/>
        <color rgb="FF000000"/>
        <rFont val="Calibri"/>
      </rPr>
      <t>If the BIG-IP appliance is not configured to deny access when revocation data is unavailable, this is a finding.</t>
    </r>
  </si>
  <si>
    <t>V-266155</t>
  </si>
  <si>
    <r>
      <rPr>
        <sz val="11"/>
        <rFont val="Calibri"/>
      </rPr>
      <t>The F5 BIG-IP appliance must terminate all network connections associated with a communications session at the end of the session or after 15 minutes of inactivity.</t>
    </r>
  </si>
  <si>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the name of the Access Profile.</t>
    </r>
    <r>
      <rPr>
        <sz val="11"/>
        <color rgb="FF000000"/>
        <rFont val="Calibri"/>
      </rPr>
      <t xml:space="preserve">
</t>
    </r>
    <r>
      <rPr>
        <sz val="11"/>
        <color rgb="FF000000"/>
        <rFont val="Calibri"/>
      </rPr>
      <t>5. Set "Inactivity Timeout" to 900 seconds.</t>
    </r>
    <r>
      <rPr>
        <sz val="11"/>
        <color rgb="FF000000"/>
        <rFont val="Calibri"/>
      </rPr>
      <t xml:space="preserve">
</t>
    </r>
    <r>
      <rPr>
        <sz val="11"/>
        <color rgb="FF000000"/>
        <rFont val="Calibri"/>
      </rPr>
      <t>Note: If the setting is grayed out, check the box to the right of the setting.</t>
    </r>
    <r>
      <rPr>
        <sz val="11"/>
        <color rgb="FF000000"/>
        <rFont val="Calibri"/>
      </rPr>
      <t xml:space="preserve">
</t>
    </r>
    <r>
      <rPr>
        <sz val="11"/>
        <color rgb="FF000000"/>
        <rFont val="Calibri"/>
      </rPr>
      <t>6. Click "Update".</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</si>
  <si>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 Quickly terminating an idle session will also free up resources committed by the managed network element.</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system-level network connection.</t>
    </r>
    <r>
      <rPr>
        <sz val="11"/>
        <color rgb="FF000000"/>
        <rFont val="Calibri"/>
      </rPr>
      <t xml:space="preserve">
</t>
    </r>
    <r>
      <rPr>
        <sz val="11"/>
        <color rgb="FF000000"/>
        <rFont val="Calibri"/>
      </rPr>
      <t>ALGs may provide session control functionality as part of content filtering, load balancing, or proxy services.</t>
    </r>
  </si>
  <si>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the name of the Access Profile.</t>
    </r>
    <r>
      <rPr>
        <sz val="11"/>
        <color rgb="FF000000"/>
        <rFont val="Calibri"/>
      </rPr>
      <t xml:space="preserve">
</t>
    </r>
    <r>
      <rPr>
        <sz val="11"/>
        <color rgb="FF000000"/>
        <rFont val="Calibri"/>
      </rPr>
      <t>5. Verify "Inactivity Timeout" is configured for 900 seconds.</t>
    </r>
    <r>
      <rPr>
        <sz val="11"/>
        <color rgb="FF000000"/>
        <rFont val="Calibri"/>
      </rPr>
      <t xml:space="preserve">
</t>
    </r>
    <r>
      <rPr>
        <sz val="11"/>
        <color rgb="FF000000"/>
        <rFont val="Calibri"/>
      </rPr>
      <t>If the BIG-IP appliance is not configured to terminate all network connections associated with a user (nonprivileged) communications session after 15 minutes of inactivity, this is a finding.</t>
    </r>
  </si>
  <si>
    <t>V-266156</t>
  </si>
  <si>
    <r>
      <rPr>
        <sz val="11"/>
        <rFont val="Calibri"/>
      </rPr>
      <t>The F5 BIG-IP appliance providing content filtering must employ rate-based attack prevention behavior analysis.</t>
    </r>
  </si>
  <si>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DoS Protection.</t>
    </r>
    <r>
      <rPr>
        <sz val="11"/>
        <color rgb="FF000000"/>
        <rFont val="Calibri"/>
      </rPr>
      <t xml:space="preserve">
</t>
    </r>
    <r>
      <rPr>
        <sz val="11"/>
        <color rgb="FF000000"/>
        <rFont val="Calibri"/>
      </rPr>
      <t>3. Device Protection.</t>
    </r>
    <r>
      <rPr>
        <sz val="11"/>
        <color rgb="FF000000"/>
        <rFont val="Calibri"/>
      </rPr>
      <t xml:space="preserve">
</t>
    </r>
    <r>
      <rPr>
        <sz val="11"/>
        <color rgb="FF000000"/>
        <rFont val="Calibri"/>
      </rPr>
      <t>4. Expand each of the applicable families (Network, DNS, SIP) one at a time depending on the traffic being handled by the BIG-IP and do the following for each:</t>
    </r>
    <r>
      <rPr>
        <sz val="11"/>
        <color rgb="FF000000"/>
        <rFont val="Calibri"/>
      </rPr>
      <t xml:space="preserve">
</t>
    </r>
    <r>
      <rPr>
        <sz val="11"/>
        <color rgb="FF000000"/>
        <rFont val="Calibri"/>
      </rPr>
      <t>a. Check the box at the top of the list of signatures to select all.</t>
    </r>
    <r>
      <rPr>
        <sz val="11"/>
        <color rgb="FF000000"/>
        <rFont val="Calibri"/>
      </rPr>
      <t xml:space="preserve">
</t>
    </r>
    <r>
      <rPr>
        <sz val="11"/>
        <color rgb="FF000000"/>
        <rFont val="Calibri"/>
      </rPr>
      <t>b. Set "Set State" to "Mitigate".</t>
    </r>
    <r>
      <rPr>
        <sz val="11"/>
        <color rgb="FF000000"/>
        <rFont val="Calibri"/>
      </rPr>
      <t xml:space="preserve">
</t>
    </r>
    <r>
      <rPr>
        <sz val="11"/>
        <color rgb="FF000000"/>
        <rFont val="Calibri"/>
      </rPr>
      <t>5. Click "Commit Changes to System".</t>
    </r>
    <r>
      <rPr>
        <sz val="11"/>
        <color rgb="FF000000"/>
        <rFont val="Calibri"/>
      </rPr>
      <t xml:space="preserve">
</t>
    </r>
    <r>
      <rPr>
        <sz val="11"/>
        <color rgb="FF000000"/>
        <rFont val="Calibri"/>
      </rPr>
      <t>Note: Sites must operationally test or initially use learning mode prior to turning on all of the options in all families to prevent operational impacts, particularly in implementations with large traffic volumes.</t>
    </r>
  </si>
  <si>
    <r>
      <rPr>
        <sz val="11"/>
        <color rgb="FF000000"/>
        <rFont val="Calibri"/>
      </rPr>
      <t>If the network does not provide safeguards against denial-of-service (DoS) attacks, network resources will be unavailable to users.</t>
    </r>
    <r>
      <rPr>
        <sz val="11"/>
        <color rgb="FF000000"/>
        <rFont val="Calibri"/>
      </rPr>
      <t xml:space="preserve">
</t>
    </r>
    <r>
      <rPr>
        <sz val="11"/>
        <color rgb="FF000000"/>
        <rFont val="Calibri"/>
      </rPr>
      <t>Installation of content filtering gateways and application layer firewalls at key boundaries in the architecture mitigates the risk of DoS attacks. These attacks can be detected by matching observed communications traffic with patterns of known attacks and monitoring for anomalies in traffic volume/type.</t>
    </r>
    <r>
      <rPr>
        <sz val="11"/>
        <color rgb="FF000000"/>
        <rFont val="Calibri"/>
      </rPr>
      <t xml:space="preserve">
</t>
    </r>
    <r>
      <rPr>
        <sz val="11"/>
        <color rgb="FF000000"/>
        <rFont val="Calibri"/>
      </rPr>
      <t>Detection components that use rate-based behavior analysis can detect attacks when signatures for the attack do not exist or are not installed. These attacks include zero-day attacks which are new attacks for which vendors have not yet developed signatures. Rate-based behavior analysis can detect sophisticated, distributed DoS (DDoS) attacks by correlating traffic information from multiple network segments or components.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the communications traffic functionality of the ALG as it pertains to handling communications traffic, rather than to the ALG device itself.</t>
    </r>
    <r>
      <rPr>
        <sz val="11"/>
        <color rgb="FF000000"/>
        <rFont val="Calibri"/>
      </rPr>
      <t xml:space="preserve">
</t>
    </r>
    <r>
      <rPr>
        <sz val="11"/>
        <color rgb="FF000000"/>
        <rFont val="Calibri"/>
      </rPr>
      <t>Satisfies: SRG-NET-000362-ALG-000112, SRG-NET-000362-ALG-000126, SRG-NET-000192-ALG-000121</t>
    </r>
  </si>
  <si>
    <r>
      <rPr>
        <sz val="11"/>
        <color rgb="FF000000"/>
        <rFont val="Calibri"/>
      </rPr>
      <t>If the BIG-IP appliance does not perform content filtering as part of the traffic management functions, this is not applicable.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DoS Protection.</t>
    </r>
    <r>
      <rPr>
        <sz val="11"/>
        <color rgb="FF000000"/>
        <rFont val="Calibri"/>
      </rPr>
      <t xml:space="preserve">
</t>
    </r>
    <r>
      <rPr>
        <sz val="11"/>
        <color rgb="FF000000"/>
        <rFont val="Calibri"/>
      </rPr>
      <t>3. Device Protection.</t>
    </r>
    <r>
      <rPr>
        <sz val="11"/>
        <color rgb="FF000000"/>
        <rFont val="Calibri"/>
      </rPr>
      <t xml:space="preserve">
</t>
    </r>
    <r>
      <rPr>
        <sz val="11"/>
        <color rgb="FF000000"/>
        <rFont val="Calibri"/>
      </rPr>
      <t>4. Expand each of the applicable families (Network, DNS, SIP) depending on the traffic being handled by the BIG-IP and verify the "State" is set to "Mitigate" for all signatures in that family.</t>
    </r>
    <r>
      <rPr>
        <sz val="11"/>
        <color rgb="FF000000"/>
        <rFont val="Calibri"/>
      </rPr>
      <t xml:space="preserve">
</t>
    </r>
    <r>
      <rPr>
        <sz val="11"/>
        <color rgb="FF000000"/>
        <rFont val="Calibri"/>
      </rPr>
      <t>If the BIG-IP appliance is not configured to protect against known and unknown types of DoS attacks by employing rate-based attack prevention behavior analysis, this is a finding.</t>
    </r>
  </si>
  <si>
    <t>V-266157</t>
  </si>
  <si>
    <r>
      <rPr>
        <sz val="11"/>
        <rFont val="Calibri"/>
      </rPr>
      <t>The F5 BIG-IP appliance providing content filtering must protect against or limit the effects of known and unknown types of denial-of-service (DoS) attacks by employing pattern recognition pre-processors.</t>
    </r>
  </si>
  <si>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DoS Protection.</t>
    </r>
    <r>
      <rPr>
        <sz val="11"/>
        <color rgb="FF000000"/>
        <rFont val="Calibri"/>
      </rPr>
      <t xml:space="preserve">
</t>
    </r>
    <r>
      <rPr>
        <sz val="11"/>
        <color rgb="FF000000"/>
        <rFont val="Calibri"/>
      </rPr>
      <t>3. Device Protection.</t>
    </r>
    <r>
      <rPr>
        <sz val="11"/>
        <color rgb="FF000000"/>
        <rFont val="Calibri"/>
      </rPr>
      <t xml:space="preserve">
</t>
    </r>
    <r>
      <rPr>
        <sz val="11"/>
        <color rgb="FF000000"/>
        <rFont val="Calibri"/>
      </rPr>
      <t>4. Expand "Network".</t>
    </r>
    <r>
      <rPr>
        <sz val="11"/>
        <color rgb="FF000000"/>
        <rFont val="Calibri"/>
      </rPr>
      <t xml:space="preserve">
</t>
    </r>
    <r>
      <rPr>
        <sz val="11"/>
        <color rgb="FF000000"/>
        <rFont val="Calibri"/>
      </rPr>
      <t>5. Click "Configure settings".</t>
    </r>
    <r>
      <rPr>
        <sz val="11"/>
        <color rgb="FF000000"/>
        <rFont val="Calibri"/>
      </rPr>
      <t xml:space="preserve">
</t>
    </r>
    <r>
      <rPr>
        <sz val="11"/>
        <color rgb="FF000000"/>
        <rFont val="Calibri"/>
      </rPr>
      <t>6. Set "Dynamic Signature Detection" to "Enabled".</t>
    </r>
    <r>
      <rPr>
        <sz val="11"/>
        <color rgb="FF000000"/>
        <rFont val="Calibri"/>
      </rPr>
      <t xml:space="preserve">
</t>
    </r>
    <r>
      <rPr>
        <sz val="11"/>
        <color rgb="FF000000"/>
        <rFont val="Calibri"/>
      </rPr>
      <t>7. If applicable, expand "DNS".</t>
    </r>
    <r>
      <rPr>
        <sz val="11"/>
        <color rgb="FF000000"/>
        <rFont val="Calibri"/>
      </rPr>
      <t xml:space="preserve">
</t>
    </r>
    <r>
      <rPr>
        <sz val="11"/>
        <color rgb="FF000000"/>
        <rFont val="Calibri"/>
      </rPr>
      <t>8. Click "Configure settings".</t>
    </r>
    <r>
      <rPr>
        <sz val="11"/>
        <color rgb="FF000000"/>
        <rFont val="Calibri"/>
      </rPr>
      <t xml:space="preserve">
</t>
    </r>
    <r>
      <rPr>
        <sz val="11"/>
        <color rgb="FF000000"/>
        <rFont val="Calibri"/>
      </rPr>
      <t>9. Set "Dynamic Signature Detection" to "Enabled".</t>
    </r>
    <r>
      <rPr>
        <sz val="11"/>
        <color rgb="FF000000"/>
        <rFont val="Calibri"/>
      </rPr>
      <t xml:space="preserve">
</t>
    </r>
    <r>
      <rPr>
        <sz val="11"/>
        <color rgb="FF000000"/>
        <rFont val="Calibri"/>
      </rPr>
      <t>10. Click "Commit Changes to System".</t>
    </r>
  </si>
  <si>
    <r>
      <rPr>
        <sz val="11"/>
        <color rgb="FF000000"/>
        <rFont val="Calibri"/>
      </rPr>
      <t>If the network does not provide safeguards against DoS attacks, network resources will be unavailable to users.</t>
    </r>
    <r>
      <rPr>
        <sz val="11"/>
        <color rgb="FF000000"/>
        <rFont val="Calibri"/>
      </rPr>
      <t xml:space="preserve">
</t>
    </r>
    <r>
      <rPr>
        <sz val="11"/>
        <color rgb="FF000000"/>
        <rFont val="Calibri"/>
      </rPr>
      <t>Installation of content filtering gateways and application layer firewalls at key boundaries in the architecture mitigates the risk of DoS attacks. These attacks can be detected by matching observed communications traffic with patterns of known attacks.</t>
    </r>
    <r>
      <rPr>
        <sz val="11"/>
        <color rgb="FF000000"/>
        <rFont val="Calibri"/>
      </rPr>
      <t xml:space="preserve">
</t>
    </r>
    <r>
      <rPr>
        <sz val="11"/>
        <color rgb="FF000000"/>
        <rFont val="Calibri"/>
      </rPr>
      <t>Detection components that use pattern recognition pre-processors can detect attacks when signatures for the attack do not exist or are not installed. These attacks include zero-day attacks which are new attacks for which vendors have not yet developed signatures.</t>
    </r>
    <r>
      <rPr>
        <sz val="11"/>
        <color rgb="FF000000"/>
        <rFont val="Calibri"/>
      </rPr>
      <t xml:space="preserve">
</t>
    </r>
    <r>
      <rPr>
        <sz val="11"/>
        <color rgb="FF000000"/>
        <rFont val="Calibri"/>
      </rPr>
      <t>This requirement applies to the communications traffic functionality of the ALG as it pertains to handling communications traffic, rather than to the ALG device itself.</t>
    </r>
  </si>
  <si>
    <r>
      <rPr>
        <sz val="11"/>
        <color rgb="FF000000"/>
        <rFont val="Calibri"/>
      </rPr>
      <t>If the BIG-IP appliance does not perform content filtering as part of the traffic management functions, this is not applicable.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DoS Protection.</t>
    </r>
    <r>
      <rPr>
        <sz val="11"/>
        <color rgb="FF000000"/>
        <rFont val="Calibri"/>
      </rPr>
      <t xml:space="preserve">
</t>
    </r>
    <r>
      <rPr>
        <sz val="11"/>
        <color rgb="FF000000"/>
        <rFont val="Calibri"/>
      </rPr>
      <t>3. Device Protection.</t>
    </r>
    <r>
      <rPr>
        <sz val="11"/>
        <color rgb="FF000000"/>
        <rFont val="Calibri"/>
      </rPr>
      <t xml:space="preserve">
</t>
    </r>
    <r>
      <rPr>
        <sz val="11"/>
        <color rgb="FF000000"/>
        <rFont val="Calibri"/>
      </rPr>
      <t>4. Expand "Network" and verify "Dynamic Signatures" are enabled.</t>
    </r>
    <r>
      <rPr>
        <sz val="11"/>
        <color rgb="FF000000"/>
        <rFont val="Calibri"/>
      </rPr>
      <t xml:space="preserve">
</t>
    </r>
    <r>
      <rPr>
        <sz val="11"/>
        <color rgb="FF000000"/>
        <rFont val="Calibri"/>
      </rPr>
      <t>5. If applicable, expand "DNS" and verify "Dynamic Signatures" are enabled.</t>
    </r>
    <r>
      <rPr>
        <sz val="11"/>
        <color rgb="FF000000"/>
        <rFont val="Calibri"/>
      </rPr>
      <t xml:space="preserve">
</t>
    </r>
    <r>
      <rPr>
        <sz val="11"/>
        <color rgb="FF000000"/>
        <rFont val="Calibri"/>
      </rPr>
      <t>If the BIG-IP appliance is not configured to protect against or limit the effects of known and unknown types of DoS attacks by employing pattern recognition pre-processors, this is a finding.</t>
    </r>
  </si>
  <si>
    <t>V-266158</t>
  </si>
  <si>
    <r>
      <rPr>
        <sz val="11"/>
        <rFont val="Calibri"/>
      </rPr>
      <t>The F5 BIG-IP appliance must check the validity of all data inputs except those specifically identified by the organization.</t>
    </r>
  </si>
  <si>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Application Security.</t>
    </r>
    <r>
      <rPr>
        <sz val="11"/>
        <color rgb="FF000000"/>
        <rFont val="Calibri"/>
      </rPr>
      <t xml:space="preserve">
</t>
    </r>
    <r>
      <rPr>
        <sz val="11"/>
        <color rgb="FF000000"/>
        <rFont val="Calibri"/>
      </rPr>
      <t>3. Parameters.</t>
    </r>
    <r>
      <rPr>
        <sz val="11"/>
        <color rgb="FF000000"/>
        <rFont val="Calibri"/>
      </rPr>
      <t xml:space="preserve">
</t>
    </r>
    <r>
      <rPr>
        <sz val="11"/>
        <color rgb="FF000000"/>
        <rFont val="Calibri"/>
      </rPr>
      <t>4. Parameters List.</t>
    </r>
    <r>
      <rPr>
        <sz val="11"/>
        <color rgb="FF000000"/>
        <rFont val="Calibri"/>
      </rPr>
      <t xml:space="preserve">
</t>
    </r>
    <r>
      <rPr>
        <sz val="11"/>
        <color rgb="FF000000"/>
        <rFont val="Calibri"/>
      </rPr>
      <t>5. Select the appropriate policy from the drop-down menu in the top left.</t>
    </r>
    <r>
      <rPr>
        <sz val="11"/>
        <color rgb="FF000000"/>
        <rFont val="Calibri"/>
      </rPr>
      <t xml:space="preserve">
</t>
    </r>
    <r>
      <rPr>
        <sz val="11"/>
        <color rgb="FF000000"/>
        <rFont val="Calibri"/>
      </rPr>
      <t>6. Configure the appropriate parameters for the application (e.g., character set, length, numerical range, and acceptable values).</t>
    </r>
    <r>
      <rPr>
        <sz val="11"/>
        <color rgb="FF000000"/>
        <rFont val="Calibri"/>
      </rPr>
      <t xml:space="preserve">
</t>
    </r>
    <r>
      <rPr>
        <sz val="11"/>
        <color rgb="FF000000"/>
        <rFont val="Calibri"/>
      </rPr>
      <t>Refer to vendor documentation for more information.</t>
    </r>
  </si>
  <si>
    <r>
      <rPr>
        <sz val="11"/>
        <color rgb="FF000000"/>
        <rFont val="Calibri"/>
      </rPr>
      <t>Invalid user input occurs when a user inserts data or characters into an application's data entry fields and the application is unprepared to process that data. This results in unanticipated application behavior potentially leading to an application or information system compromise. Invalid input is one of the primary methods employed when attempting to compromise an application.</t>
    </r>
    <r>
      <rPr>
        <sz val="11"/>
        <color rgb="FF000000"/>
        <rFont val="Calibri"/>
      </rPr>
      <t xml:space="preserve">
</t>
    </r>
    <r>
      <rPr>
        <sz val="11"/>
        <color rgb="FF000000"/>
        <rFont val="Calibri"/>
      </rPr>
      <t>Network devices with the functionality to perform application layer inspection may be leveraged to validate data content of network communications. Checking the valid syntax and semantics of information system inputs (e.g., character set, length, numerical range, and acceptable values) verifies that inputs match specified definitions for format and content. Software typically follows well-defined protocols that use structured messages (i.e., commands or queries) to communicate between software modules or system components. Structured messages can contain raw or unstructured data interspersed with metadata or control information. If network elements use attacker-supplied inputs to construct structured messages without properly encoding such messages, then the attacker could insert malicious commands or special characters that can cause the data to be interpreted as control information or metadata. Consequently, the module or component that receives the tainted output will perform the wrong operations or otherwise interpret the data incorrectly. Pre-screening inputs prior to passing to interpreters prevents the content from being unintentionally interpreted as commands. Input validation helps to ensure accurate and correct inputs and prevent attacks such as cross-site scripting and a variety of injection attacks.</t>
    </r>
    <r>
      <rPr>
        <sz val="11"/>
        <color rgb="FF000000"/>
        <rFont val="Calibri"/>
      </rPr>
      <t xml:space="preserve">
</t>
    </r>
    <r>
      <rPr>
        <sz val="11"/>
        <color rgb="FF000000"/>
        <rFont val="Calibri"/>
      </rPr>
      <t>This requirement applies to gateways and firewalls that perform content inspection or have higher-layer proxy functionality.</t>
    </r>
  </si>
  <si>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Application Security.</t>
    </r>
    <r>
      <rPr>
        <sz val="11"/>
        <color rgb="FF000000"/>
        <rFont val="Calibri"/>
      </rPr>
      <t xml:space="preserve">
</t>
    </r>
    <r>
      <rPr>
        <sz val="11"/>
        <color rgb="FF000000"/>
        <rFont val="Calibri"/>
      </rPr>
      <t>3. Parameters.</t>
    </r>
    <r>
      <rPr>
        <sz val="11"/>
        <color rgb="FF000000"/>
        <rFont val="Calibri"/>
      </rPr>
      <t xml:space="preserve">
</t>
    </r>
    <r>
      <rPr>
        <sz val="11"/>
        <color rgb="FF000000"/>
        <rFont val="Calibri"/>
      </rPr>
      <t>4. Parameters List.</t>
    </r>
    <r>
      <rPr>
        <sz val="11"/>
        <color rgb="FF000000"/>
        <rFont val="Calibri"/>
      </rPr>
      <t xml:space="preserve">
</t>
    </r>
    <r>
      <rPr>
        <sz val="11"/>
        <color rgb="FF000000"/>
        <rFont val="Calibri"/>
      </rPr>
      <t>5. Select the appropriate policy from the drop-down menu in the top left.</t>
    </r>
    <r>
      <rPr>
        <sz val="11"/>
        <color rgb="FF000000"/>
        <rFont val="Calibri"/>
      </rPr>
      <t xml:space="preserve">
</t>
    </r>
    <r>
      <rPr>
        <sz val="11"/>
        <color rgb="FF000000"/>
        <rFont val="Calibri"/>
      </rPr>
      <t>6. Verify the appropriate parameters are configured for the application (e.g., character set, length, numerical range, and acceptable values).</t>
    </r>
    <r>
      <rPr>
        <sz val="11"/>
        <color rgb="FF000000"/>
        <rFont val="Calibri"/>
      </rPr>
      <t xml:space="preserve">
</t>
    </r>
    <r>
      <rPr>
        <sz val="11"/>
        <color rgb="FF000000"/>
        <rFont val="Calibri"/>
      </rPr>
      <t>If the BIG-IP appliance is not configured to check the validity of all data inputs except those specifically identified by the organization, this is a finding.</t>
    </r>
  </si>
  <si>
    <t>V-266159</t>
  </si>
  <si>
    <r>
      <rPr>
        <sz val="11"/>
        <rFont val="Calibri"/>
      </rPr>
      <t>The F5 BIG-IP appliance providing content filtering must automatically update malicious code protection mechanisms.</t>
    </r>
  </si>
  <si>
    <r>
      <rPr>
        <sz val="11"/>
        <color rgb="FF000000"/>
        <rFont val="Calibri"/>
      </rPr>
      <t>Note: Automatic signature updates can be configured, but depending on site connectivity this may not be possible. In this case, manual upload of updates is possible. The below covers automatic update configuration.</t>
    </r>
    <r>
      <rPr>
        <sz val="11"/>
        <color rgb="FF000000"/>
        <rFont val="Calibri"/>
      </rPr>
      <t xml:space="preserve">
</t>
    </r>
    <r>
      <rPr>
        <sz val="11"/>
        <color rgb="FF000000"/>
        <rFont val="Calibri"/>
      </rPr>
      <t>Automatic Update Check:</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Software Management.</t>
    </r>
    <r>
      <rPr>
        <sz val="11"/>
        <color rgb="FF000000"/>
        <rFont val="Calibri"/>
      </rPr>
      <t xml:space="preserve">
</t>
    </r>
    <r>
      <rPr>
        <sz val="11"/>
        <color rgb="FF000000"/>
        <rFont val="Calibri"/>
      </rPr>
      <t>3. Update Check.</t>
    </r>
    <r>
      <rPr>
        <sz val="11"/>
        <color rgb="FF000000"/>
        <rFont val="Calibri"/>
      </rPr>
      <t xml:space="preserve">
</t>
    </r>
    <r>
      <rPr>
        <sz val="11"/>
        <color rgb="FF000000"/>
        <rFont val="Calibri"/>
      </rPr>
      <t>4. Set "Automatic Update Check" to "Enabled".</t>
    </r>
    <r>
      <rPr>
        <sz val="11"/>
        <color rgb="FF000000"/>
        <rFont val="Calibri"/>
      </rPr>
      <t xml:space="preserve">
</t>
    </r>
    <r>
      <rPr>
        <sz val="11"/>
        <color rgb="FF000000"/>
        <rFont val="Calibri"/>
      </rPr>
      <t>5. Click "Apply Settings".</t>
    </r>
    <r>
      <rPr>
        <sz val="11"/>
        <color rgb="FF000000"/>
        <rFont val="Calibri"/>
      </rPr>
      <t xml:space="preserve">
</t>
    </r>
    <r>
      <rPr>
        <sz val="11"/>
        <color rgb="FF000000"/>
        <rFont val="Calibri"/>
      </rPr>
      <t>Real-Time Installation of Updates:</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Software Management.</t>
    </r>
    <r>
      <rPr>
        <sz val="11"/>
        <color rgb="FF000000"/>
        <rFont val="Calibri"/>
      </rPr>
      <t xml:space="preserve">
</t>
    </r>
    <r>
      <rPr>
        <sz val="11"/>
        <color rgb="FF000000"/>
        <rFont val="Calibri"/>
      </rPr>
      <t>3. Live Update.</t>
    </r>
    <r>
      <rPr>
        <sz val="11"/>
        <color rgb="FF000000"/>
        <rFont val="Calibri"/>
      </rPr>
      <t xml:space="preserve">
</t>
    </r>
    <r>
      <rPr>
        <sz val="11"/>
        <color rgb="FF000000"/>
        <rFont val="Calibri"/>
      </rPr>
      <t>4. Under "Updates Configuration" click on each item and click "Real-Time" for the setting "Installation of Automatically Downloaded Updates".</t>
    </r>
    <r>
      <rPr>
        <sz val="11"/>
        <color rgb="FF000000"/>
        <rFont val="Calibri"/>
      </rPr>
      <t xml:space="preserve">
</t>
    </r>
    <r>
      <rPr>
        <sz val="11"/>
        <color rgb="FF000000"/>
        <rFont val="Calibri"/>
      </rPr>
      <t>5. Click "Save" for each item.</t>
    </r>
  </si>
  <si>
    <r>
      <rPr>
        <sz val="11"/>
        <color rgb="FF000000"/>
        <rFont val="Calibri"/>
      </rPr>
      <t>The malicious software detection functionality on network elements needs to be constantly updated to identify new threats as they are discovered.</t>
    </r>
    <r>
      <rPr>
        <sz val="11"/>
        <color rgb="FF000000"/>
        <rFont val="Calibri"/>
      </rPr>
      <t xml:space="preserve">
</t>
    </r>
    <r>
      <rPr>
        <sz val="11"/>
        <color rgb="FF000000"/>
        <rFont val="Calibri"/>
      </rPr>
      <t>All malicious software detection functions must come with an update mechanism that automatically updates the application and any associated signature definitions. The organization (including any contractor to the organization) is required to promptly install security-relevant malicious code protection updates. Examples of relevant updates include antivirus signatures, detection heuristic rule sets, and/or file reputation data employed to identify and/or block malicious software from executing.</t>
    </r>
    <r>
      <rPr>
        <sz val="11"/>
        <color rgb="FF000000"/>
        <rFont val="Calibri"/>
      </rPr>
      <t xml:space="preserve">
</t>
    </r>
    <r>
      <rPr>
        <sz val="11"/>
        <color rgb="FF000000"/>
        <rFont val="Calibri"/>
      </rPr>
      <t>Malicious code includes viruses, worms, Trojan horses, and spyware.</t>
    </r>
    <r>
      <rPr>
        <sz val="11"/>
        <color rgb="FF000000"/>
        <rFont val="Calibri"/>
      </rPr>
      <t xml:space="preserve">
</t>
    </r>
    <r>
      <rPr>
        <sz val="11"/>
        <color rgb="FF000000"/>
        <rFont val="Calibri"/>
      </rPr>
      <t>This requirement is limited to ALGs, web content filters, and packet inspection firewalls that perform malicious code detection as part of their functionality.</t>
    </r>
  </si>
  <si>
    <r>
      <rPr>
        <sz val="11"/>
        <color rgb="FF000000"/>
        <rFont val="Calibri"/>
      </rPr>
      <t>If the BIG-IP  does not perform content filtering as part of its traffic management functionality, this is not applicable.</t>
    </r>
    <r>
      <rPr>
        <sz val="11"/>
        <color rgb="FF000000"/>
        <rFont val="Calibri"/>
      </rPr>
      <t xml:space="preserve">
</t>
    </r>
    <r>
      <rPr>
        <sz val="11"/>
        <color rgb="FF000000"/>
        <rFont val="Calibri"/>
      </rPr>
      <t>Note: Automatic signature updates can be configured, but depending on site connectivity this may not be possible. In this case manual upload of updates is possible. The below covers automatic update configuration.</t>
    </r>
    <r>
      <rPr>
        <sz val="11"/>
        <color rgb="FF000000"/>
        <rFont val="Calibri"/>
      </rPr>
      <t xml:space="preserve">
</t>
    </r>
    <r>
      <rPr>
        <sz val="11"/>
        <color rgb="FF000000"/>
        <rFont val="Calibri"/>
      </rPr>
      <t>Automatic Update Check:</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Software Management.</t>
    </r>
    <r>
      <rPr>
        <sz val="11"/>
        <color rgb="FF000000"/>
        <rFont val="Calibri"/>
      </rPr>
      <t xml:space="preserve">
</t>
    </r>
    <r>
      <rPr>
        <sz val="11"/>
        <color rgb="FF000000"/>
        <rFont val="Calibri"/>
      </rPr>
      <t>3. Update Check.</t>
    </r>
    <r>
      <rPr>
        <sz val="11"/>
        <color rgb="FF000000"/>
        <rFont val="Calibri"/>
      </rPr>
      <t xml:space="preserve">
</t>
    </r>
    <r>
      <rPr>
        <sz val="11"/>
        <color rgb="FF000000"/>
        <rFont val="Calibri"/>
      </rPr>
      <t>4. Verify that "Automatic Update Check" is set to "Enabled".</t>
    </r>
    <r>
      <rPr>
        <sz val="11"/>
        <color rgb="FF000000"/>
        <rFont val="Calibri"/>
      </rPr>
      <t xml:space="preserve">
</t>
    </r>
    <r>
      <rPr>
        <sz val="11"/>
        <color rgb="FF000000"/>
        <rFont val="Calibri"/>
      </rPr>
      <t>Real-Time Installation of Updates:</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Software Management.</t>
    </r>
    <r>
      <rPr>
        <sz val="11"/>
        <color rgb="FF000000"/>
        <rFont val="Calibri"/>
      </rPr>
      <t xml:space="preserve">
</t>
    </r>
    <r>
      <rPr>
        <sz val="11"/>
        <color rgb="FF000000"/>
        <rFont val="Calibri"/>
      </rPr>
      <t>3. Live Update.</t>
    </r>
    <r>
      <rPr>
        <sz val="11"/>
        <color rgb="FF000000"/>
        <rFont val="Calibri"/>
      </rPr>
      <t xml:space="preserve">
</t>
    </r>
    <r>
      <rPr>
        <sz val="11"/>
        <color rgb="FF000000"/>
        <rFont val="Calibri"/>
      </rPr>
      <t>4. Under "Updates Configuration" click on each item and check that "Real-Time" is selected for the setting "Installation of Automatically Downloaded Updates".</t>
    </r>
    <r>
      <rPr>
        <sz val="11"/>
        <color rgb="FF000000"/>
        <rFont val="Calibri"/>
      </rPr>
      <t xml:space="preserve">
</t>
    </r>
    <r>
      <rPr>
        <sz val="11"/>
        <color rgb="FF000000"/>
        <rFont val="Calibri"/>
      </rPr>
      <t>If the BIG-IP appliance is not configured to automatically update malicious code protection mechanisms, this is a finding.</t>
    </r>
  </si>
  <si>
    <t>V-266160</t>
  </si>
  <si>
    <r>
      <rPr>
        <sz val="11"/>
        <rFont val="Calibri"/>
      </rPr>
      <t>The F5 BIG-IP appliance providing content filtering must detect use of network services that have not been authorized or approved by the information system security manager (ISSM) and information system security officer (ISSO), at a minimum.</t>
    </r>
  </si>
  <si>
    <r>
      <rPr>
        <sz val="11"/>
        <color rgb="FF000000"/>
        <rFont val="Calibri"/>
      </rPr>
      <t>AFM ACL:</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Network Firewall.</t>
    </r>
    <r>
      <rPr>
        <sz val="11"/>
        <color rgb="FF000000"/>
        <rFont val="Calibri"/>
      </rPr>
      <t xml:space="preserve">
</t>
    </r>
    <r>
      <rPr>
        <sz val="11"/>
        <color rgb="FF000000"/>
        <rFont val="Calibri"/>
      </rPr>
      <t>3. Policies.</t>
    </r>
    <r>
      <rPr>
        <sz val="11"/>
        <color rgb="FF000000"/>
        <rFont val="Calibri"/>
      </rPr>
      <t xml:space="preserve">
</t>
    </r>
    <r>
      <rPr>
        <sz val="11"/>
        <color rgb="FF000000"/>
        <rFont val="Calibri"/>
      </rPr>
      <t>4. &lt;Policy Name&gt;.</t>
    </r>
    <r>
      <rPr>
        <sz val="11"/>
        <color rgb="FF000000"/>
        <rFont val="Calibri"/>
      </rPr>
      <t xml:space="preserve">
</t>
    </r>
    <r>
      <rPr>
        <sz val="11"/>
        <color rgb="FF000000"/>
        <rFont val="Calibri"/>
      </rPr>
      <t>5. Configure a rule that uses a "Classification Policy".</t>
    </r>
    <r>
      <rPr>
        <sz val="11"/>
        <color rgb="FF000000"/>
        <rFont val="Calibri"/>
      </rPr>
      <t xml:space="preserve">
</t>
    </r>
    <r>
      <rPr>
        <sz val="11"/>
        <color rgb="FF000000"/>
        <rFont val="Calibri"/>
      </rPr>
      <t>Note: To create a Classification Policy, go to Traffic Intelligence &gt;&gt; Policies.</t>
    </r>
    <r>
      <rPr>
        <sz val="11"/>
        <color rgb="FF000000"/>
        <rFont val="Calibri"/>
      </rPr>
      <t xml:space="preserve">
</t>
    </r>
    <r>
      <rPr>
        <sz val="11"/>
        <color rgb="FF000000"/>
        <rFont val="Calibri"/>
      </rPr>
      <t>6. Click "Commit Changes to System".</t>
    </r>
    <r>
      <rPr>
        <sz val="11"/>
        <color rgb="FF000000"/>
        <rFont val="Calibri"/>
      </rPr>
      <t xml:space="preserve">
</t>
    </r>
    <r>
      <rPr>
        <sz val="11"/>
        <color rgb="FF000000"/>
        <rFont val="Calibri"/>
      </rPr>
      <t>Log Profile: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Event Logs.</t>
    </r>
    <r>
      <rPr>
        <sz val="11"/>
        <color rgb="FF000000"/>
        <rFont val="Calibri"/>
      </rPr>
      <t xml:space="preserve">
</t>
    </r>
    <r>
      <rPr>
        <sz val="11"/>
        <color rgb="FF000000"/>
        <rFont val="Calibri"/>
      </rPr>
      <t>3. Logging Profiles.</t>
    </r>
    <r>
      <rPr>
        <sz val="11"/>
        <color rgb="FF000000"/>
        <rFont val="Calibri"/>
      </rPr>
      <t xml:space="preserve">
</t>
    </r>
    <r>
      <rPr>
        <sz val="11"/>
        <color rgb="FF000000"/>
        <rFont val="Calibri"/>
      </rPr>
      <t>4. Edit the global-network profile.</t>
    </r>
    <r>
      <rPr>
        <sz val="11"/>
        <color rgb="FF000000"/>
        <rFont val="Calibri"/>
      </rPr>
      <t xml:space="preserve">
</t>
    </r>
    <r>
      <rPr>
        <sz val="11"/>
        <color rgb="FF000000"/>
        <rFont val="Calibri"/>
      </rPr>
      <t>5. Check "Enabled" for "Classification".</t>
    </r>
    <r>
      <rPr>
        <sz val="11"/>
        <color rgb="FF000000"/>
        <rFont val="Calibri"/>
      </rPr>
      <t xml:space="preserve">
</t>
    </r>
    <r>
      <rPr>
        <sz val="11"/>
        <color rgb="FF000000"/>
        <rFont val="Calibri"/>
      </rPr>
      <t>6. Classification tab.</t>
    </r>
    <r>
      <rPr>
        <sz val="11"/>
        <color rgb="FF000000"/>
        <rFont val="Calibri"/>
      </rPr>
      <t xml:space="preserve">
</t>
    </r>
    <r>
      <rPr>
        <sz val="11"/>
        <color rgb="FF000000"/>
        <rFont val="Calibri"/>
      </rPr>
      <t>7. Configure the Log Publisher. (For production environments, F5 recommends using remote logging.)</t>
    </r>
    <r>
      <rPr>
        <sz val="11"/>
        <color rgb="FF000000"/>
        <rFont val="Calibri"/>
      </rPr>
      <t xml:space="preserve">
</t>
    </r>
    <r>
      <rPr>
        <sz val="11"/>
        <color rgb="FF000000"/>
        <rFont val="Calibri"/>
      </rPr>
      <t>8. Click "Update".</t>
    </r>
  </si>
  <si>
    <r>
      <rPr>
        <sz val="11"/>
        <color rgb="FF000000"/>
        <rFont val="Calibri"/>
      </rPr>
      <t>Unauthorized or unapproved network services lack organizational verification or validation, and therefore may be unreliable or serve as malicious rogues for valid services.</t>
    </r>
    <r>
      <rPr>
        <sz val="11"/>
        <color rgb="FF000000"/>
        <rFont val="Calibri"/>
      </rPr>
      <t xml:space="preserve">
</t>
    </r>
    <r>
      <rPr>
        <sz val="11"/>
        <color rgb="FF000000"/>
        <rFont val="Calibri"/>
      </rPr>
      <t>Examples of network services include service-oriented architectures (SOAs), cloud-based services (e.g., infrastructure as a service, platform as a service, or software as a service), cross-domain, Voice Over Internet Protocol, Instant Messaging, auto-execute, and file sharing.</t>
    </r>
    <r>
      <rPr>
        <sz val="11"/>
        <color rgb="FF000000"/>
        <rFont val="Calibri"/>
      </rPr>
      <t xml:space="preserve">
</t>
    </r>
    <r>
      <rPr>
        <sz val="11"/>
        <color rgb="FF000000"/>
        <rFont val="Calibri"/>
      </rPr>
      <t>To comply with this requirement, the ALG may be configured to detect services either directly or indirectly (i.e., by detecting traffic associated with a service). This requirement applies to gateways/firewalls that perform content inspection or have higher-layer proxy functionality.</t>
    </r>
  </si>
  <si>
    <r>
      <rPr>
        <sz val="11"/>
        <color rgb="FF000000"/>
        <rFont val="Calibri"/>
      </rPr>
      <t xml:space="preserve">If the BIG-IP appliance does not perform content filtering as part of the traffic management functions, this is not applicable. </t>
    </r>
    <r>
      <rPr>
        <sz val="11"/>
        <color rgb="FF000000"/>
        <rFont val="Calibri"/>
      </rPr>
      <t xml:space="preserve">
</t>
    </r>
    <r>
      <rPr>
        <sz val="11"/>
        <color rgb="FF000000"/>
        <rFont val="Calibri"/>
      </rPr>
      <t>If using the BIG-IP AFM module to perform content filtering:</t>
    </r>
    <r>
      <rPr>
        <sz val="11"/>
        <color rgb="FF000000"/>
        <rFont val="Calibri"/>
      </rPr>
      <t xml:space="preserve">
</t>
    </r>
    <r>
      <rPr>
        <sz val="11"/>
        <color rgb="FF000000"/>
        <rFont val="Calibri"/>
      </rPr>
      <t>AFM ACL:</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Network Firewall.</t>
    </r>
    <r>
      <rPr>
        <sz val="11"/>
        <color rgb="FF000000"/>
        <rFont val="Calibri"/>
      </rPr>
      <t xml:space="preserve">
</t>
    </r>
    <r>
      <rPr>
        <sz val="11"/>
        <color rgb="FF000000"/>
        <rFont val="Calibri"/>
      </rPr>
      <t>3. Policies.</t>
    </r>
    <r>
      <rPr>
        <sz val="11"/>
        <color rgb="FF000000"/>
        <rFont val="Calibri"/>
      </rPr>
      <t xml:space="preserve">
</t>
    </r>
    <r>
      <rPr>
        <sz val="11"/>
        <color rgb="FF000000"/>
        <rFont val="Calibri"/>
      </rPr>
      <t>4. &lt;Policy Name&gt;.</t>
    </r>
    <r>
      <rPr>
        <sz val="11"/>
        <color rgb="FF000000"/>
        <rFont val="Calibri"/>
      </rPr>
      <t xml:space="preserve">
</t>
    </r>
    <r>
      <rPr>
        <sz val="11"/>
        <color rgb="FF000000"/>
        <rFont val="Calibri"/>
      </rPr>
      <t>5. Verify a rule is configured that uses a "Classification Policy".</t>
    </r>
    <r>
      <rPr>
        <sz val="11"/>
        <color rgb="FF000000"/>
        <rFont val="Calibri"/>
      </rPr>
      <t xml:space="preserve">
</t>
    </r>
    <r>
      <rPr>
        <sz val="11"/>
        <color rgb="FF000000"/>
        <rFont val="Calibri"/>
      </rPr>
      <t>Log Profile: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Event Logs.</t>
    </r>
    <r>
      <rPr>
        <sz val="11"/>
        <color rgb="FF000000"/>
        <rFont val="Calibri"/>
      </rPr>
      <t xml:space="preserve">
</t>
    </r>
    <r>
      <rPr>
        <sz val="11"/>
        <color rgb="FF000000"/>
        <rFont val="Calibri"/>
      </rPr>
      <t>3. Logging Profiles.</t>
    </r>
    <r>
      <rPr>
        <sz val="11"/>
        <color rgb="FF000000"/>
        <rFont val="Calibri"/>
      </rPr>
      <t xml:space="preserve">
</t>
    </r>
    <r>
      <rPr>
        <sz val="11"/>
        <color rgb="FF000000"/>
        <rFont val="Calibri"/>
      </rPr>
      <t>4. Edit the global-network profile.</t>
    </r>
    <r>
      <rPr>
        <sz val="11"/>
        <color rgb="FF000000"/>
        <rFont val="Calibri"/>
      </rPr>
      <t xml:space="preserve">
</t>
    </r>
    <r>
      <rPr>
        <sz val="11"/>
        <color rgb="FF000000"/>
        <rFont val="Calibri"/>
      </rPr>
      <t>5. Classification tab.</t>
    </r>
    <r>
      <rPr>
        <sz val="11"/>
        <color rgb="FF000000"/>
        <rFont val="Calibri"/>
      </rPr>
      <t xml:space="preserve">
</t>
    </r>
    <r>
      <rPr>
        <sz val="11"/>
        <color rgb="FF000000"/>
        <rFont val="Calibri"/>
      </rPr>
      <t>6. Verify the Log Publisher is set to the desired setting. (For production environments, F5 recommends using remote logging.)</t>
    </r>
    <r>
      <rPr>
        <sz val="11"/>
        <color rgb="FF000000"/>
        <rFont val="Calibri"/>
      </rPr>
      <t xml:space="preserve">
</t>
    </r>
    <r>
      <rPr>
        <sz val="11"/>
        <color rgb="FF000000"/>
        <rFont val="Calibri"/>
      </rPr>
      <t>If configured rules in the policy do not detect use of network services that have not been authorized or approved by the ISSM and ISSO, at a minimum, this is a finding.</t>
    </r>
  </si>
  <si>
    <t>V-266161</t>
  </si>
  <si>
    <r>
      <rPr>
        <sz val="11"/>
        <rFont val="Calibri"/>
      </rPr>
      <t>The F5 BIG-IP appliance providing content filtering must generate a log record when unauthorized network services are detected.</t>
    </r>
  </si>
  <si>
    <r>
      <rPr>
        <sz val="11"/>
        <color rgb="FF000000"/>
        <rFont val="Calibri"/>
      </rPr>
      <t>Unauthorized or unapproved network services lack organizational verification or validation, and therefore may be unreliable or serve as malicious rogues for valid services.</t>
    </r>
    <r>
      <rPr>
        <sz val="11"/>
        <color rgb="FF000000"/>
        <rFont val="Calibri"/>
      </rPr>
      <t xml:space="preserve">
</t>
    </r>
    <r>
      <rPr>
        <sz val="11"/>
        <color rgb="FF000000"/>
        <rFont val="Calibri"/>
      </rPr>
      <t>Examples of network services include service-oriented architectures (SOAs), cloud-based services (e.g., infrastructure as a service, platform as a service, or software as a service), cross-domain, Voice Over Internet Protocol, instant messaging, auto-execute, and file sharing.</t>
    </r>
  </si>
  <si>
    <t>V-266162</t>
  </si>
  <si>
    <r>
      <rPr>
        <sz val="11"/>
        <rFont val="Calibri"/>
      </rPr>
      <t>When the Access Profile Type is LTM+APM and it is not using any connectivity resources (such as Network Access, Portal Access, etc.) in the VPE, the F5 BIG-IP appliance must be configured to enable the HTTP Only flag.</t>
    </r>
  </si>
  <si>
    <r>
      <rPr>
        <sz val="11"/>
        <color rgb="FF000000"/>
        <rFont val="Calibri"/>
      </rPr>
      <t>When the Access Profile Type is LTM+APM and it is not using any connectivity resources (such as Network Access, Portal Access, etc.) in the VPE, set the HTTP Only flag.</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the access profile name.</t>
    </r>
    <r>
      <rPr>
        <sz val="11"/>
        <color rgb="FF000000"/>
        <rFont val="Calibri"/>
      </rPr>
      <t xml:space="preserve">
</t>
    </r>
    <r>
      <rPr>
        <sz val="11"/>
        <color rgb="FF000000"/>
        <rFont val="Calibri"/>
      </rPr>
      <t>5. SSO/Auth Domains.</t>
    </r>
    <r>
      <rPr>
        <sz val="11"/>
        <color rgb="FF000000"/>
        <rFont val="Calibri"/>
      </rPr>
      <t xml:space="preserve">
</t>
    </r>
    <r>
      <rPr>
        <sz val="11"/>
        <color rgb="FF000000"/>
        <rFont val="Calibri"/>
      </rPr>
      <t>6. Under Cookie Options, Check the box next to HTTP Only.</t>
    </r>
    <r>
      <rPr>
        <sz val="11"/>
        <color rgb="FF000000"/>
        <rFont val="Calibri"/>
      </rPr>
      <t xml:space="preserve">
</t>
    </r>
    <r>
      <rPr>
        <sz val="11"/>
        <color rgb="FF000000"/>
        <rFont val="Calibri"/>
      </rPr>
      <t>7. Click "Update".</t>
    </r>
    <r>
      <rPr>
        <sz val="11"/>
        <color rgb="FF000000"/>
        <rFont val="Calibri"/>
      </rPr>
      <t xml:space="preserve">
</t>
    </r>
    <r>
      <rPr>
        <sz val="11"/>
        <color rgb="FF000000"/>
        <rFont val="Calibri"/>
      </rPr>
      <t>8. Click "Apply Access Policy".</t>
    </r>
  </si>
  <si>
    <r>
      <rPr>
        <sz val="11"/>
        <color rgb="FF000000"/>
        <rFont val="Calibri"/>
      </rPr>
      <t>To guard against cookie hijacking, only the BIG-IP APM controller and client must be able to view the full session ID. Setting the APM HTTP Only flag ensures that a third party will not have access to the active session cookies.</t>
    </r>
    <r>
      <rPr>
        <sz val="11"/>
        <color rgb="FF000000"/>
        <rFont val="Calibri"/>
      </rPr>
      <t xml:space="preserve">
</t>
    </r>
    <r>
      <rPr>
        <sz val="11"/>
        <color rgb="FF000000"/>
        <rFont val="Calibri"/>
      </rPr>
      <t>This option is only applicable to the LTM+APM access profile type. Other access profile types require access to various session cookies to fully function. Sites must conduct operational testing prior to enabling this setting. For implementations with connectivity resources (such as Network Access, Portal Access, etc.), do not set BIG-IP APM cookies with the HTTP Only flag.</t>
    </r>
  </si>
  <si>
    <r>
      <rPr>
        <sz val="11"/>
        <color rgb="FF000000"/>
        <rFont val="Calibri"/>
      </rPr>
      <t>If the Access Profile Type is not LTM+APM and it uses connectivity resources (such as Network Access, Portal Access, etc.) in the VPE, then this is not a finding.</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the access profile name.</t>
    </r>
    <r>
      <rPr>
        <sz val="11"/>
        <color rgb="FF000000"/>
        <rFont val="Calibri"/>
      </rPr>
      <t xml:space="preserve">
</t>
    </r>
    <r>
      <rPr>
        <sz val="11"/>
        <color rgb="FF000000"/>
        <rFont val="Calibri"/>
      </rPr>
      <t>5. SSO/Auth Domains.</t>
    </r>
    <r>
      <rPr>
        <sz val="11"/>
        <color rgb="FF000000"/>
        <rFont val="Calibri"/>
      </rPr>
      <t xml:space="preserve">
</t>
    </r>
    <r>
      <rPr>
        <sz val="11"/>
        <color rgb="FF000000"/>
        <rFont val="Calibri"/>
      </rPr>
      <t>6. Under Cookie Options, verify HTTP Only is enabled.</t>
    </r>
    <r>
      <rPr>
        <sz val="11"/>
        <color rgb="FF000000"/>
        <rFont val="Calibri"/>
      </rPr>
      <t xml:space="preserve">
</t>
    </r>
    <r>
      <rPr>
        <sz val="11"/>
        <color rgb="FF000000"/>
        <rFont val="Calibri"/>
      </rPr>
      <t>If the F5 BIG-IP appliance does not enable the HTTP Only flag, this is a finding.</t>
    </r>
  </si>
  <si>
    <t>V-266163</t>
  </si>
  <si>
    <r>
      <rPr>
        <sz val="11"/>
        <rFont val="Calibri"/>
      </rPr>
      <t>The F5 BIG-IP appliance must be configured to enable the secure cookie flag.</t>
    </r>
  </si>
  <si>
    <r>
      <rPr>
        <sz val="11"/>
        <color rgb="FF000000"/>
        <rFont val="Calibri"/>
      </rPr>
      <t>Configure each Access Profile to enable the Secure Cookies flag.</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the access profile name.</t>
    </r>
    <r>
      <rPr>
        <sz val="11"/>
        <color rgb="FF000000"/>
        <rFont val="Calibri"/>
      </rPr>
      <t xml:space="preserve">
</t>
    </r>
    <r>
      <rPr>
        <sz val="11"/>
        <color rgb="FF000000"/>
        <rFont val="Calibri"/>
      </rPr>
      <t>5. SSO/Auth Domains tab.</t>
    </r>
    <r>
      <rPr>
        <sz val="11"/>
        <color rgb="FF000000"/>
        <rFont val="Calibri"/>
      </rPr>
      <t xml:space="preserve">
</t>
    </r>
    <r>
      <rPr>
        <sz val="11"/>
        <color rgb="FF000000"/>
        <rFont val="Calibri"/>
      </rPr>
      <t>6. Under Cookie Options, check "Secure".</t>
    </r>
    <r>
      <rPr>
        <sz val="11"/>
        <color rgb="FF000000"/>
        <rFont val="Calibri"/>
      </rPr>
      <t xml:space="preserve">
</t>
    </r>
    <r>
      <rPr>
        <sz val="11"/>
        <color rgb="FF000000"/>
        <rFont val="Calibri"/>
      </rPr>
      <t>7. Click "Update".</t>
    </r>
    <r>
      <rPr>
        <sz val="11"/>
        <color rgb="FF000000"/>
        <rFont val="Calibri"/>
      </rPr>
      <t xml:space="preserve">
</t>
    </r>
    <r>
      <rPr>
        <sz val="11"/>
        <color rgb="FF000000"/>
        <rFont val="Calibri"/>
      </rPr>
      <t>8. Click "Apply Access Policy".</t>
    </r>
  </si>
  <si>
    <r>
      <rPr>
        <sz val="11"/>
        <color rgb="FF000000"/>
        <rFont val="Calibri"/>
      </rPr>
      <t>To guard against cookie hijacking, only the BIG-IP APM controller and client must be able to view the full session ID. Session cookies are set only after the SSL handshake between the BIG-IP APM system and the user has completed, ensuring that the session cookies are protected from interception with SSL encryption.</t>
    </r>
    <r>
      <rPr>
        <sz val="11"/>
        <color rgb="FF000000"/>
        <rFont val="Calibri"/>
      </rPr>
      <t xml:space="preserve">
</t>
    </r>
    <r>
      <rPr>
        <sz val="11"/>
        <color rgb="FF000000"/>
        <rFont val="Calibri"/>
      </rPr>
      <t>To ensure that the client browser will not send session cookies unencrypted, the HTTP header that the BIG-IP APM uses when sending the session cookie is set with the secure option (default). This option is only applicable to the LTM+APM access profile type.</t>
    </r>
  </si>
  <si>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the access profile name.</t>
    </r>
    <r>
      <rPr>
        <sz val="11"/>
        <color rgb="FF000000"/>
        <rFont val="Calibri"/>
      </rPr>
      <t xml:space="preserve">
</t>
    </r>
    <r>
      <rPr>
        <sz val="11"/>
        <color rgb="FF000000"/>
        <rFont val="Calibri"/>
      </rPr>
      <t>5. SSO/Auth Domains tab.</t>
    </r>
    <r>
      <rPr>
        <sz val="11"/>
        <color rgb="FF000000"/>
        <rFont val="Calibri"/>
      </rPr>
      <t xml:space="preserve">
</t>
    </r>
    <r>
      <rPr>
        <sz val="11"/>
        <color rgb="FF000000"/>
        <rFont val="Calibri"/>
      </rPr>
      <t>6. Under Cookie Options, verify "Secure" is enabled.</t>
    </r>
    <r>
      <rPr>
        <sz val="11"/>
        <color rgb="FF000000"/>
        <rFont val="Calibri"/>
      </rPr>
      <t xml:space="preserve">
</t>
    </r>
    <r>
      <rPr>
        <sz val="11"/>
        <color rgb="FF000000"/>
        <rFont val="Calibri"/>
      </rPr>
      <t>If the F5 BIG-IP appliance APM Policy does not enable the Secure cookies flag, this is a finding.</t>
    </r>
  </si>
  <si>
    <t>V-266164</t>
  </si>
  <si>
    <r>
      <rPr>
        <sz val="11"/>
        <rFont val="Calibri"/>
      </rPr>
      <t>The F5 BIG-IP appliance must be configured to disable the persistent cookie flag.</t>
    </r>
  </si>
  <si>
    <r>
      <rPr>
        <sz val="11"/>
        <color rgb="FF000000"/>
        <rFont val="Calibri"/>
      </rPr>
      <t>Note: Testing must be performed prior to implementation to prevent operational impact. This setting may break access to certain applications that require cookie persistence.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the access profile name.</t>
    </r>
    <r>
      <rPr>
        <sz val="11"/>
        <color rgb="FF000000"/>
        <rFont val="Calibri"/>
      </rPr>
      <t xml:space="preserve">
</t>
    </r>
    <r>
      <rPr>
        <sz val="11"/>
        <color rgb="FF000000"/>
        <rFont val="Calibri"/>
      </rPr>
      <t>5. SSO/Auth Domains tab.</t>
    </r>
    <r>
      <rPr>
        <sz val="11"/>
        <color rgb="FF000000"/>
        <rFont val="Calibri"/>
      </rPr>
      <t xml:space="preserve">
</t>
    </r>
    <r>
      <rPr>
        <sz val="11"/>
        <color rgb="FF000000"/>
        <rFont val="Calibri"/>
      </rPr>
      <t>6. Under Cookie Options, uncheck "Persistent".</t>
    </r>
    <r>
      <rPr>
        <sz val="11"/>
        <color rgb="FF000000"/>
        <rFont val="Calibri"/>
      </rPr>
      <t xml:space="preserve">
</t>
    </r>
    <r>
      <rPr>
        <sz val="11"/>
        <color rgb="FF000000"/>
        <rFont val="Calibri"/>
      </rPr>
      <t>7. Click "Update".</t>
    </r>
    <r>
      <rPr>
        <sz val="11"/>
        <color rgb="FF000000"/>
        <rFont val="Calibri"/>
      </rPr>
      <t xml:space="preserve">
</t>
    </r>
    <r>
      <rPr>
        <sz val="11"/>
        <color rgb="FF000000"/>
        <rFont val="Calibri"/>
      </rPr>
      <t>8. Click "Apply Access Policy".</t>
    </r>
  </si>
  <si>
    <r>
      <rPr>
        <sz val="11"/>
        <color rgb="FF000000"/>
        <rFont val="Calibri"/>
      </rPr>
      <t>For BIG-IP APM deployments with connectivity resources (such as Network Access, Portal Access, etc.), BIG-IP APM cookies cannot be set as Persistent. This is by design since cookies are stored locally on the client's hard disk, and thus could be exposed to unauthorized external access. For some deployments of the BIG-IP APM system, cookie persistence may be required. When selecting cookie persistence, persistence is hard coded at 60 seconds.</t>
    </r>
  </si>
  <si>
    <r>
      <rPr>
        <sz val="11"/>
        <color rgb="FF000000"/>
        <rFont val="Calibri"/>
      </rPr>
      <t>If the Access Profile is used for applications that require cookie persistence, then this is not a finding.</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the access profile name.</t>
    </r>
    <r>
      <rPr>
        <sz val="11"/>
        <color rgb="FF000000"/>
        <rFont val="Calibri"/>
      </rPr>
      <t xml:space="preserve">
</t>
    </r>
    <r>
      <rPr>
        <sz val="11"/>
        <color rgb="FF000000"/>
        <rFont val="Calibri"/>
      </rPr>
      <t>5. SSO/Auth Domains tab.</t>
    </r>
    <r>
      <rPr>
        <sz val="11"/>
        <color rgb="FF000000"/>
        <rFont val="Calibri"/>
      </rPr>
      <t xml:space="preserve">
</t>
    </r>
    <r>
      <rPr>
        <sz val="11"/>
        <color rgb="FF000000"/>
        <rFont val="Calibri"/>
      </rPr>
      <t>6. Under Cookie Options, verify "Persistent" is disabled.</t>
    </r>
    <r>
      <rPr>
        <sz val="11"/>
        <color rgb="FF000000"/>
        <rFont val="Calibri"/>
      </rPr>
      <t xml:space="preserve">
</t>
    </r>
    <r>
      <rPr>
        <sz val="11"/>
        <color rgb="FF000000"/>
        <rFont val="Calibri"/>
      </rPr>
      <t>If the F5 Big IP appliance APM Policy has the Persistent cookies flag enabled, this is a finding.</t>
    </r>
  </si>
  <si>
    <t>V-266165</t>
  </si>
  <si>
    <r>
      <rPr>
        <sz val="11"/>
        <rFont val="Calibri"/>
      </rPr>
      <t>The F5 BIG-IP appliance must configure certificate path validation to ensure revoked user credentials are prohibited from establishing an allowed session.</t>
    </r>
  </si>
  <si>
    <r>
      <rPr>
        <sz val="11"/>
        <color rgb="FF000000"/>
        <rFont val="Calibri"/>
      </rPr>
      <t>Access Policy:</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"Edit" under "Per-Session Policy" for the Access Profile.</t>
    </r>
    <r>
      <rPr>
        <sz val="11"/>
        <color rgb="FF000000"/>
        <rFont val="Calibri"/>
      </rPr>
      <t xml:space="preserve">
</t>
    </r>
    <r>
      <rPr>
        <sz val="11"/>
        <color rgb="FF000000"/>
        <rFont val="Calibri"/>
      </rPr>
      <t>5. Add an "OCSP Auth" with certificate type of "User" and/or a "CRLDP Auth" object in the Access Profile.</t>
    </r>
    <r>
      <rPr>
        <sz val="11"/>
        <color rgb="FF000000"/>
        <rFont val="Calibri"/>
      </rPr>
      <t xml:space="preserve">
</t>
    </r>
    <r>
      <rPr>
        <sz val="11"/>
        <color rgb="FF000000"/>
        <rFont val="Calibri"/>
      </rPr>
      <t>Note: To create an OCSP Responder, go to Access &gt;&gt; Authentication &gt;&gt; OCSP Responder.</t>
    </r>
    <r>
      <rPr>
        <sz val="11"/>
        <color rgb="FF000000"/>
        <rFont val="Calibri"/>
      </rPr>
      <t xml:space="preserve">
</t>
    </r>
    <r>
      <rPr>
        <sz val="11"/>
        <color rgb="FF000000"/>
        <rFont val="Calibri"/>
      </rPr>
      <t>Note: To create a CRLDP Server object, go to Access &gt;&gt; Authentication &gt;&gt; CRLDP.</t>
    </r>
    <r>
      <rPr>
        <sz val="11"/>
        <color rgb="FF000000"/>
        <rFont val="Calibri"/>
      </rPr>
      <t xml:space="preserve">
</t>
    </r>
    <r>
      <rPr>
        <sz val="11"/>
        <color rgb="FF000000"/>
        <rFont val="Calibri"/>
      </rPr>
      <t>6. Add an "OCSP Auth" object in the Access Profile and select an OCSP Responder.</t>
    </r>
    <r>
      <rPr>
        <sz val="11"/>
        <color rgb="FF000000"/>
        <rFont val="Calibri"/>
      </rPr>
      <t xml:space="preserve">
</t>
    </r>
    <r>
      <rPr>
        <sz val="11"/>
        <color rgb="FF000000"/>
        <rFont val="Calibri"/>
      </rPr>
      <t>7. Click "Update".</t>
    </r>
  </si>
  <si>
    <r>
      <rPr>
        <sz val="11"/>
        <color rgb="FF000000"/>
        <rFont val="Calibri"/>
      </rPr>
      <t>A certificate's certification path is the path from the end entity certificate to a trusted root certification authority (CA). Certification path validation is necessary for a relying party to make an informed decision regarding acceptance of an end entity certificate.</t>
    </r>
    <r>
      <rPr>
        <sz val="11"/>
        <color rgb="FF000000"/>
        <rFont val="Calibri"/>
      </rPr>
      <t xml:space="preserve">
</t>
    </r>
    <r>
      <rPr>
        <sz val="11"/>
        <color rgb="FF000000"/>
        <rFont val="Calibri"/>
      </rPr>
      <t>Certification path validation includes checks such as certificate issuer trust, time validity and revocation status for each certificate in the certification path. Revocation status information for CA and subject certificates in a certification path is commonly provided via certificate revocation lists (CRLs) or online certificate status protocol (OCSP) responses.</t>
    </r>
  </si>
  <si>
    <r>
      <rPr>
        <sz val="11"/>
        <color rgb="FF000000"/>
        <rFont val="Calibri"/>
      </rPr>
      <t>If the BIG-IP appliance does not provide intermediary services for TLS, or application protocols that use TLS (e.g., DNSSEC or HTTPS), this is not applicable.</t>
    </r>
    <r>
      <rPr>
        <sz val="11"/>
        <color rgb="FF000000"/>
        <rFont val="Calibri"/>
      </rPr>
      <t xml:space="preserve">
</t>
    </r>
    <r>
      <rPr>
        <sz val="11"/>
        <color rgb="FF000000"/>
        <rFont val="Calibri"/>
      </rPr>
      <t>Access Policy:</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"Edit" under "Per-Session Policy" for the Access Profile.</t>
    </r>
    <r>
      <rPr>
        <sz val="11"/>
        <color rgb="FF000000"/>
        <rFont val="Calibri"/>
      </rPr>
      <t xml:space="preserve">
</t>
    </r>
    <r>
      <rPr>
        <sz val="11"/>
        <color rgb="FF000000"/>
        <rFont val="Calibri"/>
      </rPr>
      <t>5. Verify an "OCSP Auth" object is configured in the Access Profile for "User" type or a CRLDP object is configured.</t>
    </r>
    <r>
      <rPr>
        <sz val="11"/>
        <color rgb="FF000000"/>
        <rFont val="Calibri"/>
      </rPr>
      <t xml:space="preserve">
</t>
    </r>
    <r>
      <rPr>
        <sz val="11"/>
        <color rgb="FF000000"/>
        <rFont val="Calibri"/>
      </rPr>
      <t>If the BIG-IP appliance is not configured to use OCSP or CRLDP to ensure revoked user credentials are prohibited from establishing an allowed session, this is a finding.</t>
    </r>
  </si>
  <si>
    <t>V-266166</t>
  </si>
  <si>
    <r>
      <rPr>
        <sz val="11"/>
        <rFont val="Calibri"/>
      </rPr>
      <t>The F5 BIG-IP appliance must not use the On-demand Cert Auth VPE agent as part of the APM Policy Profiles.</t>
    </r>
  </si>
  <si>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"Edit" under "Per-Session Policy" for the Access Profile.</t>
    </r>
    <r>
      <rPr>
        <sz val="11"/>
        <color rgb="FF000000"/>
        <rFont val="Calibri"/>
      </rPr>
      <t xml:space="preserve">
</t>
    </r>
    <r>
      <rPr>
        <sz val="11"/>
        <color rgb="FF000000"/>
        <rFont val="Calibri"/>
      </rPr>
      <t>5. Remove any "On-Demand Cert Auth" agents in the profile.</t>
    </r>
    <r>
      <rPr>
        <sz val="11"/>
        <color rgb="FF000000"/>
        <rFont val="Calibri"/>
      </rPr>
      <t xml:space="preserve">
</t>
    </r>
    <r>
      <rPr>
        <sz val="11"/>
        <color rgb="FF000000"/>
        <rFont val="Calibri"/>
      </rPr>
      <t>6. Add a "Client Cert Inspection" object in place of the previous "On Demand Cert Auth" agent.</t>
    </r>
    <r>
      <rPr>
        <sz val="11"/>
        <color rgb="FF000000"/>
        <rFont val="Calibri"/>
      </rPr>
      <t xml:space="preserve">
</t>
    </r>
    <r>
      <rPr>
        <sz val="11"/>
        <color rgb="FF000000"/>
        <rFont val="Calibri"/>
      </rPr>
      <t>7. Click "Apply Access Policy".</t>
    </r>
    <r>
      <rPr>
        <sz val="11"/>
        <color rgb="FF000000"/>
        <rFont val="Calibri"/>
      </rPr>
      <t xml:space="preserve">
</t>
    </r>
    <r>
      <rPr>
        <sz val="11"/>
        <color rgb="FF000000"/>
        <rFont val="Calibri"/>
      </rPr>
      <t>Note: Since use of this setting represent a risk to the DOD requirement for mutual authentication (see vulnerability discussion), if applications that use this function are mission essential, then AO approval is required, and use must be documented.</t>
    </r>
  </si>
  <si>
    <r>
      <rPr>
        <sz val="11"/>
        <color rgb="FF000000"/>
        <rFont val="Calibri"/>
      </rPr>
      <t>By requiring mutual authentication before any communication, it becomes significantly challenging for attackers to impersonate a client or server and exploit vulnerabilities. Furthermore, the encryption of all data transmitted between the client and server ensures that even if an attacker intercepts the data, it remains unintelligible without the correct keys.</t>
    </r>
    <r>
      <rPr>
        <sz val="11"/>
        <color rgb="FF000000"/>
        <rFont val="Calibri"/>
      </rPr>
      <t xml:space="preserve">
</t>
    </r>
    <r>
      <rPr>
        <sz val="11"/>
        <color rgb="FF000000"/>
        <rFont val="Calibri"/>
      </rPr>
      <t>To ensure the use of the mTLS for session authentication, do not use the On-Demand Cert Auth VPE agent. Typically, when a client makes an HTTPS request, an SSL handshake request occurs at the start of an SSL session. However, if On-Demand is configured, the client SSL profile skips the initial SSL handshake, an On-Demand Cert Auth action can re-negotiate the SSL connection from an access policy by sending a certificate request to the user. This prompts a certificate screen to open. Setting ODCA to "require" the client cert means the client cannot get any farther in the APM VPE without providing a valid certificate. "Request" would ask the client for a certificate, but the client could still continue if they did not provide one. Thus, the Client Certificate must be set to "require" in the client SSL profile since just removing ODCA from the VPE alone will result in the client never getting prompted for a certificate.</t>
    </r>
    <r>
      <rPr>
        <sz val="11"/>
        <color rgb="FF000000"/>
        <rFont val="Calibri"/>
      </rPr>
      <t xml:space="preserve">
</t>
    </r>
    <r>
      <rPr>
        <sz val="11"/>
        <color rgb="FF000000"/>
        <rFont val="Calibri"/>
      </rPr>
      <t>Within the Virtual Policy Editor (VPE) of the relevant Access Profile, do not use the On-Demand Cert Auth VPE agent. Configure only the Client Certification Inspection VPE Agent. This adjustment directs the BIG-IP to scrutinize the Client Certificate during the mTLS handshake process and extract the certificate's details into APM session variables.</t>
    </r>
  </si>
  <si>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"Edit" under "Per-Session Policy" for the Access Profile.</t>
    </r>
    <r>
      <rPr>
        <sz val="11"/>
        <color rgb="FF000000"/>
        <rFont val="Calibri"/>
      </rPr>
      <t xml:space="preserve">
</t>
    </r>
    <r>
      <rPr>
        <sz val="11"/>
        <color rgb="FF000000"/>
        <rFont val="Calibri"/>
      </rPr>
      <t>5. Verify the On-Demand Cert Auth agent is not configured in any part of the profile.</t>
    </r>
    <r>
      <rPr>
        <sz val="11"/>
        <color rgb="FF000000"/>
        <rFont val="Calibri"/>
      </rPr>
      <t xml:space="preserve">
</t>
    </r>
    <r>
      <rPr>
        <sz val="11"/>
        <color rgb="FF000000"/>
        <rFont val="Calibri"/>
      </rPr>
      <t>If the On-Demand Cert Auth agent is used in any Access Policy Profile, this is a finding.</t>
    </r>
  </si>
  <si>
    <t>V-266167</t>
  </si>
  <si>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Preferences.</t>
    </r>
    <r>
      <rPr>
        <sz val="11"/>
        <color rgb="FF000000"/>
        <rFont val="Calibri"/>
      </rPr>
      <t xml:space="preserve">
</t>
    </r>
    <r>
      <rPr>
        <sz val="11"/>
        <color rgb="FF000000"/>
        <rFont val="Calibri"/>
      </rPr>
      <t>3. Under Security Settings, check "Require A Consistent Inbound IP For The Entire Web Session".</t>
    </r>
    <r>
      <rPr>
        <sz val="11"/>
        <color rgb="FF000000"/>
        <rFont val="Calibri"/>
      </rPr>
      <t xml:space="preserve">
</t>
    </r>
    <r>
      <rPr>
        <sz val="11"/>
        <color rgb="FF000000"/>
        <rFont val="Calibri"/>
      </rPr>
      <t>4. Click "Update".</t>
    </r>
    <r>
      <rPr>
        <sz val="11"/>
        <color rgb="FF000000"/>
        <rFont val="Calibri"/>
      </rPr>
      <t xml:space="preserve">
</t>
    </r>
    <r>
      <rPr>
        <sz val="11"/>
        <color rgb="FF000000"/>
        <rFont val="Calibri"/>
      </rPr>
      <t>From the BIG-IP Console:</t>
    </r>
    <r>
      <rPr>
        <sz val="11"/>
        <color rgb="FF000000"/>
        <rFont val="Calibri"/>
      </rPr>
      <t xml:space="preserve">
</t>
    </r>
    <r>
      <rPr>
        <sz val="11"/>
        <color rgb="FF000000"/>
        <rFont val="Calibri"/>
      </rPr>
      <t>tmsh modify sys httpd auth-pam-validate-ip on</t>
    </r>
    <r>
      <rPr>
        <sz val="11"/>
        <color rgb="FF000000"/>
        <rFont val="Calibri"/>
      </rPr>
      <t xml:space="preserve">
</t>
    </r>
    <r>
      <rPr>
        <sz val="11"/>
        <color rgb="FF000000"/>
        <rFont val="Calibri"/>
      </rPr>
      <t>tmsh save sys config</t>
    </r>
  </si>
  <si>
    <r>
      <rPr>
        <sz val="11"/>
        <color rgb="FF000000"/>
        <rFont val="Calibri"/>
      </rPr>
      <t>This security measure helps limit the effects of denial-of-service attacks by employing antisession hijacking security safeguards. Session hijacking, also called cookie hijacking, is the exploitation of a valid computer session to gain unauthorized access to an application. The attacker steals (or hijacks) the cookies from a valid user and attempts to use them for authentication.</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</si>
  <si>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Preferences.</t>
    </r>
    <r>
      <rPr>
        <sz val="11"/>
        <color rgb="FF000000"/>
        <rFont val="Calibri"/>
      </rPr>
      <t xml:space="preserve">
</t>
    </r>
    <r>
      <rPr>
        <sz val="11"/>
        <color rgb="FF000000"/>
        <rFont val="Calibri"/>
      </rPr>
      <t>3. Under Security Settings, verify "Require A Consistent Inbound IP For The Entire Web Session" box is checked.</t>
    </r>
    <r>
      <rPr>
        <sz val="11"/>
        <color rgb="FF000000"/>
        <rFont val="Calibri"/>
      </rPr>
      <t xml:space="preserve">
</t>
    </r>
    <r>
      <rPr>
        <sz val="11"/>
        <color rgb="FF000000"/>
        <rFont val="Calibri"/>
      </rPr>
      <t>From the BIG-IP Console:</t>
    </r>
    <r>
      <rPr>
        <sz val="11"/>
        <color rgb="FF000000"/>
        <rFont val="Calibri"/>
      </rPr>
      <t xml:space="preserve">
</t>
    </r>
    <r>
      <rPr>
        <sz val="11"/>
        <color rgb="FF000000"/>
        <rFont val="Calibri"/>
      </rPr>
      <t>tmsh list sys httpd auth-pam-validate-ip</t>
    </r>
    <r>
      <rPr>
        <sz val="11"/>
        <color rgb="FF000000"/>
        <rFont val="Calibri"/>
      </rPr>
      <t xml:space="preserve">
</t>
    </r>
    <r>
      <rPr>
        <sz val="11"/>
        <color rgb="FF000000"/>
        <rFont val="Calibri"/>
      </rPr>
      <t>Note: This returns a value of "on".</t>
    </r>
    <r>
      <rPr>
        <sz val="11"/>
        <color rgb="FF000000"/>
        <rFont val="Calibri"/>
      </rPr>
      <t xml:space="preserve">
</t>
    </r>
    <r>
      <rPr>
        <sz val="11"/>
        <color rgb="FF000000"/>
        <rFont val="Calibri"/>
      </rPr>
      <t>If the BIG-IP appliance is not configured to require a consistent inbound IP for the entire session for management sessions, this is a finding.</t>
    </r>
  </si>
  <si>
    <t>V-266168</t>
  </si>
  <si>
    <r>
      <rPr>
        <sz val="11"/>
        <rFont val="Calibri"/>
      </rPr>
      <t>The F5 BIG-IP appliance must be configured to limit authenticated client sessions to initial session source IP.</t>
    </r>
  </si>
  <si>
    <r>
      <rPr>
        <sz val="11"/>
        <color rgb="FF000000"/>
        <rFont val="Calibri"/>
      </rPr>
      <t xml:space="preserve">Note: Setting must be tested. If there are operational impacts that prevent the use of this setting, document the impacts, and obtain approval from the AO if this requirement will not be implemented. </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Access.</t>
    </r>
    <r>
      <rPr>
        <sz val="11"/>
        <color rgb="FF000000"/>
        <rFont val="Calibri"/>
      </rPr>
      <t xml:space="preserve">
</t>
    </r>
    <r>
      <rPr>
        <sz val="11"/>
        <color rgb="FF000000"/>
        <rFont val="Calibri"/>
      </rPr>
      <t>3. Profiles/Policies.</t>
    </r>
    <r>
      <rPr>
        <sz val="11"/>
        <color rgb="FF000000"/>
        <rFont val="Calibri"/>
      </rPr>
      <t xml:space="preserve">
</t>
    </r>
    <r>
      <rPr>
        <sz val="11"/>
        <color rgb="FF000000"/>
        <rFont val="Calibri"/>
      </rPr>
      <t>4. Access Profiles.</t>
    </r>
    <r>
      <rPr>
        <sz val="11"/>
        <color rgb="FF000000"/>
        <rFont val="Calibri"/>
      </rPr>
      <t xml:space="preserve">
</t>
    </r>
    <r>
      <rPr>
        <sz val="11"/>
        <color rgb="FF000000"/>
        <rFont val="Calibri"/>
      </rPr>
      <t>5. Click the access profile name.</t>
    </r>
    <r>
      <rPr>
        <sz val="11"/>
        <color rgb="FF000000"/>
        <rFont val="Calibri"/>
      </rPr>
      <t xml:space="preserve">
</t>
    </r>
    <r>
      <rPr>
        <sz val="11"/>
        <color rgb="FF000000"/>
        <rFont val="Calibri"/>
      </rPr>
      <t>6. Under Settings, check "Restrict to Single Client IP".</t>
    </r>
    <r>
      <rPr>
        <sz val="11"/>
        <color rgb="FF000000"/>
        <rFont val="Calibri"/>
      </rPr>
      <t xml:space="preserve">
</t>
    </r>
    <r>
      <rPr>
        <sz val="11"/>
        <color rgb="FF000000"/>
        <rFont val="Calibri"/>
      </rPr>
      <t>Note: If the box is grayed out, check the box all the way to the right of the setting first and then check the box.</t>
    </r>
    <r>
      <rPr>
        <sz val="11"/>
        <color rgb="FF000000"/>
        <rFont val="Calibri"/>
      </rPr>
      <t xml:space="preserve">
</t>
    </r>
    <r>
      <rPr>
        <sz val="11"/>
        <color rgb="FF000000"/>
        <rFont val="Calibri"/>
      </rPr>
      <t>7. Click "Update".</t>
    </r>
    <r>
      <rPr>
        <sz val="11"/>
        <color rgb="FF000000"/>
        <rFont val="Calibri"/>
      </rPr>
      <t xml:space="preserve">
</t>
    </r>
    <r>
      <rPr>
        <sz val="11"/>
        <color rgb="FF000000"/>
        <rFont val="Calibri"/>
      </rPr>
      <t>8. Click "Apply Access Policy".</t>
    </r>
  </si>
  <si>
    <r>
      <rPr>
        <sz val="11"/>
        <color rgb="FF000000"/>
        <rFont val="Calibri"/>
      </rPr>
      <t>The "Restrict to Single Client IP” is a safeguard against session hijacking or cookie theft. Even if an attacker manages to steal a session cookie, the cookie cannot be used from a different source IP address that the address used to initiate the session. This security measure is set within the APM Access Profiles.</t>
    </r>
    <r>
      <rPr>
        <sz val="11"/>
        <color rgb="FF000000"/>
        <rFont val="Calibri"/>
      </rPr>
      <t xml:space="preserve">
</t>
    </r>
    <r>
      <rPr>
        <sz val="11"/>
        <color rgb="FF000000"/>
        <rFont val="Calibri"/>
      </rPr>
      <t>This setting has been recommended by F5 as a defense-in-depth measure. However, in some networks, this may result in false positives or rejection of legitimate connections. Users behind a shared proxy address may be denied access. Thus, sites must test this setting within their network prior to implementing to determine if there are operational impacts that prevent the use of this setting. If so, the site must document the impacts and get approval from the authorizing official (AO) if this required setting will not be implemented.</t>
    </r>
  </si>
  <si>
    <r>
      <rPr>
        <sz val="11"/>
        <color rgb="FF000000"/>
        <rFont val="Calibri"/>
      </rPr>
      <t>If the site has documented an adverse operational impact and has AO approval, this is not a finding.</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Access.</t>
    </r>
    <r>
      <rPr>
        <sz val="11"/>
        <color rgb="FF000000"/>
        <rFont val="Calibri"/>
      </rPr>
      <t xml:space="preserve">
</t>
    </r>
    <r>
      <rPr>
        <sz val="11"/>
        <color rgb="FF000000"/>
        <rFont val="Calibri"/>
      </rPr>
      <t>3. Profiles/Policies.</t>
    </r>
    <r>
      <rPr>
        <sz val="11"/>
        <color rgb="FF000000"/>
        <rFont val="Calibri"/>
      </rPr>
      <t xml:space="preserve">
</t>
    </r>
    <r>
      <rPr>
        <sz val="11"/>
        <color rgb="FF000000"/>
        <rFont val="Calibri"/>
      </rPr>
      <t>4. Access Profiles.</t>
    </r>
    <r>
      <rPr>
        <sz val="11"/>
        <color rgb="FF000000"/>
        <rFont val="Calibri"/>
      </rPr>
      <t xml:space="preserve">
</t>
    </r>
    <r>
      <rPr>
        <sz val="11"/>
        <color rgb="FF000000"/>
        <rFont val="Calibri"/>
      </rPr>
      <t>5. Click the access profile name.</t>
    </r>
    <r>
      <rPr>
        <sz val="11"/>
        <color rgb="FF000000"/>
        <rFont val="Calibri"/>
      </rPr>
      <t xml:space="preserve">
</t>
    </r>
    <r>
      <rPr>
        <sz val="11"/>
        <color rgb="FF000000"/>
        <rFont val="Calibri"/>
      </rPr>
      <t>6. Under Settings, verify "Restrict to Single Client IP" is checked.</t>
    </r>
    <r>
      <rPr>
        <sz val="11"/>
        <color rgb="FF000000"/>
        <rFont val="Calibri"/>
      </rPr>
      <t xml:space="preserve">
</t>
    </r>
    <r>
      <rPr>
        <sz val="11"/>
        <color rgb="FF000000"/>
        <rFont val="Calibri"/>
      </rPr>
      <t>If the BIG-IP appliance is not configured to limit authenticated client sessions to initial session source IP, this is a finding.</t>
    </r>
  </si>
  <si>
    <t>V-266170</t>
  </si>
  <si>
    <r>
      <rPr>
        <sz val="11"/>
        <rFont val="Calibri"/>
      </rPr>
      <t>The F5 BIG-IP appliance must be configured to use cryptographic algorithms approved by NSA to protect NSS for remote access to a classified network.</t>
    </r>
  </si>
  <si>
    <r>
      <rPr>
        <sz val="11"/>
        <color rgb="FF000000"/>
        <rFont val="Calibri"/>
      </rPr>
      <t>From the BIG-IP GUI:</t>
    </r>
    <r>
      <rPr>
        <sz val="11"/>
        <color rgb="FF000000"/>
        <rFont val="Calibri"/>
      </rPr>
      <t xml:space="preserve">
</t>
    </r>
    <r>
      <rPr>
        <sz val="11"/>
        <color rgb="FF000000"/>
        <rFont val="Calibri"/>
      </rPr>
      <t>1. Local Traffic.</t>
    </r>
    <r>
      <rPr>
        <sz val="11"/>
        <color rgb="FF000000"/>
        <rFont val="Calibri"/>
      </rPr>
      <t xml:space="preserve">
</t>
    </r>
    <r>
      <rPr>
        <sz val="11"/>
        <color rgb="FF000000"/>
        <rFont val="Calibri"/>
      </rPr>
      <t>2. Profiles.</t>
    </r>
    <r>
      <rPr>
        <sz val="11"/>
        <color rgb="FF000000"/>
        <rFont val="Calibri"/>
      </rPr>
      <t xml:space="preserve">
</t>
    </r>
    <r>
      <rPr>
        <sz val="11"/>
        <color rgb="FF000000"/>
        <rFont val="Calibri"/>
      </rPr>
      <t>3. SSL.</t>
    </r>
    <r>
      <rPr>
        <sz val="11"/>
        <color rgb="FF000000"/>
        <rFont val="Calibri"/>
      </rPr>
      <t xml:space="preserve">
</t>
    </r>
    <r>
      <rPr>
        <sz val="11"/>
        <color rgb="FF000000"/>
        <rFont val="Calibri"/>
      </rPr>
      <t>4. Client.</t>
    </r>
    <r>
      <rPr>
        <sz val="11"/>
        <color rgb="FF000000"/>
        <rFont val="Calibri"/>
      </rPr>
      <t xml:space="preserve">
</t>
    </r>
    <r>
      <rPr>
        <sz val="11"/>
        <color rgb="FF000000"/>
        <rFont val="Calibri"/>
      </rPr>
      <t>5. Click the name of the SSL Profile.</t>
    </r>
    <r>
      <rPr>
        <sz val="11"/>
        <color rgb="FF000000"/>
        <rFont val="Calibri"/>
      </rPr>
      <t xml:space="preserve">
</t>
    </r>
    <r>
      <rPr>
        <sz val="11"/>
        <color rgb="FF000000"/>
        <rFont val="Calibri"/>
      </rPr>
      <t>6. For "Ciphers", configure only AES-256 or other cryptographic algorithms approved by NSA to protect NSS for remote access to a classified network in compliance with CSNA/CNSSP-15.</t>
    </r>
    <r>
      <rPr>
        <sz val="11"/>
        <color rgb="FF000000"/>
        <rFont val="Calibri"/>
      </rPr>
      <t xml:space="preserve">
</t>
    </r>
    <r>
      <rPr>
        <sz val="11"/>
        <color rgb="FF000000"/>
        <rFont val="Calibri"/>
      </rPr>
      <t>7. Click "Update".</t>
    </r>
  </si>
  <si>
    <r>
      <rPr>
        <sz val="11"/>
        <color rgb="FF000000"/>
        <rFont val="Calibri"/>
      </rPr>
      <t>Use of weak or untested encryption algorithms undermines the purposes of utilizing encryption to protect data. The VPN gateway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NIST cryptographic algorithms are approved by NSA to protect NSS. Based on an analysis of the impact of quantum computing, cryptographic algorithms specified by CNSSP-15 and approved for use in products in the CSfC program have been changed to more stringent protocols and configured with increased bit sizes and other secure characteristics to protect against quantum computing threats. The Commercial National Security Algorithm Suite (CNSA Suite) replaces Suite B.</t>
    </r>
  </si>
  <si>
    <r>
      <rPr>
        <sz val="11"/>
        <color rgb="FF000000"/>
        <rFont val="Calibri"/>
      </rPr>
      <t>From the BIG-IP GUI:</t>
    </r>
    <r>
      <rPr>
        <sz val="11"/>
        <color rgb="FF000000"/>
        <rFont val="Calibri"/>
      </rPr>
      <t xml:space="preserve">
</t>
    </r>
    <r>
      <rPr>
        <sz val="11"/>
        <color rgb="FF000000"/>
        <rFont val="Calibri"/>
      </rPr>
      <t>1. Local Traffic.</t>
    </r>
    <r>
      <rPr>
        <sz val="11"/>
        <color rgb="FF000000"/>
        <rFont val="Calibri"/>
      </rPr>
      <t xml:space="preserve">
</t>
    </r>
    <r>
      <rPr>
        <sz val="11"/>
        <color rgb="FF000000"/>
        <rFont val="Calibri"/>
      </rPr>
      <t>2. Profiles.</t>
    </r>
    <r>
      <rPr>
        <sz val="11"/>
        <color rgb="FF000000"/>
        <rFont val="Calibri"/>
      </rPr>
      <t xml:space="preserve">
</t>
    </r>
    <r>
      <rPr>
        <sz val="11"/>
        <color rgb="FF000000"/>
        <rFont val="Calibri"/>
      </rPr>
      <t>3. SSL.</t>
    </r>
    <r>
      <rPr>
        <sz val="11"/>
        <color rgb="FF000000"/>
        <rFont val="Calibri"/>
      </rPr>
      <t xml:space="preserve">
</t>
    </r>
    <r>
      <rPr>
        <sz val="11"/>
        <color rgb="FF000000"/>
        <rFont val="Calibri"/>
      </rPr>
      <t>4. Client.</t>
    </r>
    <r>
      <rPr>
        <sz val="11"/>
        <color rgb="FF000000"/>
        <rFont val="Calibri"/>
      </rPr>
      <t xml:space="preserve">
</t>
    </r>
    <r>
      <rPr>
        <sz val="11"/>
        <color rgb="FF000000"/>
        <rFont val="Calibri"/>
      </rPr>
      <t>5. Click the name of the SSL Profile.</t>
    </r>
    <r>
      <rPr>
        <sz val="11"/>
        <color rgb="FF000000"/>
        <rFont val="Calibri"/>
      </rPr>
      <t xml:space="preserve">
</t>
    </r>
    <r>
      <rPr>
        <sz val="11"/>
        <color rgb="FF000000"/>
        <rFont val="Calibri"/>
      </rPr>
      <t>6. For "Ciphers", ensure only AES-256 or other cryptographic algorithms approved by NSA to protect NSS for remote access to a classified network are configured in compliance with CSNA/CNSSP-15.</t>
    </r>
    <r>
      <rPr>
        <sz val="11"/>
        <color rgb="FF000000"/>
        <rFont val="Calibri"/>
      </rPr>
      <t xml:space="preserve">
</t>
    </r>
    <r>
      <rPr>
        <sz val="11"/>
        <color rgb="FF000000"/>
        <rFont val="Calibri"/>
      </rPr>
      <t>If the BIG-IP appliance is not configured to use cryptographic algorithms approved by NSA to protect NSS for remote access to a classified network, this is a finding.</t>
    </r>
  </si>
  <si>
    <t>V-266171</t>
  </si>
  <si>
    <r>
      <rPr>
        <sz val="11"/>
        <rFont val="Calibri"/>
      </rPr>
      <t>The F5 BIG-IP must be configured to identify and authenticate all endpoint devices or peers before establishing a connection.</t>
    </r>
  </si>
  <si>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"Edit..." in the "Per-Session Policy" column for the Access Profile.</t>
    </r>
    <r>
      <rPr>
        <sz val="11"/>
        <color rgb="FF000000"/>
        <rFont val="Calibri"/>
      </rPr>
      <t xml:space="preserve">
</t>
    </r>
    <r>
      <rPr>
        <sz val="11"/>
        <color rgb="FF000000"/>
        <rFont val="Calibri"/>
      </rPr>
      <t>5. Configure the Access Profile to uniquely identify and authenticate network devices.</t>
    </r>
    <r>
      <rPr>
        <sz val="11"/>
        <color rgb="FF000000"/>
        <rFont val="Calibri"/>
      </rPr>
      <t xml:space="preserve">
</t>
    </r>
    <r>
      <rPr>
        <sz val="11"/>
        <color rgb="FF000000"/>
        <rFont val="Calibri"/>
      </rPr>
      <t>6. Click "Apply Access Policy".</t>
    </r>
  </si>
  <si>
    <r>
      <rPr>
        <sz val="11"/>
        <color rgb="FF000000"/>
        <rFont val="Calibri"/>
      </rPr>
      <t>Without identifying and authenticating devices, unidentified or unknown devices may be introduced, thereby facilitating malicious activity.</t>
    </r>
  </si>
  <si>
    <r>
      <rPr>
        <sz val="11"/>
        <color rgb="FF000000"/>
        <rFont val="Calibri"/>
      </rPr>
      <t>If the BIG-IP appliance does not provide remote access intermediary services, this is not applicable.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"Edit..." in the "Per-Session Policy" column for the Access Profile.</t>
    </r>
    <r>
      <rPr>
        <sz val="11"/>
        <color rgb="FF000000"/>
        <rFont val="Calibri"/>
      </rPr>
      <t xml:space="preserve">
</t>
    </r>
    <r>
      <rPr>
        <sz val="11"/>
        <color rgb="FF000000"/>
        <rFont val="Calibri"/>
      </rPr>
      <t>5. Verify the Access Profile is configured to uniquely identify network devices.</t>
    </r>
    <r>
      <rPr>
        <sz val="11"/>
        <color rgb="FF000000"/>
        <rFont val="Calibri"/>
      </rPr>
      <t xml:space="preserve">
</t>
    </r>
    <r>
      <rPr>
        <sz val="11"/>
        <color rgb="FF000000"/>
        <rFont val="Calibri"/>
      </rPr>
      <t>If the BIG-IP appliance is not configured to identify and authenticate all endpoint devices or peers before establishing a connection, this is a finding.</t>
    </r>
  </si>
  <si>
    <t>V-266172</t>
  </si>
  <si>
    <r>
      <rPr>
        <sz val="11"/>
        <rFont val="Calibri"/>
      </rPr>
      <t>The F5 BIG-IP appliance providing remote access intermediary services must disable split-tunneling for remote clients</t>
    </r>
    <r>
      <rPr>
        <sz val="11"/>
        <color rgb="FF000000"/>
        <rFont val="Calibri"/>
      </rPr>
      <t>'</t>
    </r>
    <r>
      <rPr>
        <sz val="11"/>
        <color rgb="FF000000"/>
        <rFont val="Calibri"/>
      </rPr>
      <t xml:space="preserve"> VPNs.</t>
    </r>
  </si>
  <si>
    <r>
      <rPr>
        <sz val="11"/>
        <color rgb="FF000000"/>
        <rFont val="Calibri"/>
      </rPr>
      <t>Obtain the Network Access name in the Access Profile: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the name of the Access Profile.</t>
    </r>
    <r>
      <rPr>
        <sz val="11"/>
        <color rgb="FF000000"/>
        <rFont val="Calibri"/>
      </rPr>
      <t xml:space="preserve">
</t>
    </r>
    <r>
      <rPr>
        <sz val="11"/>
        <color rgb="FF000000"/>
        <rFont val="Calibri"/>
      </rPr>
      <t>5. Click the Access Policy tab and note the name(s) of the Network Access listed.</t>
    </r>
    <r>
      <rPr>
        <sz val="11"/>
        <color rgb="FF000000"/>
        <rFont val="Calibri"/>
      </rPr>
      <t xml:space="preserve">
</t>
    </r>
    <r>
      <rPr>
        <sz val="11"/>
        <color rgb="FF000000"/>
        <rFont val="Calibri"/>
      </rPr>
      <t>Configure the Network Access List:</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Connectivity/VPN.</t>
    </r>
    <r>
      <rPr>
        <sz val="11"/>
        <color rgb="FF000000"/>
        <rFont val="Calibri"/>
      </rPr>
      <t xml:space="preserve">
</t>
    </r>
    <r>
      <rPr>
        <sz val="11"/>
        <color rgb="FF000000"/>
        <rFont val="Calibri"/>
      </rPr>
      <t>3. Network Access (VPN).</t>
    </r>
    <r>
      <rPr>
        <sz val="11"/>
        <color rgb="FF000000"/>
        <rFont val="Calibri"/>
      </rPr>
      <t xml:space="preserve">
</t>
    </r>
    <r>
      <rPr>
        <sz val="11"/>
        <color rgb="FF000000"/>
        <rFont val="Calibri"/>
      </rPr>
      <t>4. Network Access Lists.</t>
    </r>
    <r>
      <rPr>
        <sz val="11"/>
        <color rgb="FF000000"/>
        <rFont val="Calibri"/>
      </rPr>
      <t xml:space="preserve">
</t>
    </r>
    <r>
      <rPr>
        <sz val="11"/>
        <color rgb="FF000000"/>
        <rFont val="Calibri"/>
      </rPr>
      <t>5. Click on the Name of the Network Access List.</t>
    </r>
    <r>
      <rPr>
        <sz val="11"/>
        <color rgb="FF000000"/>
        <rFont val="Calibri"/>
      </rPr>
      <t xml:space="preserve">
</t>
    </r>
    <r>
      <rPr>
        <sz val="11"/>
        <color rgb="FF000000"/>
        <rFont val="Calibri"/>
      </rPr>
      <t>6. Network Settings tab.</t>
    </r>
    <r>
      <rPr>
        <sz val="11"/>
        <color rgb="FF000000"/>
        <rFont val="Calibri"/>
      </rPr>
      <t xml:space="preserve">
</t>
    </r>
    <r>
      <rPr>
        <sz val="11"/>
        <color rgb="FF000000"/>
        <rFont val="Calibri"/>
      </rPr>
      <t>7. Select "Force all traffic through tunnel" under Client Settings &gt;&gt; Traffic Options.</t>
    </r>
    <r>
      <rPr>
        <sz val="11"/>
        <color rgb="FF000000"/>
        <rFont val="Calibri"/>
      </rPr>
      <t xml:space="preserve">
</t>
    </r>
    <r>
      <rPr>
        <sz val="11"/>
        <color rgb="FF000000"/>
        <rFont val="Calibri"/>
      </rPr>
      <t>8. Click "Update".</t>
    </r>
  </si>
  <si>
    <r>
      <rPr>
        <sz val="11"/>
        <color rgb="FF000000"/>
        <rFont val="Calibri"/>
      </rPr>
      <t>Split tunneling would in effect allow unauthorized external connections, making the system more vulnerable to attack and to exfiltration of organizational information.</t>
    </r>
    <r>
      <rPr>
        <sz val="11"/>
        <color rgb="FF000000"/>
        <rFont val="Calibri"/>
      </rPr>
      <t xml:space="preserve">
</t>
    </r>
    <r>
      <rPr>
        <sz val="11"/>
        <color rgb="FF000000"/>
        <rFont val="Calibri"/>
      </rPr>
      <t>A VPN hardware or software client with split tunneling enabled provides an unsecured backdoor to the enclave from the internet. With split tunneling enabled, a remote client has access to the internet while at the same time has established a secured path to the enclave via an IPsec tunnel. A remote client connected to the internet that has been compromised by an attacker on the internet, provides an attack base to the enclave’s private network via the IPsec tunnel. Hence, it is imperative that the VPN gateway enforces a no split-tunneling policy to all remote clients.</t>
    </r>
  </si>
  <si>
    <r>
      <rPr>
        <sz val="11"/>
        <color rgb="FF000000"/>
        <rFont val="Calibri"/>
      </rPr>
      <t>If the BIG-IP appliance does not provide remote access intermediary services, this is not applicable.</t>
    </r>
    <r>
      <rPr>
        <sz val="11"/>
        <color rgb="FF000000"/>
        <rFont val="Calibri"/>
      </rPr>
      <t xml:space="preserve">
</t>
    </r>
    <r>
      <rPr>
        <sz val="11"/>
        <color rgb="FF000000"/>
        <rFont val="Calibri"/>
      </rPr>
      <t>Access Profile: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the name of the Access Profile.</t>
    </r>
    <r>
      <rPr>
        <sz val="11"/>
        <color rgb="FF000000"/>
        <rFont val="Calibri"/>
      </rPr>
      <t xml:space="preserve">
</t>
    </r>
    <r>
      <rPr>
        <sz val="11"/>
        <color rgb="FF000000"/>
        <rFont val="Calibri"/>
      </rPr>
      <t>5. Click the Access Policy tab and note the name(s) of the Network Access listed.</t>
    </r>
    <r>
      <rPr>
        <sz val="11"/>
        <color rgb="FF000000"/>
        <rFont val="Calibri"/>
      </rPr>
      <t xml:space="preserve">
</t>
    </r>
    <r>
      <rPr>
        <sz val="11"/>
        <color rgb="FF000000"/>
        <rFont val="Calibri"/>
      </rPr>
      <t>Network Access List:</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Connectivity/VPN.</t>
    </r>
    <r>
      <rPr>
        <sz val="11"/>
        <color rgb="FF000000"/>
        <rFont val="Calibri"/>
      </rPr>
      <t xml:space="preserve">
</t>
    </r>
    <r>
      <rPr>
        <sz val="11"/>
        <color rgb="FF000000"/>
        <rFont val="Calibri"/>
      </rPr>
      <t>3. Network Access (VPN).</t>
    </r>
    <r>
      <rPr>
        <sz val="11"/>
        <color rgb="FF000000"/>
        <rFont val="Calibri"/>
      </rPr>
      <t xml:space="preserve">
</t>
    </r>
    <r>
      <rPr>
        <sz val="11"/>
        <color rgb="FF000000"/>
        <rFont val="Calibri"/>
      </rPr>
      <t>4. Network Access Lists.</t>
    </r>
    <r>
      <rPr>
        <sz val="11"/>
        <color rgb="FF000000"/>
        <rFont val="Calibri"/>
      </rPr>
      <t xml:space="preserve">
</t>
    </r>
    <r>
      <rPr>
        <sz val="11"/>
        <color rgb="FF000000"/>
        <rFont val="Calibri"/>
      </rPr>
      <t>5. Click on the Name of the Network Access List.</t>
    </r>
    <r>
      <rPr>
        <sz val="11"/>
        <color rgb="FF000000"/>
        <rFont val="Calibri"/>
      </rPr>
      <t xml:space="preserve">
</t>
    </r>
    <r>
      <rPr>
        <sz val="11"/>
        <color rgb="FF000000"/>
        <rFont val="Calibri"/>
      </rPr>
      <t>6. Network Settings tab.</t>
    </r>
    <r>
      <rPr>
        <sz val="11"/>
        <color rgb="FF000000"/>
        <rFont val="Calibri"/>
      </rPr>
      <t xml:space="preserve">
</t>
    </r>
    <r>
      <rPr>
        <sz val="11"/>
        <color rgb="FF000000"/>
        <rFont val="Calibri"/>
      </rPr>
      <t>7. Verify "Force all traffic through tunnel" is selected under Client Settings &gt;&gt; Traffic Options.</t>
    </r>
    <r>
      <rPr>
        <sz val="11"/>
        <color rgb="FF000000"/>
        <rFont val="Calibri"/>
      </rPr>
      <t xml:space="preserve">
</t>
    </r>
    <r>
      <rPr>
        <sz val="11"/>
        <color rgb="FF000000"/>
        <rFont val="Calibri"/>
      </rPr>
      <t>If the BIG-IP appliance is not configured to disable split-tunneling for remote client VPNs, this is a finding.</t>
    </r>
  </si>
  <si>
    <t>V-266173</t>
  </si>
  <si>
    <r>
      <rPr>
        <sz val="11"/>
        <rFont val="Calibri"/>
      </rPr>
      <t>The F5 BIG-IP appliance providing remote access intermediary services must be configured to route sessions to an IDPS for inspection.</t>
    </r>
  </si>
  <si>
    <r>
      <rPr>
        <sz val="11"/>
        <color rgb="FF000000"/>
        <rFont val="Calibri"/>
      </rPr>
      <t>Configure one of these two options:</t>
    </r>
    <r>
      <rPr>
        <sz val="11"/>
        <color rgb="FF000000"/>
        <rFont val="Calibri"/>
      </rPr>
      <t xml:space="preserve">
</t>
    </r>
    <r>
      <rPr>
        <sz val="11"/>
        <color rgb="FF000000"/>
        <rFont val="Calibri"/>
      </rPr>
      <t>1. Configure the network architecture to route traffic inline from the BIG-IP through an IDPS.</t>
    </r>
    <r>
      <rPr>
        <sz val="11"/>
        <color rgb="FF000000"/>
        <rFont val="Calibri"/>
      </rPr>
      <t xml:space="preserve">
</t>
    </r>
    <r>
      <rPr>
        <sz val="11"/>
        <color rgb="FF000000"/>
        <rFont val="Calibri"/>
      </rPr>
      <t>2. Configure a Protocol Inspection Profile on the Virtual Server.</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Local Traffic.</t>
    </r>
    <r>
      <rPr>
        <sz val="11"/>
        <color rgb="FF000000"/>
        <rFont val="Calibri"/>
      </rPr>
      <t xml:space="preserve">
</t>
    </r>
    <r>
      <rPr>
        <sz val="11"/>
        <color rgb="FF000000"/>
        <rFont val="Calibri"/>
      </rPr>
      <t>2. Virtual Servers.</t>
    </r>
    <r>
      <rPr>
        <sz val="11"/>
        <color rgb="FF000000"/>
        <rFont val="Calibri"/>
      </rPr>
      <t xml:space="preserve">
</t>
    </r>
    <r>
      <rPr>
        <sz val="11"/>
        <color rgb="FF000000"/>
        <rFont val="Calibri"/>
      </rPr>
      <t>3. Virtual Server List.</t>
    </r>
    <r>
      <rPr>
        <sz val="11"/>
        <color rgb="FF000000"/>
        <rFont val="Calibri"/>
      </rPr>
      <t xml:space="preserve">
</t>
    </r>
    <r>
      <rPr>
        <sz val="11"/>
        <color rgb="FF000000"/>
        <rFont val="Calibri"/>
      </rPr>
      <t>4. Click on the name of the Virtual Server.</t>
    </r>
    <r>
      <rPr>
        <sz val="11"/>
        <color rgb="FF000000"/>
        <rFont val="Calibri"/>
      </rPr>
      <t xml:space="preserve">
</t>
    </r>
    <r>
      <rPr>
        <sz val="11"/>
        <color rgb="FF000000"/>
        <rFont val="Calibri"/>
      </rPr>
      <t>5. Security &gt;&gt; Policies tab.</t>
    </r>
    <r>
      <rPr>
        <sz val="11"/>
        <color rgb="FF000000"/>
        <rFont val="Calibri"/>
      </rPr>
      <t xml:space="preserve">
</t>
    </r>
    <r>
      <rPr>
        <sz val="11"/>
        <color rgb="FF000000"/>
        <rFont val="Calibri"/>
      </rPr>
      <t>6. Set "Protocol Inspection Profile" to "Enabled".</t>
    </r>
    <r>
      <rPr>
        <sz val="11"/>
        <color rgb="FF000000"/>
        <rFont val="Calibri"/>
      </rPr>
      <t xml:space="preserve">
</t>
    </r>
    <r>
      <rPr>
        <sz val="11"/>
        <color rgb="FF000000"/>
        <rFont val="Calibri"/>
      </rPr>
      <t>7. Set the "Profile" drop-down to the appropriate value.</t>
    </r>
    <r>
      <rPr>
        <sz val="11"/>
        <color rgb="FF000000"/>
        <rFont val="Calibri"/>
      </rPr>
      <t xml:space="preserve">
</t>
    </r>
    <r>
      <rPr>
        <sz val="11"/>
        <color rgb="FF000000"/>
        <rFont val="Calibri"/>
      </rPr>
      <t>Note: To create a Protocol Inspection Profile, go to Security &gt;&gt; Protocol Security &gt;&gt; Inspection Profiles.</t>
    </r>
    <r>
      <rPr>
        <sz val="11"/>
        <color rgb="FF000000"/>
        <rFont val="Calibri"/>
      </rPr>
      <t xml:space="preserve">
</t>
    </r>
    <r>
      <rPr>
        <sz val="11"/>
        <color rgb="FF000000"/>
        <rFont val="Calibri"/>
      </rPr>
      <t>8. Click "Update".</t>
    </r>
  </si>
  <si>
    <r>
      <rPr>
        <sz val="11"/>
        <color rgb="FF000000"/>
        <rFont val="Calibri"/>
      </rPr>
      <t>Remote access devices, such as those providing remote access to network devices and information systems, which lack automated, capabilities increase risk and makes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t>
    </r>
    <r>
      <rPr>
        <sz val="11"/>
        <color rgb="FF000000"/>
        <rFont val="Calibri"/>
      </rPr>
      <t xml:space="preserve">
</t>
    </r>
    <r>
      <rPr>
        <sz val="11"/>
        <color rgb="FF000000"/>
        <rFont val="Calibri"/>
      </rPr>
      <t>Automated monitoring of remote access sessions allows organizations to detect cyberattacks and ensure ongoing compliance with remote access policies by auditing connection activities of remote access capabilities, from a variety of information system components (e.g., servers, workstations, notebook computers, smart phones, and tablets).</t>
    </r>
  </si>
  <si>
    <r>
      <rPr>
        <sz val="11"/>
        <color rgb="FF000000"/>
        <rFont val="Calibri"/>
      </rPr>
      <t xml:space="preserve">If the BIG-IP appliance does not provide remote access intermediary services, this is not applicable. </t>
    </r>
    <r>
      <rPr>
        <sz val="11"/>
        <color rgb="FF000000"/>
        <rFont val="Calibri"/>
      </rPr>
      <t xml:space="preserve">
</t>
    </r>
    <r>
      <rPr>
        <sz val="11"/>
        <color rgb="FF000000"/>
        <rFont val="Calibri"/>
      </rPr>
      <t>Verify one of these two options are configured:</t>
    </r>
    <r>
      <rPr>
        <sz val="11"/>
        <color rgb="FF000000"/>
        <rFont val="Calibri"/>
      </rPr>
      <t xml:space="preserve">
</t>
    </r>
    <r>
      <rPr>
        <sz val="11"/>
        <color rgb="FF000000"/>
        <rFont val="Calibri"/>
      </rPr>
      <t>1. The network architecture routes traffic inline from the BIG-IP through an IDPS.</t>
    </r>
    <r>
      <rPr>
        <sz val="11"/>
        <color rgb="FF000000"/>
        <rFont val="Calibri"/>
      </rPr>
      <t xml:space="preserve">
</t>
    </r>
    <r>
      <rPr>
        <sz val="11"/>
        <color rgb="FF000000"/>
        <rFont val="Calibri"/>
      </rPr>
      <t>2. A Protocol Inspection Profile is configured on the Virtual Server.</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Local Traffic.</t>
    </r>
    <r>
      <rPr>
        <sz val="11"/>
        <color rgb="FF000000"/>
        <rFont val="Calibri"/>
      </rPr>
      <t xml:space="preserve">
</t>
    </r>
    <r>
      <rPr>
        <sz val="11"/>
        <color rgb="FF000000"/>
        <rFont val="Calibri"/>
      </rPr>
      <t>2. Virtual Servers.</t>
    </r>
    <r>
      <rPr>
        <sz val="11"/>
        <color rgb="FF000000"/>
        <rFont val="Calibri"/>
      </rPr>
      <t xml:space="preserve">
</t>
    </r>
    <r>
      <rPr>
        <sz val="11"/>
        <color rgb="FF000000"/>
        <rFont val="Calibri"/>
      </rPr>
      <t>3. Virtual Server List.</t>
    </r>
    <r>
      <rPr>
        <sz val="11"/>
        <color rgb="FF000000"/>
        <rFont val="Calibri"/>
      </rPr>
      <t xml:space="preserve">
</t>
    </r>
    <r>
      <rPr>
        <sz val="11"/>
        <color rgb="FF000000"/>
        <rFont val="Calibri"/>
      </rPr>
      <t>4. Click on the name of the Virtual Server.</t>
    </r>
    <r>
      <rPr>
        <sz val="11"/>
        <color rgb="FF000000"/>
        <rFont val="Calibri"/>
      </rPr>
      <t xml:space="preserve">
</t>
    </r>
    <r>
      <rPr>
        <sz val="11"/>
        <color rgb="FF000000"/>
        <rFont val="Calibri"/>
      </rPr>
      <t>5. Security &gt;&gt; Policies tab.</t>
    </r>
    <r>
      <rPr>
        <sz val="11"/>
        <color rgb="FF000000"/>
        <rFont val="Calibri"/>
      </rPr>
      <t xml:space="preserve">
</t>
    </r>
    <r>
      <rPr>
        <sz val="11"/>
        <color rgb="FF000000"/>
        <rFont val="Calibri"/>
      </rPr>
      <t>6. Verify "Protocol Inspection Profile" is set to "Enabled" and the "Profile" drop-down is set to the appropriate value.</t>
    </r>
    <r>
      <rPr>
        <sz val="11"/>
        <color rgb="FF000000"/>
        <rFont val="Calibri"/>
      </rPr>
      <t xml:space="preserve">
</t>
    </r>
    <r>
      <rPr>
        <sz val="11"/>
        <color rgb="FF000000"/>
        <rFont val="Calibri"/>
      </rPr>
      <t>If the BIG-IP appliance is not configured to route sessions to an IDPS for inspection, this is a finding.</t>
    </r>
  </si>
  <si>
    <t>V-266174</t>
  </si>
  <si>
    <r>
      <rPr>
        <sz val="11"/>
        <rFont val="Calibri"/>
      </rPr>
      <t>The VPN Gateway must use Always On VPN connections for remote computing.</t>
    </r>
  </si>
  <si>
    <r>
      <rPr>
        <sz val="11"/>
        <color rgb="FF000000"/>
        <rFont val="Calibri"/>
      </rPr>
      <t>Configure at least one of these methods.</t>
    </r>
    <r>
      <rPr>
        <sz val="11"/>
        <color rgb="FF000000"/>
        <rFont val="Calibri"/>
      </rPr>
      <t xml:space="preserve">
</t>
    </r>
    <r>
      <rPr>
        <sz val="11"/>
        <color rgb="FF000000"/>
        <rFont val="Calibri"/>
      </rPr>
      <t>Always Connected Mode: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Connectivity/VPN.</t>
    </r>
    <r>
      <rPr>
        <sz val="11"/>
        <color rgb="FF000000"/>
        <rFont val="Calibri"/>
      </rPr>
      <t xml:space="preserve">
</t>
    </r>
    <r>
      <rPr>
        <sz val="11"/>
        <color rgb="FF000000"/>
        <rFont val="Calibri"/>
      </rPr>
      <t>3. Connectivity.</t>
    </r>
    <r>
      <rPr>
        <sz val="11"/>
        <color rgb="FF000000"/>
        <rFont val="Calibri"/>
      </rPr>
      <t xml:space="preserve">
</t>
    </r>
    <r>
      <rPr>
        <sz val="11"/>
        <color rgb="FF000000"/>
        <rFont val="Calibri"/>
      </rPr>
      <t>4. Profiles.</t>
    </r>
    <r>
      <rPr>
        <sz val="11"/>
        <color rgb="FF000000"/>
        <rFont val="Calibri"/>
      </rPr>
      <t xml:space="preserve">
</t>
    </r>
    <r>
      <rPr>
        <sz val="11"/>
        <color rgb="FF000000"/>
        <rFont val="Calibri"/>
      </rPr>
      <t>5. Click the name of the profile.</t>
    </r>
    <r>
      <rPr>
        <sz val="11"/>
        <color rgb="FF000000"/>
        <rFont val="Calibri"/>
      </rPr>
      <t xml:space="preserve">
</t>
    </r>
    <r>
      <rPr>
        <sz val="11"/>
        <color rgb="FF000000"/>
        <rFont val="Calibri"/>
      </rPr>
      <t>6. At the bottom, click Customize Package &gt;&gt; Windows.</t>
    </r>
    <r>
      <rPr>
        <sz val="11"/>
        <color rgb="FF000000"/>
        <rFont val="Calibri"/>
      </rPr>
      <t xml:space="preserve">
</t>
    </r>
    <r>
      <rPr>
        <sz val="11"/>
        <color rgb="FF000000"/>
        <rFont val="Calibri"/>
      </rPr>
      <t>7. Click "BIG-IP Edge Client" on the left.</t>
    </r>
    <r>
      <rPr>
        <sz val="11"/>
        <color rgb="FF000000"/>
        <rFont val="Calibri"/>
      </rPr>
      <t xml:space="preserve">
</t>
    </r>
    <r>
      <rPr>
        <sz val="11"/>
        <color rgb="FF000000"/>
        <rFont val="Calibri"/>
      </rPr>
      <t>8. Check the box next to "Enable Always connected mode".</t>
    </r>
    <r>
      <rPr>
        <sz val="11"/>
        <color rgb="FF000000"/>
        <rFont val="Calibri"/>
      </rPr>
      <t xml:space="preserve">
</t>
    </r>
    <r>
      <rPr>
        <sz val="11"/>
        <color rgb="FF000000"/>
        <rFont val="Calibri"/>
      </rPr>
      <t>Note: Always connected mode requires at least one host be listed in the Server list of the Connectivity Profile. Edit the Connectivity Profile to add an entry, if necessary.</t>
    </r>
    <r>
      <rPr>
        <sz val="11"/>
        <color rgb="FF000000"/>
        <rFont val="Calibri"/>
      </rPr>
      <t xml:space="preserve">
</t>
    </r>
    <r>
      <rPr>
        <sz val="11"/>
        <color rgb="FF000000"/>
        <rFont val="Calibri"/>
      </rPr>
      <t>9. Click "Download" to save the settings and download the installer.</t>
    </r>
    <r>
      <rPr>
        <sz val="11"/>
        <color rgb="FF000000"/>
        <rFont val="Calibri"/>
      </rPr>
      <t xml:space="preserve">
</t>
    </r>
    <r>
      <rPr>
        <sz val="11"/>
        <color rgb="FF000000"/>
        <rFont val="Calibri"/>
      </rPr>
      <t>Machine Tunnels:</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Connectivity/VPN.</t>
    </r>
    <r>
      <rPr>
        <sz val="11"/>
        <color rgb="FF000000"/>
        <rFont val="Calibri"/>
      </rPr>
      <t xml:space="preserve">
</t>
    </r>
    <r>
      <rPr>
        <sz val="11"/>
        <color rgb="FF000000"/>
        <rFont val="Calibri"/>
      </rPr>
      <t>3. Connectivity.</t>
    </r>
    <r>
      <rPr>
        <sz val="11"/>
        <color rgb="FF000000"/>
        <rFont val="Calibri"/>
      </rPr>
      <t xml:space="preserve">
</t>
    </r>
    <r>
      <rPr>
        <sz val="11"/>
        <color rgb="FF000000"/>
        <rFont val="Calibri"/>
      </rPr>
      <t>4. Profiles.</t>
    </r>
    <r>
      <rPr>
        <sz val="11"/>
        <color rgb="FF000000"/>
        <rFont val="Calibri"/>
      </rPr>
      <t xml:space="preserve">
</t>
    </r>
    <r>
      <rPr>
        <sz val="11"/>
        <color rgb="FF000000"/>
        <rFont val="Calibri"/>
      </rPr>
      <t>5. Click the name of the profile.</t>
    </r>
    <r>
      <rPr>
        <sz val="11"/>
        <color rgb="FF000000"/>
        <rFont val="Calibri"/>
      </rPr>
      <t xml:space="preserve">
</t>
    </r>
    <r>
      <rPr>
        <sz val="11"/>
        <color rgb="FF000000"/>
        <rFont val="Calibri"/>
      </rPr>
      <t>6. At the bottom, click Customize Package &gt;&gt; Windows.</t>
    </r>
    <r>
      <rPr>
        <sz val="11"/>
        <color rgb="FF000000"/>
        <rFont val="Calibri"/>
      </rPr>
      <t xml:space="preserve">
</t>
    </r>
    <r>
      <rPr>
        <sz val="11"/>
        <color rgb="FF000000"/>
        <rFont val="Calibri"/>
      </rPr>
      <t>7. Check "Machine Tunnel Service".</t>
    </r>
    <r>
      <rPr>
        <sz val="11"/>
        <color rgb="FF000000"/>
        <rFont val="Calibri"/>
      </rPr>
      <t xml:space="preserve">
</t>
    </r>
    <r>
      <rPr>
        <sz val="11"/>
        <color rgb="FF000000"/>
        <rFont val="Calibri"/>
      </rPr>
      <t>8. Optionally, click "Machine Tunnel Service" on the left and check "Enable NLA for Machine Tunnel".</t>
    </r>
    <r>
      <rPr>
        <sz val="11"/>
        <color rgb="FF000000"/>
        <rFont val="Calibri"/>
      </rPr>
      <t xml:space="preserve">
</t>
    </r>
    <r>
      <rPr>
        <sz val="11"/>
        <color rgb="FF000000"/>
        <rFont val="Calibri"/>
      </rPr>
      <t>Note: To configure DNS Suffixes for NLA, edit the Connectivity Profile &gt;&gt; Win/Mac Edge Client &gt; Location DNS List.</t>
    </r>
    <r>
      <rPr>
        <sz val="11"/>
        <color rgb="FF000000"/>
        <rFont val="Calibri"/>
      </rPr>
      <t xml:space="preserve">
</t>
    </r>
    <r>
      <rPr>
        <sz val="11"/>
        <color rgb="FF000000"/>
        <rFont val="Calibri"/>
      </rPr>
      <t>9. Click "Download" to save the settings and download the installer.</t>
    </r>
  </si>
  <si>
    <r>
      <rPr>
        <sz val="11"/>
        <color rgb="FF000000"/>
        <rFont val="Calibri"/>
      </rPr>
      <t>Allowing remote users to manually toggle a VPN connection can create critical security risks. With Always On VPN, if a secured connection to the gateway is lost, hybrid-working users will simply be disconnected from the internet until the issue is solved.</t>
    </r>
    <r>
      <rPr>
        <sz val="11"/>
        <color rgb="FF000000"/>
        <rFont val="Calibri"/>
      </rPr>
      <t xml:space="preserve">
</t>
    </r>
    <r>
      <rPr>
        <sz val="11"/>
        <color rgb="FF000000"/>
        <rFont val="Calibri"/>
      </rPr>
      <t>"Always On" is a term that describes a VPN connection that is secure and always on after the initial connection is established. An Always On VPN deployment establishes a VPN connection with the client without the need for user interaction (e.g., user credentials). The remote client must not be able to access the Internet without first established a VPN session with a DOD site.</t>
    </r>
    <r>
      <rPr>
        <sz val="11"/>
        <color rgb="FF000000"/>
        <rFont val="Calibri"/>
      </rPr>
      <t xml:space="preserve">
</t>
    </r>
    <r>
      <rPr>
        <sz val="11"/>
        <color rgb="FF000000"/>
        <rFont val="Calibri"/>
      </rPr>
      <t>Note that device compliance checks are still required prior to connecting to DOD resources. Although out of scope for this requirement, the connection process must ensure that remote devices meet security standards before accessing DOD resources. Devices that fail to meet compliance requirements can be denied access, reducing the risk of compromised endpoints.</t>
    </r>
  </si>
  <si>
    <r>
      <rPr>
        <sz val="11"/>
        <color rgb="FF000000"/>
        <rFont val="Calibri"/>
      </rPr>
      <t>Verify at least one of these methods is configured.</t>
    </r>
    <r>
      <rPr>
        <sz val="11"/>
        <color rgb="FF000000"/>
        <rFont val="Calibri"/>
      </rPr>
      <t xml:space="preserve">
</t>
    </r>
    <r>
      <rPr>
        <sz val="11"/>
        <color rgb="FF000000"/>
        <rFont val="Calibri"/>
      </rPr>
      <t>Always Connected Mode: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Connectivity/VPN.</t>
    </r>
    <r>
      <rPr>
        <sz val="11"/>
        <color rgb="FF000000"/>
        <rFont val="Calibri"/>
      </rPr>
      <t xml:space="preserve">
</t>
    </r>
    <r>
      <rPr>
        <sz val="11"/>
        <color rgb="FF000000"/>
        <rFont val="Calibri"/>
      </rPr>
      <t>3. Connectivity.</t>
    </r>
    <r>
      <rPr>
        <sz val="11"/>
        <color rgb="FF000000"/>
        <rFont val="Calibri"/>
      </rPr>
      <t xml:space="preserve">
</t>
    </r>
    <r>
      <rPr>
        <sz val="11"/>
        <color rgb="FF000000"/>
        <rFont val="Calibri"/>
      </rPr>
      <t>4. Profiles.</t>
    </r>
    <r>
      <rPr>
        <sz val="11"/>
        <color rgb="FF000000"/>
        <rFont val="Calibri"/>
      </rPr>
      <t xml:space="preserve">
</t>
    </r>
    <r>
      <rPr>
        <sz val="11"/>
        <color rgb="FF000000"/>
        <rFont val="Calibri"/>
      </rPr>
      <t>5. Click the name of the profile.</t>
    </r>
    <r>
      <rPr>
        <sz val="11"/>
        <color rgb="FF000000"/>
        <rFont val="Calibri"/>
      </rPr>
      <t xml:space="preserve">
</t>
    </r>
    <r>
      <rPr>
        <sz val="11"/>
        <color rgb="FF000000"/>
        <rFont val="Calibri"/>
      </rPr>
      <t>6. At the bottom, click Customize Package &gt;&gt; Windows.</t>
    </r>
    <r>
      <rPr>
        <sz val="11"/>
        <color rgb="FF000000"/>
        <rFont val="Calibri"/>
      </rPr>
      <t xml:space="preserve">
</t>
    </r>
    <r>
      <rPr>
        <sz val="11"/>
        <color rgb="FF000000"/>
        <rFont val="Calibri"/>
      </rPr>
      <t>7. Click "BIG-IP Edge Client" on the left.</t>
    </r>
    <r>
      <rPr>
        <sz val="11"/>
        <color rgb="FF000000"/>
        <rFont val="Calibri"/>
      </rPr>
      <t xml:space="preserve">
</t>
    </r>
    <r>
      <rPr>
        <sz val="11"/>
        <color rgb="FF000000"/>
        <rFont val="Calibri"/>
      </rPr>
      <t>8. Verify "Enable Always connected mode" is enabled.</t>
    </r>
    <r>
      <rPr>
        <sz val="11"/>
        <color rgb="FF000000"/>
        <rFont val="Calibri"/>
      </rPr>
      <t xml:space="preserve">
</t>
    </r>
    <r>
      <rPr>
        <sz val="11"/>
        <color rgb="FF000000"/>
        <rFont val="Calibri"/>
      </rPr>
      <t>Machine Tunnels:</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Connectivity/VPN.</t>
    </r>
    <r>
      <rPr>
        <sz val="11"/>
        <color rgb="FF000000"/>
        <rFont val="Calibri"/>
      </rPr>
      <t xml:space="preserve">
</t>
    </r>
    <r>
      <rPr>
        <sz val="11"/>
        <color rgb="FF000000"/>
        <rFont val="Calibri"/>
      </rPr>
      <t>3. Connectivity.</t>
    </r>
    <r>
      <rPr>
        <sz val="11"/>
        <color rgb="FF000000"/>
        <rFont val="Calibri"/>
      </rPr>
      <t xml:space="preserve">
</t>
    </r>
    <r>
      <rPr>
        <sz val="11"/>
        <color rgb="FF000000"/>
        <rFont val="Calibri"/>
      </rPr>
      <t>4. Profiles.</t>
    </r>
    <r>
      <rPr>
        <sz val="11"/>
        <color rgb="FF000000"/>
        <rFont val="Calibri"/>
      </rPr>
      <t xml:space="preserve">
</t>
    </r>
    <r>
      <rPr>
        <sz val="11"/>
        <color rgb="FF000000"/>
        <rFont val="Calibri"/>
      </rPr>
      <t>5. Click the name of the profile.</t>
    </r>
    <r>
      <rPr>
        <sz val="11"/>
        <color rgb="FF000000"/>
        <rFont val="Calibri"/>
      </rPr>
      <t xml:space="preserve">
</t>
    </r>
    <r>
      <rPr>
        <sz val="11"/>
        <color rgb="FF000000"/>
        <rFont val="Calibri"/>
      </rPr>
      <t>6. At the bottom, click Customize Package &gt;&gt; Windows.</t>
    </r>
    <r>
      <rPr>
        <sz val="11"/>
        <color rgb="FF000000"/>
        <rFont val="Calibri"/>
      </rPr>
      <t xml:space="preserve">
</t>
    </r>
    <r>
      <rPr>
        <sz val="11"/>
        <color rgb="FF000000"/>
        <rFont val="Calibri"/>
      </rPr>
      <t>7. Verify "Machine Tunnel Service" is checked.</t>
    </r>
    <r>
      <rPr>
        <sz val="11"/>
        <color rgb="FF000000"/>
        <rFont val="Calibri"/>
      </rPr>
      <t xml:space="preserve">
</t>
    </r>
    <r>
      <rPr>
        <sz val="11"/>
        <color rgb="FF000000"/>
        <rFont val="Calibri"/>
      </rPr>
      <t>If the BIG-IP VPN Gateway is not configured to use an Always On VPN connection for remote computing, this is a finding.</t>
    </r>
  </si>
  <si>
    <t>V-266175</t>
  </si>
  <si>
    <r>
      <rPr>
        <sz val="11"/>
        <rFont val="Calibri"/>
      </rPr>
      <t xml:space="preserve">The F5 BIG-IP appliance must be configured to set the </t>
    </r>
    <r>
      <rPr>
        <sz val="11"/>
        <color rgb="FF000000"/>
        <rFont val="Calibri"/>
      </rPr>
      <t>"</t>
    </r>
    <r>
      <rPr>
        <b/>
        <sz val="11"/>
        <color rgb="FF000000"/>
        <rFont val="Calibri"/>
      </rPr>
      <t>Max In Progress Sessions per Client IP</t>
    </r>
    <r>
      <rPr>
        <sz val="11"/>
        <color rgb="FF000000"/>
        <rFont val="Calibri"/>
      </rPr>
      <t>"</t>
    </r>
    <r>
      <rPr>
        <sz val="11"/>
        <color rgb="FF000000"/>
        <rFont val="Calibri"/>
      </rPr>
      <t xml:space="preserve"> value to 10 or an organizational-defined number.</t>
    </r>
  </si>
  <si>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the access profile name.</t>
    </r>
    <r>
      <rPr>
        <sz val="11"/>
        <color rgb="FF000000"/>
        <rFont val="Calibri"/>
      </rPr>
      <t xml:space="preserve">
</t>
    </r>
    <r>
      <rPr>
        <sz val="11"/>
        <color rgb="FF000000"/>
        <rFont val="Calibri"/>
      </rPr>
      <t>5. In the "Settings" section, set "Max In Progress Sessions per Client IP" to 10 or an organization-defined number.</t>
    </r>
    <r>
      <rPr>
        <sz val="11"/>
        <color rgb="FF000000"/>
        <rFont val="Calibri"/>
      </rPr>
      <t xml:space="preserve">
</t>
    </r>
    <r>
      <rPr>
        <sz val="11"/>
        <color rgb="FF000000"/>
        <rFont val="Calibri"/>
      </rPr>
      <t>Note: If the setting is grayed out, check the box to the right of the setting and then update it. If the setting is not set to 10, verify the operational reason is documented and approved by the AO.</t>
    </r>
    <r>
      <rPr>
        <sz val="11"/>
        <color rgb="FF000000"/>
        <rFont val="Calibri"/>
      </rPr>
      <t xml:space="preserve">
</t>
    </r>
    <r>
      <rPr>
        <sz val="11"/>
        <color rgb="FF000000"/>
        <rFont val="Calibri"/>
      </rPr>
      <t>6. Click "Update".</t>
    </r>
    <r>
      <rPr>
        <sz val="11"/>
        <color rgb="FF000000"/>
        <rFont val="Calibri"/>
      </rPr>
      <t xml:space="preserve">
</t>
    </r>
    <r>
      <rPr>
        <sz val="11"/>
        <color rgb="FF000000"/>
        <rFont val="Calibri"/>
      </rPr>
      <t>7. Click "Apply Access Policy".</t>
    </r>
  </si>
  <si>
    <r>
      <rPr>
        <sz val="11"/>
        <color rgb="FF000000"/>
        <rFont val="Calibri"/>
      </rPr>
      <t>The "Max In Progress Sessions Per Client IP" setting in an APM Access Profile is a security configuration that limits the number of simultaneous sessions that can be initiated from a single IP address. This is particularly helpful in preventing a session flood, where a hacker might attempt to overwhelm the system by initiating many sessions from a single source. By capping the number of sessions per IP, this setting can help maintain the system's stability and integrity while also providing a layer of protection against such potential attacks.</t>
    </r>
    <r>
      <rPr>
        <sz val="11"/>
        <color rgb="FF000000"/>
        <rFont val="Calibri"/>
      </rPr>
      <t xml:space="preserve">
</t>
    </r>
    <r>
      <rPr>
        <sz val="11"/>
        <color rgb="FF000000"/>
        <rFont val="Calibri"/>
      </rPr>
      <t>This setting has been recommended by F5 as a defense-in-depth measure. However, in some networks, narrowing the number of in progress sessions may in adverse impacts on legitimate connections. Thus, sites must test this setting within their network prior to implementing to determine the minimum acceptable number. This should not remain at the very high default value and should not be excessively high. Document the organizational value.</t>
    </r>
  </si>
  <si>
    <r>
      <rPr>
        <sz val="11"/>
        <color rgb="FF000000"/>
        <rFont val="Calibri"/>
      </rPr>
      <t>Note: Setting must be tested to determine if a number greater than 10 is operationally necessary. Ten is the minimum but may have operational impacts. Set to the minimum that is possible without adverse impacts, document the setting and the operational testing.</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the access profile name.</t>
    </r>
    <r>
      <rPr>
        <sz val="11"/>
        <color rgb="FF000000"/>
        <rFont val="Calibri"/>
      </rPr>
      <t xml:space="preserve">
</t>
    </r>
    <r>
      <rPr>
        <sz val="11"/>
        <color rgb="FF000000"/>
        <rFont val="Calibri"/>
      </rPr>
      <t>5. In the "Settings" section, verify "Max In Progress Sessions per Client IP" is set to 10 or an organization-defined number.</t>
    </r>
    <r>
      <rPr>
        <sz val="11"/>
        <color rgb="FF000000"/>
        <rFont val="Calibri"/>
      </rPr>
      <t xml:space="preserve">
</t>
    </r>
    <r>
      <rPr>
        <sz val="11"/>
        <color rgb="FF000000"/>
        <rFont val="Calibri"/>
      </rPr>
      <t>If the F5 BIG-IP APM access policy is not configured to set a "Max In Progress Sessions per Client IP" value to 10 or an organization-defined number, this is a finding.</t>
    </r>
  </si>
  <si>
    <t>V-266254</t>
  </si>
  <si>
    <r>
      <rPr>
        <sz val="11"/>
        <rFont val="Calibri"/>
      </rPr>
      <t>The F5 BIG-IP appliance that filters traffic from the VPN access points must be configured with organization-defined filtering rules that apply to the monitoring of remote access traffic.</t>
    </r>
  </si>
  <si>
    <t>Firewall</t>
  </si>
  <si>
    <r>
      <rPr>
        <sz val="11"/>
        <color rgb="FF000000"/>
        <rFont val="Calibri"/>
      </rPr>
      <t>If the VPN is terminated directly on the BIG-IP, an Access Control List can be used to filter remote VPN traffic.</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"Edit" on the VPN profile.</t>
    </r>
    <r>
      <rPr>
        <sz val="11"/>
        <color rgb="FF000000"/>
        <rFont val="Calibri"/>
      </rPr>
      <t xml:space="preserve">
</t>
    </r>
    <r>
      <rPr>
        <sz val="11"/>
        <color rgb="FF000000"/>
        <rFont val="Calibri"/>
      </rPr>
      <t>5. Add an "Advanced Resource Assign" object in the Visual Policy Editor and add an Access Control List in accordance with the SSP and site configuration documentation.</t>
    </r>
    <r>
      <rPr>
        <sz val="11"/>
        <color rgb="FF000000"/>
        <rFont val="Calibri"/>
      </rPr>
      <t xml:space="preserve">
</t>
    </r>
    <r>
      <rPr>
        <sz val="11"/>
        <color rgb="FF000000"/>
        <rFont val="Calibri"/>
      </rPr>
      <t>If the VPN is not terminated directly on the BIG-IP and the BIG-IP filters traffic from the VPN access points:</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Network Firewall.</t>
    </r>
    <r>
      <rPr>
        <sz val="11"/>
        <color rgb="FF000000"/>
        <rFont val="Calibri"/>
      </rPr>
      <t xml:space="preserve">
</t>
    </r>
    <r>
      <rPr>
        <sz val="11"/>
        <color rgb="FF000000"/>
        <rFont val="Calibri"/>
      </rPr>
      <t>3. Policies.</t>
    </r>
    <r>
      <rPr>
        <sz val="11"/>
        <color rgb="FF000000"/>
        <rFont val="Calibri"/>
      </rPr>
      <t xml:space="preserve">
</t>
    </r>
    <r>
      <rPr>
        <sz val="11"/>
        <color rgb="FF000000"/>
        <rFont val="Calibri"/>
      </rPr>
      <t>4. &lt;Policy Name&gt;</t>
    </r>
    <r>
      <rPr>
        <sz val="11"/>
        <color rgb="FF000000"/>
        <rFont val="Calibri"/>
      </rPr>
      <t xml:space="preserve">
</t>
    </r>
    <r>
      <rPr>
        <sz val="11"/>
        <color rgb="FF000000"/>
        <rFont val="Calibri"/>
      </rPr>
      <t>5. Add rules to filter VPN traffic.</t>
    </r>
    <r>
      <rPr>
        <sz val="11"/>
        <color rgb="FF000000"/>
        <rFont val="Calibri"/>
      </rPr>
      <t xml:space="preserve">
</t>
    </r>
    <r>
      <rPr>
        <sz val="11"/>
        <color rgb="FF000000"/>
        <rFont val="Calibri"/>
      </rPr>
      <t>6. Click "Commit Changes to System".</t>
    </r>
  </si>
  <si>
    <r>
      <rPr>
        <sz val="11"/>
        <color rgb="FF000000"/>
        <rFont val="Calibri"/>
      </rPr>
      <t>Remote access devices (such as those providing remote access to network devices and information systems) that lack automated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t>
    </r>
    <r>
      <rPr>
        <sz val="11"/>
        <color rgb="FF000000"/>
        <rFont val="Calibri"/>
      </rPr>
      <t xml:space="preserve">
</t>
    </r>
    <r>
      <rPr>
        <sz val="11"/>
        <color rgb="FF000000"/>
        <rFont val="Calibri"/>
      </rPr>
      <t>Automated monitoring of remote access sessions allows organizations to detect cyber attacks and also ensure ongoing compliance with remote access policies by auditing connection activities of remote access capabilities from a variety of information system components (e.g., servers, workstations, notebook computers, smart phones, and tablets).</t>
    </r>
  </si>
  <si>
    <r>
      <rPr>
        <sz val="11"/>
        <color rgb="FF000000"/>
        <rFont val="Calibri"/>
      </rPr>
      <t>If the VPN is terminated directly on the BIG-IP, an Access Control List can be used to filter remote VPN traffic.</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Access.</t>
    </r>
    <r>
      <rPr>
        <sz val="11"/>
        <color rgb="FF000000"/>
        <rFont val="Calibri"/>
      </rPr>
      <t xml:space="preserve">
</t>
    </r>
    <r>
      <rPr>
        <sz val="11"/>
        <color rgb="FF000000"/>
        <rFont val="Calibri"/>
      </rPr>
      <t>2. Profiles/Policies.</t>
    </r>
    <r>
      <rPr>
        <sz val="11"/>
        <color rgb="FF000000"/>
        <rFont val="Calibri"/>
      </rPr>
      <t xml:space="preserve">
</t>
    </r>
    <r>
      <rPr>
        <sz val="11"/>
        <color rgb="FF000000"/>
        <rFont val="Calibri"/>
      </rPr>
      <t>3. Access Profiles.</t>
    </r>
    <r>
      <rPr>
        <sz val="11"/>
        <color rgb="FF000000"/>
        <rFont val="Calibri"/>
      </rPr>
      <t xml:space="preserve">
</t>
    </r>
    <r>
      <rPr>
        <sz val="11"/>
        <color rgb="FF000000"/>
        <rFont val="Calibri"/>
      </rPr>
      <t>4. Click "Edit" on the VPN profile.</t>
    </r>
    <r>
      <rPr>
        <sz val="11"/>
        <color rgb="FF000000"/>
        <rFont val="Calibri"/>
      </rPr>
      <t xml:space="preserve">
</t>
    </r>
    <r>
      <rPr>
        <sz val="11"/>
        <color rgb="FF000000"/>
        <rFont val="Calibri"/>
      </rPr>
      <t>5. Access Control Lists are assigned in an "Advanced Resource Assign" object in the Visual Policy Editor.</t>
    </r>
    <r>
      <rPr>
        <sz val="11"/>
        <color rgb="FF000000"/>
        <rFont val="Calibri"/>
      </rPr>
      <t xml:space="preserve">
</t>
    </r>
    <r>
      <rPr>
        <sz val="11"/>
        <color rgb="FF000000"/>
        <rFont val="Calibri"/>
      </rPr>
      <t>If the VPN is terminated directly on the BIG-IP appliance configured with organization-defined filtering rules that apply to the monitoring of remote access traffic, and there is no Access Control List assigned in the Access Profile, this is a finding.</t>
    </r>
    <r>
      <rPr>
        <sz val="11"/>
        <color rgb="FF000000"/>
        <rFont val="Calibri"/>
      </rPr>
      <t xml:space="preserve">
</t>
    </r>
    <r>
      <rPr>
        <sz val="11"/>
        <color rgb="FF000000"/>
        <rFont val="Calibri"/>
      </rPr>
      <t>If the VPN is not terminated directly on the BIG-IP and the BIG-IP filters traffic from the VPN access points:</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Network Firewall.</t>
    </r>
    <r>
      <rPr>
        <sz val="11"/>
        <color rgb="FF000000"/>
        <rFont val="Calibri"/>
      </rPr>
      <t xml:space="preserve">
</t>
    </r>
    <r>
      <rPr>
        <sz val="11"/>
        <color rgb="FF000000"/>
        <rFont val="Calibri"/>
      </rPr>
      <t>3. Policies.</t>
    </r>
    <r>
      <rPr>
        <sz val="11"/>
        <color rgb="FF000000"/>
        <rFont val="Calibri"/>
      </rPr>
      <t xml:space="preserve">
</t>
    </r>
    <r>
      <rPr>
        <sz val="11"/>
        <color rgb="FF000000"/>
        <rFont val="Calibri"/>
      </rPr>
      <t>4. &lt;Policy Name&gt;</t>
    </r>
    <r>
      <rPr>
        <sz val="11"/>
        <color rgb="FF000000"/>
        <rFont val="Calibri"/>
      </rPr>
      <t xml:space="preserve">
</t>
    </r>
    <r>
      <rPr>
        <sz val="11"/>
        <color rgb="FF000000"/>
        <rFont val="Calibri"/>
      </rPr>
      <t>If the BIG-IP appliance filters traffic from the VPN access points and there are no rules configured with organization-defined filtering rules that apply to the monitoring of remote access traffic, this is a finding.</t>
    </r>
  </si>
  <si>
    <t>V-266255</t>
  </si>
  <si>
    <r>
      <rPr>
        <sz val="11"/>
        <rFont val="Calibri"/>
      </rPr>
      <t>The F5 BIG-IP appliance must be configured to use filters that use packet headers and packet attributes, including source and destination IP addresses and ports, to prevent the flow of unauthorized or suspicious traffic between interconnected networks with different security policies, including perimeter firewalls and server VLANs.</t>
    </r>
  </si>
  <si>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Network Firewall.</t>
    </r>
    <r>
      <rPr>
        <sz val="11"/>
        <color rgb="FF000000"/>
        <rFont val="Calibri"/>
      </rPr>
      <t xml:space="preserve">
</t>
    </r>
    <r>
      <rPr>
        <sz val="11"/>
        <color rgb="FF000000"/>
        <rFont val="Calibri"/>
      </rPr>
      <t>3. Policies.</t>
    </r>
    <r>
      <rPr>
        <sz val="11"/>
        <color rgb="FF000000"/>
        <rFont val="Calibri"/>
      </rPr>
      <t xml:space="preserve">
</t>
    </r>
    <r>
      <rPr>
        <sz val="11"/>
        <color rgb="FF000000"/>
        <rFont val="Calibri"/>
      </rPr>
      <t>4. &lt;Policy Name&gt;</t>
    </r>
    <r>
      <rPr>
        <sz val="11"/>
        <color rgb="FF000000"/>
        <rFont val="Calibri"/>
      </rPr>
      <t xml:space="preserve">
</t>
    </r>
    <r>
      <rPr>
        <sz val="11"/>
        <color rgb="FF000000"/>
        <rFont val="Calibri"/>
      </rPr>
      <t>5. Configure rules to use packet headers and packet attributes, including source and destination IP addresses and ports in accordance with the SSP and site configuration documentation.</t>
    </r>
  </si>
  <si>
    <r>
      <rPr>
        <sz val="11"/>
        <color rgb="FF000000"/>
        <rFont val="Calibri"/>
      </rPr>
      <t>Blocking or restricting detected harmful or suspicious communications between interconnected networks enforces approved authorizations for controlling the flow of traffic.</t>
    </r>
    <r>
      <rPr>
        <sz val="11"/>
        <color rgb="FF000000"/>
        <rFont val="Calibri"/>
      </rPr>
      <t xml:space="preserve">
</t>
    </r>
    <r>
      <rPr>
        <sz val="11"/>
        <color rgb="FF000000"/>
        <rFont val="Calibri"/>
      </rPr>
      <t>The firewall that filters traffic outbound to interconnected networks with different security policies must be configured with filters (e.g., rules, access control lists [ACLs], screens, and policies) that permit, restrict, or block traffic based on organization-defined traffic authorizations. Filtering must include packet header and packet attribute information, such as IP addresses and port numbers.</t>
    </r>
    <r>
      <rPr>
        <sz val="11"/>
        <color rgb="FF000000"/>
        <rFont val="Calibri"/>
      </rPr>
      <t xml:space="preserve">
</t>
    </r>
    <r>
      <rPr>
        <sz val="11"/>
        <color rgb="FF000000"/>
        <rFont val="Calibri"/>
      </rPr>
      <t>Configure filters to perform certain actions when packets match specified attributes, including the following actions:</t>
    </r>
    <r>
      <rPr>
        <sz val="11"/>
        <color rgb="FF000000"/>
        <rFont val="Calibri"/>
      </rPr>
      <t xml:space="preserve">
</t>
    </r>
    <r>
      <rPr>
        <sz val="11"/>
        <color rgb="FF000000"/>
        <rFont val="Calibri"/>
      </rPr>
      <t>- Apply a policy.</t>
    </r>
    <r>
      <rPr>
        <sz val="11"/>
        <color rgb="FF000000"/>
        <rFont val="Calibri"/>
      </rPr>
      <t xml:space="preserve">
</t>
    </r>
    <r>
      <rPr>
        <sz val="11"/>
        <color rgb="FF000000"/>
        <rFont val="Calibri"/>
      </rPr>
      <t>- Accept, reject, or discard the packets.</t>
    </r>
    <r>
      <rPr>
        <sz val="11"/>
        <color rgb="FF000000"/>
        <rFont val="Calibri"/>
      </rPr>
      <t xml:space="preserve">
</t>
    </r>
    <r>
      <rPr>
        <sz val="11"/>
        <color rgb="FF000000"/>
        <rFont val="Calibri"/>
      </rPr>
      <t>- Classify the packets based on their source address.</t>
    </r>
    <r>
      <rPr>
        <sz val="11"/>
        <color rgb="FF000000"/>
        <rFont val="Calibri"/>
      </rPr>
      <t xml:space="preserve">
</t>
    </r>
    <r>
      <rPr>
        <sz val="11"/>
        <color rgb="FF000000"/>
        <rFont val="Calibri"/>
      </rPr>
      <t>- Evaluate the next term in the filter.</t>
    </r>
    <r>
      <rPr>
        <sz val="11"/>
        <color rgb="FF000000"/>
        <rFont val="Calibri"/>
      </rPr>
      <t xml:space="preserve">
</t>
    </r>
    <r>
      <rPr>
        <sz val="11"/>
        <color rgb="FF000000"/>
        <rFont val="Calibri"/>
      </rPr>
      <t>- Increment a packet counter.</t>
    </r>
    <r>
      <rPr>
        <sz val="11"/>
        <color rgb="FF000000"/>
        <rFont val="Calibri"/>
      </rPr>
      <t xml:space="preserve">
</t>
    </r>
    <r>
      <rPr>
        <sz val="11"/>
        <color rgb="FF000000"/>
        <rFont val="Calibri"/>
      </rPr>
      <t>- Set the packets' loss priority.</t>
    </r>
    <r>
      <rPr>
        <sz val="11"/>
        <color rgb="FF000000"/>
        <rFont val="Calibri"/>
      </rPr>
      <t xml:space="preserve">
</t>
    </r>
    <r>
      <rPr>
        <sz val="11"/>
        <color rgb="FF000000"/>
        <rFont val="Calibri"/>
      </rPr>
      <t>- Specify an IPsec SA (if IPsec is used in the implementation).</t>
    </r>
    <r>
      <rPr>
        <sz val="11"/>
        <color rgb="FF000000"/>
        <rFont val="Calibri"/>
      </rPr>
      <t xml:space="preserve">
</t>
    </r>
    <r>
      <rPr>
        <sz val="11"/>
        <color rgb="FF000000"/>
        <rFont val="Calibri"/>
      </rPr>
      <t>- Specify the forwarding path.</t>
    </r>
    <r>
      <rPr>
        <sz val="11"/>
        <color rgb="FF000000"/>
        <rFont val="Calibri"/>
      </rPr>
      <t xml:space="preserve">
</t>
    </r>
    <r>
      <rPr>
        <sz val="11"/>
        <color rgb="FF000000"/>
        <rFont val="Calibri"/>
      </rPr>
      <t>- Write an alert or message to the system log.</t>
    </r>
  </si>
  <si>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Network Firewall.</t>
    </r>
    <r>
      <rPr>
        <sz val="11"/>
        <color rgb="FF000000"/>
        <rFont val="Calibri"/>
      </rPr>
      <t xml:space="preserve">
</t>
    </r>
    <r>
      <rPr>
        <sz val="11"/>
        <color rgb="FF000000"/>
        <rFont val="Calibri"/>
      </rPr>
      <t>3. Policies.</t>
    </r>
    <r>
      <rPr>
        <sz val="11"/>
        <color rgb="FF000000"/>
        <rFont val="Calibri"/>
      </rPr>
      <t xml:space="preserve">
</t>
    </r>
    <r>
      <rPr>
        <sz val="11"/>
        <color rgb="FF000000"/>
        <rFont val="Calibri"/>
      </rPr>
      <t>4. &lt;Policy Name&gt;</t>
    </r>
    <r>
      <rPr>
        <sz val="11"/>
        <color rgb="FF000000"/>
        <rFont val="Calibri"/>
      </rPr>
      <t xml:space="preserve">
</t>
    </r>
    <r>
      <rPr>
        <sz val="11"/>
        <color rgb="FF000000"/>
        <rFont val="Calibri"/>
      </rPr>
      <t>If configured rules in the policy do not use packet headers and packet attributes, including source and destination IP addresses and ports, this is a finding.</t>
    </r>
  </si>
  <si>
    <t>V-266256</t>
  </si>
  <si>
    <r>
      <rPr>
        <sz val="11"/>
        <rFont val="Calibri"/>
      </rPr>
      <t>The F5 BIG-IP appliance must generate traffic log entries containing information to establish the details of the event, including success or failure of the application of the firewall rule.</t>
    </r>
  </si>
  <si>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Event Logs.</t>
    </r>
    <r>
      <rPr>
        <sz val="11"/>
        <color rgb="FF000000"/>
        <rFont val="Calibri"/>
      </rPr>
      <t xml:space="preserve">
</t>
    </r>
    <r>
      <rPr>
        <sz val="11"/>
        <color rgb="FF000000"/>
        <rFont val="Calibri"/>
      </rPr>
      <t>3. Logging Profiles.</t>
    </r>
    <r>
      <rPr>
        <sz val="11"/>
        <color rgb="FF000000"/>
        <rFont val="Calibri"/>
      </rPr>
      <t xml:space="preserve">
</t>
    </r>
    <r>
      <rPr>
        <sz val="11"/>
        <color rgb="FF000000"/>
        <rFont val="Calibri"/>
      </rPr>
      <t>4. Edit the global-network profile.</t>
    </r>
    <r>
      <rPr>
        <sz val="11"/>
        <color rgb="FF000000"/>
        <rFont val="Calibri"/>
      </rPr>
      <t xml:space="preserve">
</t>
    </r>
    <r>
      <rPr>
        <sz val="11"/>
        <color rgb="FF000000"/>
        <rFont val="Calibri"/>
      </rPr>
      <t>5. Network Firewall tab.</t>
    </r>
    <r>
      <rPr>
        <sz val="11"/>
        <color rgb="FF000000"/>
        <rFont val="Calibri"/>
      </rPr>
      <t xml:space="preserve">
</t>
    </r>
    <r>
      <rPr>
        <sz val="11"/>
        <color rgb="FF000000"/>
        <rFont val="Calibri"/>
      </rPr>
      <t>6. Select a Log Publisher to use (for production environments, use Remote High Speed Logging).</t>
    </r>
    <r>
      <rPr>
        <sz val="11"/>
        <color rgb="FF000000"/>
        <rFont val="Calibri"/>
      </rPr>
      <t xml:space="preserve">
</t>
    </r>
    <r>
      <rPr>
        <sz val="11"/>
        <color rgb="FF000000"/>
        <rFont val="Calibri"/>
      </rPr>
      <t>7. Check the "Accept", "Drop", and "Reject" Log Rule Matches boxes are checked, along with any other settings to be enabled.</t>
    </r>
    <r>
      <rPr>
        <sz val="11"/>
        <color rgb="FF000000"/>
        <rFont val="Calibri"/>
      </rPr>
      <t xml:space="preserve">
</t>
    </r>
    <r>
      <rPr>
        <sz val="11"/>
        <color rgb="FF000000"/>
        <rFont val="Calibri"/>
      </rPr>
      <t>8. Click "Update".</t>
    </r>
    <r>
      <rPr>
        <sz val="11"/>
        <color rgb="FF000000"/>
        <rFont val="Calibri"/>
      </rPr>
      <t xml:space="preserve">
</t>
    </r>
    <r>
      <rPr>
        <sz val="11"/>
        <color rgb="FF000000"/>
        <rFont val="Calibri"/>
      </rPr>
      <t>From the BIG-IP Console, type the following commands:</t>
    </r>
    <r>
      <rPr>
        <sz val="11"/>
        <color rgb="FF000000"/>
        <rFont val="Calibri"/>
      </rPr>
      <t xml:space="preserve">
</t>
    </r>
    <r>
      <rPr>
        <sz val="11"/>
        <color rgb="FF000000"/>
        <rFont val="Calibri"/>
      </rPr>
      <t>tmsh modify security log profile global-network network modify { all { filter { log-acl-match-accept enabled log-acl-match-drop enabled log-acl-match-reject enabled } publisher &lt;publisher name&gt; } }</t>
    </r>
    <r>
      <rPr>
        <sz val="11"/>
        <color rgb="FF000000"/>
        <rFont val="Calibri"/>
      </rPr>
      <t xml:space="preserve">
</t>
    </r>
    <r>
      <rPr>
        <sz val="11"/>
        <color rgb="FF000000"/>
        <rFont val="Calibri"/>
      </rPr>
      <t>tmsh save sys config</t>
    </r>
    <r>
      <rPr>
        <sz val="11"/>
        <color rgb="FF000000"/>
        <rFont val="Calibri"/>
      </rPr>
      <t xml:space="preserve">
</t>
    </r>
    <r>
      <rPr>
        <sz val="11"/>
        <color rgb="FF000000"/>
        <rFont val="Calibri"/>
      </rPr>
      <t>Refer to vendor documentation for more information.</t>
    </r>
  </si>
  <si>
    <r>
      <rPr>
        <sz val="11"/>
        <color rgb="FF000000"/>
        <rFont val="Calibri"/>
      </rPr>
      <t>Without establishing what type of event occurred, it would be difficult to establish, correlate, and investigate the events leading up to an outage or attack.</t>
    </r>
    <r>
      <rPr>
        <sz val="11"/>
        <color rgb="FF000000"/>
        <rFont val="Calibri"/>
      </rPr>
      <t xml:space="preserve">
</t>
    </r>
    <r>
      <rPr>
        <sz val="11"/>
        <color rgb="FF000000"/>
        <rFont val="Calibri"/>
      </rPr>
      <t>Audit event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the network element logs provides a means of investigating an attack, recognizing resource utilization or capacity thresholds, or identifying an improperly configured network element.</t>
    </r>
    <r>
      <rPr>
        <sz val="11"/>
        <color rgb="FF000000"/>
        <rFont val="Calibri"/>
      </rPr>
      <t xml:space="preserve">
</t>
    </r>
    <r>
      <rPr>
        <sz val="11"/>
        <color rgb="FF000000"/>
        <rFont val="Calibri"/>
      </rPr>
      <t>Satisfies: SRG-NET-000074-FW-000009, SRG-NET-000075-FW-000010, SRG-NET-000076-FW-000011, SRG-NET-000077-FW-000012, SRG-NET-000078-FW-000013, SRG-NET-000492-FW-000006, SRG-NET-000493-FW-000007, SRG-NET-000333-FW-000014</t>
    </r>
  </si>
  <si>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Event Logs.</t>
    </r>
    <r>
      <rPr>
        <sz val="11"/>
        <color rgb="FF000000"/>
        <rFont val="Calibri"/>
      </rPr>
      <t xml:space="preserve">
</t>
    </r>
    <r>
      <rPr>
        <sz val="11"/>
        <color rgb="FF000000"/>
        <rFont val="Calibri"/>
      </rPr>
      <t>3. Logging Profiles.</t>
    </r>
    <r>
      <rPr>
        <sz val="11"/>
        <color rgb="FF000000"/>
        <rFont val="Calibri"/>
      </rPr>
      <t xml:space="preserve">
</t>
    </r>
    <r>
      <rPr>
        <sz val="11"/>
        <color rgb="FF000000"/>
        <rFont val="Calibri"/>
      </rPr>
      <t>4. Edit the global-network profile.</t>
    </r>
    <r>
      <rPr>
        <sz val="11"/>
        <color rgb="FF000000"/>
        <rFont val="Calibri"/>
      </rPr>
      <t xml:space="preserve">
</t>
    </r>
    <r>
      <rPr>
        <sz val="11"/>
        <color rgb="FF000000"/>
        <rFont val="Calibri"/>
      </rPr>
      <t>5. Network Firewall tab.</t>
    </r>
    <r>
      <rPr>
        <sz val="11"/>
        <color rgb="FF000000"/>
        <rFont val="Calibri"/>
      </rPr>
      <t xml:space="preserve">
</t>
    </r>
    <r>
      <rPr>
        <sz val="11"/>
        <color rgb="FF000000"/>
        <rFont val="Calibri"/>
      </rPr>
      <t>6. Select a Log Publisher to use (for production environments, use Remote High Speed Logging).</t>
    </r>
    <r>
      <rPr>
        <sz val="11"/>
        <color rgb="FF000000"/>
        <rFont val="Calibri"/>
      </rPr>
      <t xml:space="preserve">
</t>
    </r>
    <r>
      <rPr>
        <sz val="11"/>
        <color rgb="FF000000"/>
        <rFont val="Calibri"/>
      </rPr>
      <t>7. Verify at least the "Accept", "Drop", and "Reject" Log Rule Matches boxes are checked, along with any other settings to be enabled.</t>
    </r>
    <r>
      <rPr>
        <sz val="11"/>
        <color rgb="FF000000"/>
        <rFont val="Calibri"/>
      </rPr>
      <t xml:space="preserve">
</t>
    </r>
    <r>
      <rPr>
        <sz val="11"/>
        <color rgb="FF000000"/>
        <rFont val="Calibri"/>
      </rPr>
      <t>From the BIG-IP Console, type the following commands:</t>
    </r>
    <r>
      <rPr>
        <sz val="11"/>
        <color rgb="FF000000"/>
        <rFont val="Calibri"/>
      </rPr>
      <t xml:space="preserve">
</t>
    </r>
    <r>
      <rPr>
        <sz val="11"/>
        <color rgb="FF000000"/>
        <rFont val="Calibri"/>
      </rPr>
      <t>tmsh list security log profile global-network</t>
    </r>
    <r>
      <rPr>
        <sz val="11"/>
        <color rgb="FF000000"/>
        <rFont val="Calibri"/>
      </rPr>
      <t xml:space="preserve">
</t>
    </r>
    <r>
      <rPr>
        <sz val="11"/>
        <color rgb="FF000000"/>
        <rFont val="Calibri"/>
      </rPr>
      <t>Note: Verify the log-acl-match-accept, log-acl-match-drop, and log-acl-match-reject settings are enabled.</t>
    </r>
    <r>
      <rPr>
        <sz val="11"/>
        <color rgb="FF000000"/>
        <rFont val="Calibri"/>
      </rPr>
      <t xml:space="preserve">
</t>
    </r>
    <r>
      <rPr>
        <sz val="11"/>
        <color rgb="FF000000"/>
        <rFont val="Calibri"/>
      </rPr>
      <t>If the BIG-IP is not configured to generate traffic log entries containing information to establish the details of the event, including success or failure of the application of the firewall rule, this is a finding.</t>
    </r>
  </si>
  <si>
    <t>V-266257</t>
  </si>
  <si>
    <r>
      <rPr>
        <sz val="11"/>
        <rFont val="Calibri"/>
      </rPr>
      <t>In the event that communication with the central audit server is lost, the F5 BIG-IP appliance must continue to queue traffic log records locally.</t>
    </r>
  </si>
  <si>
    <r>
      <rPr>
        <sz val="11"/>
        <color rgb="FF000000"/>
        <rFont val="Calibri"/>
      </rPr>
      <t>If using Remote High Speed Logging (recommended):</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Local Traffic.</t>
    </r>
    <r>
      <rPr>
        <sz val="11"/>
        <color rgb="FF000000"/>
        <rFont val="Calibri"/>
      </rPr>
      <t xml:space="preserve">
</t>
    </r>
    <r>
      <rPr>
        <sz val="11"/>
        <color rgb="FF000000"/>
        <rFont val="Calibri"/>
      </rPr>
      <t>2. Pools.</t>
    </r>
    <r>
      <rPr>
        <sz val="11"/>
        <color rgb="FF000000"/>
        <rFont val="Calibri"/>
      </rPr>
      <t xml:space="preserve">
</t>
    </r>
    <r>
      <rPr>
        <sz val="11"/>
        <color rgb="FF000000"/>
        <rFont val="Calibri"/>
      </rPr>
      <t>3. Pool List.</t>
    </r>
    <r>
      <rPr>
        <sz val="11"/>
        <color rgb="FF000000"/>
        <rFont val="Calibri"/>
      </rPr>
      <t xml:space="preserve">
</t>
    </r>
    <r>
      <rPr>
        <sz val="11"/>
        <color rgb="FF000000"/>
        <rFont val="Calibri"/>
      </rPr>
      <t>4. &lt;Logging Pool Name&gt;</t>
    </r>
    <r>
      <rPr>
        <sz val="11"/>
        <color rgb="FF000000"/>
        <rFont val="Calibri"/>
      </rPr>
      <t xml:space="preserve">
</t>
    </r>
    <r>
      <rPr>
        <sz val="11"/>
        <color rgb="FF000000"/>
        <rFont val="Calibri"/>
      </rPr>
      <t>5. Verify that "Enable Request Queueing" is set to "Yes".</t>
    </r>
    <r>
      <rPr>
        <sz val="11"/>
        <color rgb="FF000000"/>
        <rFont val="Calibri"/>
      </rPr>
      <t xml:space="preserve">
</t>
    </r>
    <r>
      <rPr>
        <sz val="11"/>
        <color rgb="FF000000"/>
        <rFont val="Calibri"/>
      </rPr>
      <t>Note: Configuration must be set to "Advanced" to view this option.</t>
    </r>
    <r>
      <rPr>
        <sz val="11"/>
        <color rgb="FF000000"/>
        <rFont val="Calibri"/>
      </rPr>
      <t xml:space="preserve">
</t>
    </r>
    <r>
      <rPr>
        <sz val="11"/>
        <color rgb="FF000000"/>
        <rFont val="Calibri"/>
      </rPr>
      <t>From the BIG-IP Console, type the following commands:</t>
    </r>
    <r>
      <rPr>
        <sz val="11"/>
        <color rgb="FF000000"/>
        <rFont val="Calibri"/>
      </rPr>
      <t xml:space="preserve">
</t>
    </r>
    <r>
      <rPr>
        <sz val="11"/>
        <color rgb="FF000000"/>
        <rFont val="Calibri"/>
      </rPr>
      <t>tmsh modify ltm pool &lt;Logging Pool Name&gt; queue-on-connection-limit enabled</t>
    </r>
    <r>
      <rPr>
        <sz val="11"/>
        <color rgb="FF000000"/>
        <rFont val="Calibri"/>
      </rPr>
      <t xml:space="preserve">
</t>
    </r>
    <r>
      <rPr>
        <sz val="11"/>
        <color rgb="FF000000"/>
        <rFont val="Calibri"/>
      </rPr>
      <t>tmsh save sys config</t>
    </r>
  </si>
  <si>
    <r>
      <rPr>
        <sz val="11"/>
        <color rgb="FF000000"/>
        <rFont val="Calibri"/>
      </rPr>
      <t>It is critical that when the network element is at risk of failing to process traffic logs as required, it takes action to mitigate the failure. Audit processing failures include software/hardware errors, failures in the audit capturing mechanisms, and audit storage capacity being reached or exceeded. Responses to audit failure depend on the nature of the failure mode.</t>
    </r>
    <r>
      <rPr>
        <sz val="11"/>
        <color rgb="FF000000"/>
        <rFont val="Calibri"/>
      </rPr>
      <t xml:space="preserve">
</t>
    </r>
    <r>
      <rPr>
        <sz val="11"/>
        <color rgb="FF000000"/>
        <rFont val="Calibri"/>
      </rPr>
      <t>In accordance with DOD policy, the traffic log must be sent to a central audit server. When logging functions are lost, system processing cannot be shut down because firewall availability is an overriding concern given the role of the firewall in the enterprise. The system must either be configured to log events to an alternative server or queue log records locally. Upon restoration of the connection to the central audit server, action must be taken to synchronize the local log data with the central audit server.</t>
    </r>
    <r>
      <rPr>
        <sz val="11"/>
        <color rgb="FF000000"/>
        <rFont val="Calibri"/>
      </rPr>
      <t xml:space="preserve">
</t>
    </r>
    <r>
      <rPr>
        <sz val="11"/>
        <color rgb="FF000000"/>
        <rFont val="Calibri"/>
      </rPr>
      <t>If the central audit server uses UDP communications instead of a connection oriented protocol such as TCP, a method for detecting a lost connection must be implemented.</t>
    </r>
  </si>
  <si>
    <r>
      <rPr>
        <sz val="11"/>
        <color rgb="FF000000"/>
        <rFont val="Calibri"/>
      </rPr>
      <t>If using Remote High Speed Logging (recommended):</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Local Traffic.</t>
    </r>
    <r>
      <rPr>
        <sz val="11"/>
        <color rgb="FF000000"/>
        <rFont val="Calibri"/>
      </rPr>
      <t xml:space="preserve">
</t>
    </r>
    <r>
      <rPr>
        <sz val="11"/>
        <color rgb="FF000000"/>
        <rFont val="Calibri"/>
      </rPr>
      <t>2. Pools.</t>
    </r>
    <r>
      <rPr>
        <sz val="11"/>
        <color rgb="FF000000"/>
        <rFont val="Calibri"/>
      </rPr>
      <t xml:space="preserve">
</t>
    </r>
    <r>
      <rPr>
        <sz val="11"/>
        <color rgb="FF000000"/>
        <rFont val="Calibri"/>
      </rPr>
      <t>3. Pool List.</t>
    </r>
    <r>
      <rPr>
        <sz val="11"/>
        <color rgb="FF000000"/>
        <rFont val="Calibri"/>
      </rPr>
      <t xml:space="preserve">
</t>
    </r>
    <r>
      <rPr>
        <sz val="11"/>
        <color rgb="FF000000"/>
        <rFont val="Calibri"/>
      </rPr>
      <t>4. &lt;Logging Pool Name&gt;</t>
    </r>
    <r>
      <rPr>
        <sz val="11"/>
        <color rgb="FF000000"/>
        <rFont val="Calibri"/>
      </rPr>
      <t xml:space="preserve">
</t>
    </r>
    <r>
      <rPr>
        <sz val="11"/>
        <color rgb="FF000000"/>
        <rFont val="Calibri"/>
      </rPr>
      <t>5. Verify that "Enable Request Queueing" is set to "Yes".</t>
    </r>
    <r>
      <rPr>
        <sz val="11"/>
        <color rgb="FF000000"/>
        <rFont val="Calibri"/>
      </rPr>
      <t xml:space="preserve">
</t>
    </r>
    <r>
      <rPr>
        <sz val="11"/>
        <color rgb="FF000000"/>
        <rFont val="Calibri"/>
      </rPr>
      <t>From the BIG-IP Console, type the following commands:</t>
    </r>
    <r>
      <rPr>
        <sz val="11"/>
        <color rgb="FF000000"/>
        <rFont val="Calibri"/>
      </rPr>
      <t xml:space="preserve">
</t>
    </r>
    <r>
      <rPr>
        <sz val="11"/>
        <color rgb="FF000000"/>
        <rFont val="Calibri"/>
      </rPr>
      <t>tmsh list ltm pool &lt;Logging Pool Name&gt; queue-on-connection-limit</t>
    </r>
    <r>
      <rPr>
        <sz val="11"/>
        <color rgb="FF000000"/>
        <rFont val="Calibri"/>
      </rPr>
      <t xml:space="preserve">
</t>
    </r>
    <r>
      <rPr>
        <sz val="11"/>
        <color rgb="FF000000"/>
        <rFont val="Calibri"/>
      </rPr>
      <t>Note: Verify this is enabled.</t>
    </r>
    <r>
      <rPr>
        <sz val="11"/>
        <color rgb="FF000000"/>
        <rFont val="Calibri"/>
      </rPr>
      <t xml:space="preserve">
</t>
    </r>
    <r>
      <rPr>
        <sz val="11"/>
        <color rgb="FF000000"/>
        <rFont val="Calibri"/>
      </rPr>
      <t>If the BIG-IP appliance is not configured to queue traffic log records locally in the event that communication with the central audit server is lost, this is a finding.</t>
    </r>
  </si>
  <si>
    <t>V-266258</t>
  </si>
  <si>
    <r>
      <rPr>
        <sz val="11"/>
        <rFont val="Calibri"/>
      </rPr>
      <t>The F5 BIG-IP appliance must be configured to use TCP when sending log records to the central audit server.</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</si>
  <si>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Logs.</t>
    </r>
    <r>
      <rPr>
        <sz val="11"/>
        <color rgb="FF000000"/>
        <rFont val="Calibri"/>
      </rPr>
      <t xml:space="preserve">
</t>
    </r>
    <r>
      <rPr>
        <sz val="11"/>
        <color rgb="FF000000"/>
        <rFont val="Calibri"/>
      </rPr>
      <t>3. Configuration.</t>
    </r>
    <r>
      <rPr>
        <sz val="11"/>
        <color rgb="FF000000"/>
        <rFont val="Calibri"/>
      </rPr>
      <t xml:space="preserve">
</t>
    </r>
    <r>
      <rPr>
        <sz val="11"/>
        <color rgb="FF000000"/>
        <rFont val="Calibri"/>
      </rPr>
      <t>4. Log Destinations.</t>
    </r>
    <r>
      <rPr>
        <sz val="11"/>
        <color rgb="FF000000"/>
        <rFont val="Calibri"/>
      </rPr>
      <t xml:space="preserve">
</t>
    </r>
    <r>
      <rPr>
        <sz val="11"/>
        <color rgb="FF000000"/>
        <rFont val="Calibri"/>
      </rPr>
      <t>5. Click the name of the log destination.</t>
    </r>
    <r>
      <rPr>
        <sz val="11"/>
        <color rgb="FF000000"/>
        <rFont val="Calibri"/>
      </rPr>
      <t xml:space="preserve">
</t>
    </r>
    <r>
      <rPr>
        <sz val="11"/>
        <color rgb="FF000000"/>
        <rFont val="Calibri"/>
      </rPr>
      <t>6. Set "Protocol" to TCP.</t>
    </r>
    <r>
      <rPr>
        <sz val="11"/>
        <color rgb="FF000000"/>
        <rFont val="Calibri"/>
      </rPr>
      <t xml:space="preserve">
</t>
    </r>
    <r>
      <rPr>
        <sz val="11"/>
        <color rgb="FF000000"/>
        <rFont val="Calibri"/>
      </rPr>
      <t>7. Click "Update".</t>
    </r>
    <r>
      <rPr>
        <sz val="11"/>
        <color rgb="FF000000"/>
        <rFont val="Calibri"/>
      </rPr>
      <t xml:space="preserve">
</t>
    </r>
    <r>
      <rPr>
        <sz val="11"/>
        <color rgb="FF000000"/>
        <rFont val="Calibri"/>
      </rPr>
      <t>From the BIG-IP Console, type the following commands:</t>
    </r>
    <r>
      <rPr>
        <sz val="11"/>
        <color rgb="FF000000"/>
        <rFont val="Calibri"/>
      </rPr>
      <t xml:space="preserve">
</t>
    </r>
    <r>
      <rPr>
        <sz val="11"/>
        <color rgb="FF000000"/>
        <rFont val="Calibri"/>
      </rPr>
      <t>tmsh modify sys log-config destination remote-high-speed-log &lt;Name&gt; protocol tcp</t>
    </r>
  </si>
  <si>
    <r>
      <rPr>
        <sz val="11"/>
        <color rgb="FF000000"/>
        <rFont val="Calibri"/>
      </rPr>
      <t>If the default UDP protocol is used for communication between the hosts and devices to the central log server, then log records that do not reach the log server are not detected as a data loss. The use of TCP to transport log records to the log servers improves delivery reliability.</t>
    </r>
  </si>
  <si>
    <r>
      <rPr>
        <sz val="11"/>
        <color rgb="FF000000"/>
        <rFont val="Calibri"/>
      </rPr>
      <t>From the BIG-IP GUI:</t>
    </r>
    <r>
      <rPr>
        <sz val="11"/>
        <color rgb="FF000000"/>
        <rFont val="Calibri"/>
      </rPr>
      <t xml:space="preserve">
</t>
    </r>
    <r>
      <rPr>
        <sz val="11"/>
        <color rgb="FF000000"/>
        <rFont val="Calibri"/>
      </rPr>
      <t>1. System.</t>
    </r>
    <r>
      <rPr>
        <sz val="11"/>
        <color rgb="FF000000"/>
        <rFont val="Calibri"/>
      </rPr>
      <t xml:space="preserve">
</t>
    </r>
    <r>
      <rPr>
        <sz val="11"/>
        <color rgb="FF000000"/>
        <rFont val="Calibri"/>
      </rPr>
      <t>2. Logs.</t>
    </r>
    <r>
      <rPr>
        <sz val="11"/>
        <color rgb="FF000000"/>
        <rFont val="Calibri"/>
      </rPr>
      <t xml:space="preserve">
</t>
    </r>
    <r>
      <rPr>
        <sz val="11"/>
        <color rgb="FF000000"/>
        <rFont val="Calibri"/>
      </rPr>
      <t>3. Configuration.</t>
    </r>
    <r>
      <rPr>
        <sz val="11"/>
        <color rgb="FF000000"/>
        <rFont val="Calibri"/>
      </rPr>
      <t xml:space="preserve">
</t>
    </r>
    <r>
      <rPr>
        <sz val="11"/>
        <color rgb="FF000000"/>
        <rFont val="Calibri"/>
      </rPr>
      <t>4. Log Destinations.</t>
    </r>
    <r>
      <rPr>
        <sz val="11"/>
        <color rgb="FF000000"/>
        <rFont val="Calibri"/>
      </rPr>
      <t xml:space="preserve">
</t>
    </r>
    <r>
      <rPr>
        <sz val="11"/>
        <color rgb="FF000000"/>
        <rFont val="Calibri"/>
      </rPr>
      <t>5. &lt;Name&gt;.</t>
    </r>
    <r>
      <rPr>
        <sz val="11"/>
        <color rgb="FF000000"/>
        <rFont val="Calibri"/>
      </rPr>
      <t xml:space="preserve">
</t>
    </r>
    <r>
      <rPr>
        <sz val="11"/>
        <color rgb="FF000000"/>
        <rFont val="Calibri"/>
      </rPr>
      <t>6. Verify "Protocol" is set to TCP.</t>
    </r>
    <r>
      <rPr>
        <sz val="11"/>
        <color rgb="FF000000"/>
        <rFont val="Calibri"/>
      </rPr>
      <t xml:space="preserve">
</t>
    </r>
    <r>
      <rPr>
        <sz val="11"/>
        <color rgb="FF000000"/>
        <rFont val="Calibri"/>
      </rPr>
      <t>From the BIG-IP Console, type the following command(s):</t>
    </r>
    <r>
      <rPr>
        <sz val="11"/>
        <color rgb="FF000000"/>
        <rFont val="Calibri"/>
      </rPr>
      <t xml:space="preserve">
</t>
    </r>
    <r>
      <rPr>
        <sz val="11"/>
        <color rgb="FF000000"/>
        <rFont val="Calibri"/>
      </rPr>
      <t>tmsh list sys log-config destination remote-high-speed-log &lt;Name&gt; protocol</t>
    </r>
    <r>
      <rPr>
        <sz val="11"/>
        <color rgb="FF000000"/>
        <rFont val="Calibri"/>
      </rPr>
      <t xml:space="preserve">
</t>
    </r>
    <r>
      <rPr>
        <sz val="11"/>
        <color rgb="FF000000"/>
        <rFont val="Calibri"/>
      </rPr>
      <t>Note: Verify this is set to "tcp".</t>
    </r>
    <r>
      <rPr>
        <sz val="11"/>
        <color rgb="FF000000"/>
        <rFont val="Calibri"/>
      </rPr>
      <t xml:space="preserve">
</t>
    </r>
    <r>
      <rPr>
        <sz val="11"/>
        <color rgb="FF000000"/>
        <rFont val="Calibri"/>
      </rPr>
      <t>If the BIG-IP appliance is not configured to use TCP when sending log records to the central audit server, this is a finding.</t>
    </r>
  </si>
  <si>
    <t>V-266259</t>
  </si>
  <si>
    <r>
      <rPr>
        <sz val="11"/>
        <rFont val="Calibri"/>
      </rPr>
      <t>The F5 BIG-IP appliance must be configured to restrict itself from accepting outbound packets that contain an illegitimate address in the source address field via an egress filter or by enabling Unicast Reverse Path Forwarding (uRPF).</t>
    </r>
  </si>
  <si>
    <r>
      <rPr>
        <sz val="11"/>
        <color rgb="FF000000"/>
        <rFont val="Calibri"/>
      </rPr>
      <t>From the BIG-IP GUI:</t>
    </r>
    <r>
      <rPr>
        <sz val="11"/>
        <color rgb="FF000000"/>
        <rFont val="Calibri"/>
      </rPr>
      <t xml:space="preserve">
</t>
    </r>
    <r>
      <rPr>
        <sz val="11"/>
        <color rgb="FF000000"/>
        <rFont val="Calibri"/>
      </rPr>
      <t>1. Network.</t>
    </r>
    <r>
      <rPr>
        <sz val="11"/>
        <color rgb="FF000000"/>
        <rFont val="Calibri"/>
      </rPr>
      <t xml:space="preserve">
</t>
    </r>
    <r>
      <rPr>
        <sz val="11"/>
        <color rgb="FF000000"/>
        <rFont val="Calibri"/>
      </rPr>
      <t>2. VLANs.</t>
    </r>
    <r>
      <rPr>
        <sz val="11"/>
        <color rgb="FF000000"/>
        <rFont val="Calibri"/>
      </rPr>
      <t xml:space="preserve">
</t>
    </r>
    <r>
      <rPr>
        <sz val="11"/>
        <color rgb="FF000000"/>
        <rFont val="Calibri"/>
      </rPr>
      <t>3. VLAN List.</t>
    </r>
    <r>
      <rPr>
        <sz val="11"/>
        <color rgb="FF000000"/>
        <rFont val="Calibri"/>
      </rPr>
      <t xml:space="preserve">
</t>
    </r>
    <r>
      <rPr>
        <sz val="11"/>
        <color rgb="FF000000"/>
        <rFont val="Calibri"/>
      </rPr>
      <t>4. &lt;Name&gt; of internal VLAN.</t>
    </r>
    <r>
      <rPr>
        <sz val="11"/>
        <color rgb="FF000000"/>
        <rFont val="Calibri"/>
      </rPr>
      <t xml:space="preserve">
</t>
    </r>
    <r>
      <rPr>
        <sz val="11"/>
        <color rgb="FF000000"/>
        <rFont val="Calibri"/>
      </rPr>
      <t>5. Check the box next to "Source Check".</t>
    </r>
    <r>
      <rPr>
        <sz val="11"/>
        <color rgb="FF000000"/>
        <rFont val="Calibri"/>
      </rPr>
      <t xml:space="preserve">
</t>
    </r>
    <r>
      <rPr>
        <sz val="11"/>
        <color rgb="FF000000"/>
        <rFont val="Calibri"/>
      </rPr>
      <t>6. Set Auto Last Hop to "Disabled".</t>
    </r>
    <r>
      <rPr>
        <sz val="11"/>
        <color rgb="FF000000"/>
        <rFont val="Calibri"/>
      </rPr>
      <t xml:space="preserve">
</t>
    </r>
    <r>
      <rPr>
        <sz val="11"/>
        <color rgb="FF000000"/>
        <rFont val="Calibri"/>
      </rPr>
      <t>From the BIG-IP Console, type the following command(s):</t>
    </r>
    <r>
      <rPr>
        <sz val="11"/>
        <color rgb="FF000000"/>
        <rFont val="Calibri"/>
      </rPr>
      <t xml:space="preserve">
</t>
    </r>
    <r>
      <rPr>
        <sz val="11"/>
        <color rgb="FF000000"/>
        <rFont val="Calibri"/>
      </rPr>
      <t>tmsh modify net vlan &lt;Name&gt; auto-lasthop disabled</t>
    </r>
    <r>
      <rPr>
        <sz val="11"/>
        <color rgb="FF000000"/>
        <rFont val="Calibri"/>
      </rPr>
      <t xml:space="preserve">
</t>
    </r>
    <r>
      <rPr>
        <sz val="11"/>
        <color rgb="FF000000"/>
        <rFont val="Calibri"/>
      </rPr>
      <t>tmsh list net vlan &lt;Name&gt; source-checking enabled</t>
    </r>
    <r>
      <rPr>
        <sz val="11"/>
        <color rgb="FF000000"/>
        <rFont val="Calibri"/>
      </rPr>
      <t xml:space="preserve">
</t>
    </r>
    <r>
      <rPr>
        <sz val="11"/>
        <color rgb="FF000000"/>
        <rFont val="Calibri"/>
      </rPr>
      <t>tmsh save sys config</t>
    </r>
  </si>
  <si>
    <r>
      <rPr>
        <sz val="11"/>
        <color rgb="FF000000"/>
        <rFont val="Calibri"/>
      </rPr>
      <t>A compromised host in an enclave can be used by a malicious platform to launch cyber attacks on third parties. This is a common practice in "botnets", which are a collection of compromised computers using malware to attack other computers or networks. Distributed denial-of-service (DDoS) attacks frequently leverage IP source address spoofing to send packets to multiple hosts that in turn will then send return traffic to the hosts with the IP addresses that were forged. This can generate significant amounts of traffic. Therefore, protection measures to counteract IP source address spoofing must be taken. When uRPF is enabled in strict mode, the packet must be received on the interface that the device would use to forward the return packet; thereby mitigating IP source address spoofing.</t>
    </r>
    <r>
      <rPr>
        <sz val="11"/>
        <color rgb="FF000000"/>
        <rFont val="Calibri"/>
      </rPr>
      <t xml:space="preserve">
</t>
    </r>
    <r>
      <rPr>
        <sz val="11"/>
        <color rgb="FF000000"/>
        <rFont val="Calibri"/>
      </rPr>
      <t>F5 BIG-IP AFM Source checking: When source checking is enabled, the BIG-IP system verifies that the return path for an initial packet is through the same VLAN from which the packet originated. Note that the system only enables source checking if the global setting Auto Last Hop is disabled.</t>
    </r>
  </si>
  <si>
    <r>
      <rPr>
        <sz val="11"/>
        <color rgb="FF000000"/>
        <rFont val="Calibri"/>
      </rPr>
      <t>From the BIG-IP GUI:</t>
    </r>
    <r>
      <rPr>
        <sz val="11"/>
        <color rgb="FF000000"/>
        <rFont val="Calibri"/>
      </rPr>
      <t xml:space="preserve">
</t>
    </r>
    <r>
      <rPr>
        <sz val="11"/>
        <color rgb="FF000000"/>
        <rFont val="Calibri"/>
      </rPr>
      <t>1. Network.</t>
    </r>
    <r>
      <rPr>
        <sz val="11"/>
        <color rgb="FF000000"/>
        <rFont val="Calibri"/>
      </rPr>
      <t xml:space="preserve">
</t>
    </r>
    <r>
      <rPr>
        <sz val="11"/>
        <color rgb="FF000000"/>
        <rFont val="Calibri"/>
      </rPr>
      <t>2. VLANs.</t>
    </r>
    <r>
      <rPr>
        <sz val="11"/>
        <color rgb="FF000000"/>
        <rFont val="Calibri"/>
      </rPr>
      <t xml:space="preserve">
</t>
    </r>
    <r>
      <rPr>
        <sz val="11"/>
        <color rgb="FF000000"/>
        <rFont val="Calibri"/>
      </rPr>
      <t>3. VLAN List.</t>
    </r>
    <r>
      <rPr>
        <sz val="11"/>
        <color rgb="FF000000"/>
        <rFont val="Calibri"/>
      </rPr>
      <t xml:space="preserve">
</t>
    </r>
    <r>
      <rPr>
        <sz val="11"/>
        <color rgb="FF000000"/>
        <rFont val="Calibri"/>
      </rPr>
      <t>4. &lt;Name&gt; of internal VLAN.</t>
    </r>
    <r>
      <rPr>
        <sz val="11"/>
        <color rgb="FF000000"/>
        <rFont val="Calibri"/>
      </rPr>
      <t xml:space="preserve">
</t>
    </r>
    <r>
      <rPr>
        <sz val="11"/>
        <color rgb="FF000000"/>
        <rFont val="Calibri"/>
      </rPr>
      <t>5. Verify that "Source Check" is enabled.</t>
    </r>
    <r>
      <rPr>
        <sz val="11"/>
        <color rgb="FF000000"/>
        <rFont val="Calibri"/>
      </rPr>
      <t xml:space="preserve">
</t>
    </r>
    <r>
      <rPr>
        <sz val="11"/>
        <color rgb="FF000000"/>
        <rFont val="Calibri"/>
      </rPr>
      <t>6. Verify that Auto Last Hop is set to "Disabled".</t>
    </r>
    <r>
      <rPr>
        <sz val="11"/>
        <color rgb="FF000000"/>
        <rFont val="Calibri"/>
      </rPr>
      <t xml:space="preserve">
</t>
    </r>
    <r>
      <rPr>
        <sz val="11"/>
        <color rgb="FF000000"/>
        <rFont val="Calibri"/>
      </rPr>
      <t>From the BIG-IP Console, type the following command(s):</t>
    </r>
    <r>
      <rPr>
        <sz val="11"/>
        <color rgb="FF000000"/>
        <rFont val="Calibri"/>
      </rPr>
      <t xml:space="preserve">
</t>
    </r>
    <r>
      <rPr>
        <sz val="11"/>
        <color rgb="FF000000"/>
        <rFont val="Calibri"/>
      </rPr>
      <t>tmsh list net vlan &lt;Name&gt; auto-lasthop</t>
    </r>
    <r>
      <rPr>
        <sz val="11"/>
        <color rgb="FF000000"/>
        <rFont val="Calibri"/>
      </rPr>
      <t xml:space="preserve">
</t>
    </r>
    <r>
      <rPr>
        <sz val="11"/>
        <color rgb="FF000000"/>
        <rFont val="Calibri"/>
      </rPr>
      <t>tmsh list net vlan &lt;Name&gt; source-checking</t>
    </r>
    <r>
      <rPr>
        <sz val="11"/>
        <color rgb="FF000000"/>
        <rFont val="Calibri"/>
      </rPr>
      <t xml:space="preserve">
</t>
    </r>
    <r>
      <rPr>
        <sz val="11"/>
        <color rgb="FF000000"/>
        <rFont val="Calibri"/>
      </rPr>
      <t>If the BIG-IP appliance is not configured to disable Auto Last Hop, this is a finding.</t>
    </r>
  </si>
  <si>
    <t>V-266260</t>
  </si>
  <si>
    <r>
      <rPr>
        <sz val="11"/>
        <rFont val="Calibri"/>
      </rPr>
      <t>The F5 BIG-IP appliance must employ filters that prevent or limit the effects of all types of commonly known denial-of-service (DoS) attacks, including flooding, packet sweeps, and unauthorized port scanning.</t>
    </r>
  </si>
  <si>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DoS Protection.</t>
    </r>
    <r>
      <rPr>
        <sz val="11"/>
        <color rgb="FF000000"/>
        <rFont val="Calibri"/>
      </rPr>
      <t xml:space="preserve">
</t>
    </r>
    <r>
      <rPr>
        <sz val="11"/>
        <color rgb="FF000000"/>
        <rFont val="Calibri"/>
      </rPr>
      <t>3. Device Protection.</t>
    </r>
    <r>
      <rPr>
        <sz val="11"/>
        <color rgb="FF000000"/>
        <rFont val="Calibri"/>
      </rPr>
      <t xml:space="preserve">
</t>
    </r>
    <r>
      <rPr>
        <sz val="11"/>
        <color rgb="FF000000"/>
        <rFont val="Calibri"/>
      </rPr>
      <t>4. Expand each of the applicable families (Network, DNS, SIP) one at a time depending on the traffic being handled by the BIG-IP and do the following for each.</t>
    </r>
    <r>
      <rPr>
        <sz val="11"/>
        <color rgb="FF000000"/>
        <rFont val="Calibri"/>
      </rPr>
      <t xml:space="preserve">
</t>
    </r>
    <r>
      <rPr>
        <sz val="11"/>
        <color rgb="FF000000"/>
        <rFont val="Calibri"/>
      </rPr>
      <t>- Check the box at the top of the list of signatures to select all or, at a minimum, filters that prevent or limit the effects of all types of commonly known DoS attacks, including flooding, packet sweeps, unauthorized port scanning and unknown or out-of-order extension headers.</t>
    </r>
    <r>
      <rPr>
        <sz val="11"/>
        <color rgb="FF000000"/>
        <rFont val="Calibri"/>
      </rPr>
      <t xml:space="preserve">
</t>
    </r>
    <r>
      <rPr>
        <sz val="11"/>
        <color rgb="FF000000"/>
        <rFont val="Calibri"/>
      </rPr>
      <t>- Set "Set State" to "Mitigate".</t>
    </r>
    <r>
      <rPr>
        <sz val="11"/>
        <color rgb="FF000000"/>
        <rFont val="Calibri"/>
      </rPr>
      <t xml:space="preserve">
</t>
    </r>
    <r>
      <rPr>
        <sz val="11"/>
        <color rgb="FF000000"/>
        <rFont val="Calibri"/>
      </rPr>
      <t>5. Click "Commit Changes to System".</t>
    </r>
    <r>
      <rPr>
        <sz val="11"/>
        <color rgb="FF000000"/>
        <rFont val="Calibri"/>
      </rPr>
      <t xml:space="preserve">
</t>
    </r>
    <r>
      <rPr>
        <sz val="11"/>
        <color rgb="FF000000"/>
        <rFont val="Calibri"/>
      </rPr>
      <t>At a minimum, select filters that prevent or limit the effects of all types of commonly known DoS attacks, including flooding, packet sweeps, unauthorized port scanning. Also, select filters for unknown or out-of-order extension headers.</t>
    </r>
    <r>
      <rPr>
        <sz val="11"/>
        <color rgb="FF000000"/>
        <rFont val="Calibri"/>
      </rPr>
      <t xml:space="preserve">
</t>
    </r>
    <r>
      <rPr>
        <sz val="11"/>
        <color rgb="FF000000"/>
        <rFont val="Calibri"/>
      </rPr>
      <t>Note: Sites must operationally test or initially use learning mode prior to turning on all of the options in all families to prevent operational impacts, particularly in implementations with large traffic volumes.</t>
    </r>
  </si>
  <si>
    <r>
      <rPr>
        <sz val="11"/>
        <color rgb="FF000000"/>
        <rFont val="Calibri"/>
      </rPr>
      <t>Not configuring a key boundary security protection device such as the firewall against commonly known attacks is an immediate threat to the protected enclave because they are easily implemented by those with little skill. Directions for the attack can be obtained on the internet and in hacker groups. Without filtering enabled for these attacks, the firewall will allow these attacks beyond the protected boundary.</t>
    </r>
    <r>
      <rPr>
        <sz val="11"/>
        <color rgb="FF000000"/>
        <rFont val="Calibri"/>
      </rPr>
      <t xml:space="preserve">
</t>
    </r>
    <r>
      <rPr>
        <sz val="11"/>
        <color rgb="FF000000"/>
        <rFont val="Calibri"/>
      </rPr>
      <t>Configure the perimeter and internal boundary firewall to guard against the three general methods of well-known DoS attacks: flooding attacks, protocol sweeping attacks, and unauthorized port scanning.</t>
    </r>
    <r>
      <rPr>
        <sz val="11"/>
        <color rgb="FF000000"/>
        <rFont val="Calibri"/>
      </rPr>
      <t xml:space="preserve">
</t>
    </r>
    <r>
      <rPr>
        <sz val="11"/>
        <color rgb="FF000000"/>
        <rFont val="Calibri"/>
      </rPr>
      <t>Flood attacks occur when the host receives too much traffic to buffer and slows down or crashes. Popular flood attacks include ICMP flood and SYN flood. A TCP flood attack of SYN packets initiating connection requests can overwhelm the device until it can no longer process legitimate connection requests, resulting in denial of service. An ICMP flood can overload the device with so many echo requests (ping requests) that it expends all its resources responding and can no longer process valid network traffic, also resulting in denial of service. An attacker might use session table floods and SYN-ACK-ACK proxy floods to fill up the session table of a host.</t>
    </r>
    <r>
      <rPr>
        <sz val="11"/>
        <color rgb="FF000000"/>
        <rFont val="Calibri"/>
      </rPr>
      <t xml:space="preserve">
</t>
    </r>
    <r>
      <rPr>
        <sz val="11"/>
        <color rgb="FF000000"/>
        <rFont val="Calibri"/>
      </rPr>
      <t>In an IP address sweep attack, an attacker sends ICMP echo requests (pings) to multiple destination addresses. If a target host replies, the reply reveals the target’s IP address to the attacker. In a TCP sweep attack, an attacker sends TCP SYN packets to the target device as part of the TCP handshake. If the device responds to those packets, the attacker receives an indication that a port in the target device is open, which makes the port vulnerable to attack. In a UDP sweep attack, an attacker sends UDP packets to the target device. If the device responds to those packets, the attacker receives an indication that a port in the target device is open, which makes the port vulnerable to attack.</t>
    </r>
    <r>
      <rPr>
        <sz val="11"/>
        <color rgb="FF000000"/>
        <rFont val="Calibri"/>
      </rPr>
      <t xml:space="preserve">
</t>
    </r>
    <r>
      <rPr>
        <sz val="11"/>
        <color rgb="FF000000"/>
        <rFont val="Calibri"/>
      </rPr>
      <t>In a port scanning attack, an unauthorized application is used to scan the host devices for available services and open ports for subsequent use in an attack. This type of scanning can be used as a DoS attack when the probing packets are sent excessively.</t>
    </r>
    <r>
      <rPr>
        <sz val="11"/>
        <color rgb="FF000000"/>
        <rFont val="Calibri"/>
      </rPr>
      <t xml:space="preserve">
</t>
    </r>
    <r>
      <rPr>
        <sz val="11"/>
        <color rgb="FF000000"/>
        <rFont val="Calibri"/>
      </rPr>
      <t>Satisfies: SRG-NET-000362-FW-000028, SRG-NET-000364-FW-000041, SRG-NET-000192-FW-000029, SRG-NET-000193-FW-000030</t>
    </r>
  </si>
  <si>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DoS Protection.</t>
    </r>
    <r>
      <rPr>
        <sz val="11"/>
        <color rgb="FF000000"/>
        <rFont val="Calibri"/>
      </rPr>
      <t xml:space="preserve">
</t>
    </r>
    <r>
      <rPr>
        <sz val="11"/>
        <color rgb="FF000000"/>
        <rFont val="Calibri"/>
      </rPr>
      <t>3. Device Protection.</t>
    </r>
    <r>
      <rPr>
        <sz val="11"/>
        <color rgb="FF000000"/>
        <rFont val="Calibri"/>
      </rPr>
      <t xml:space="preserve">
</t>
    </r>
    <r>
      <rPr>
        <sz val="11"/>
        <color rgb="FF000000"/>
        <rFont val="Calibri"/>
      </rPr>
      <t>4. Expand each of the applicable families (Network, DNS, SIP) depending on the traffic being handled by the BIG-IP and verify the "State" is set to "Mitigate" for all signatures in that family.</t>
    </r>
    <r>
      <rPr>
        <sz val="11"/>
        <color rgb="FF000000"/>
        <rFont val="Calibri"/>
      </rPr>
      <t xml:space="preserve">
</t>
    </r>
    <r>
      <rPr>
        <sz val="11"/>
        <color rgb="FF000000"/>
        <rFont val="Calibri"/>
      </rPr>
      <t>If the BIG-IP appliance is not configured to block outbound traffic containing denial-of-service DoS attacks, this is a finding.</t>
    </r>
  </si>
  <si>
    <t>V-266261</t>
  </si>
  <si>
    <r>
      <rPr>
        <sz val="11"/>
        <rFont val="Calibri"/>
      </rPr>
      <t>The F5 BIG-IP appliance must deny network communications traffic by default and allow network communications traffic by exception (i.e., deny all, permit by exception).</t>
    </r>
  </si>
  <si>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Options.</t>
    </r>
    <r>
      <rPr>
        <sz val="11"/>
        <color rgb="FF000000"/>
        <rFont val="Calibri"/>
      </rPr>
      <t xml:space="preserve">
</t>
    </r>
    <r>
      <rPr>
        <sz val="11"/>
        <color rgb="FF000000"/>
        <rFont val="Calibri"/>
      </rPr>
      <t>3. Network Firewall.</t>
    </r>
    <r>
      <rPr>
        <sz val="11"/>
        <color rgb="FF000000"/>
        <rFont val="Calibri"/>
      </rPr>
      <t xml:space="preserve">
</t>
    </r>
    <r>
      <rPr>
        <sz val="11"/>
        <color rgb="FF000000"/>
        <rFont val="Calibri"/>
      </rPr>
      <t>4. Firewall Options.</t>
    </r>
    <r>
      <rPr>
        <sz val="11"/>
        <color rgb="FF000000"/>
        <rFont val="Calibri"/>
      </rPr>
      <t xml:space="preserve">
</t>
    </r>
    <r>
      <rPr>
        <sz val="11"/>
        <color rgb="FF000000"/>
        <rFont val="Calibri"/>
      </rPr>
      <t>5. Set "Virtual Server &amp; Self IP Contexts" to "Drop" or "Reject".</t>
    </r>
    <r>
      <rPr>
        <sz val="11"/>
        <color rgb="FF000000"/>
        <rFont val="Calibri"/>
      </rPr>
      <t xml:space="preserve">
</t>
    </r>
    <r>
      <rPr>
        <sz val="11"/>
        <color rgb="FF000000"/>
        <rFont val="Calibri"/>
      </rPr>
      <t>6. Set "Global Context" to "Drop" or "Reject".</t>
    </r>
    <r>
      <rPr>
        <sz val="11"/>
        <color rgb="FF000000"/>
        <rFont val="Calibri"/>
      </rPr>
      <t xml:space="preserve">
</t>
    </r>
    <r>
      <rPr>
        <sz val="11"/>
        <color rgb="FF000000"/>
        <rFont val="Calibri"/>
      </rPr>
      <t>7. Update.</t>
    </r>
  </si>
  <si>
    <r>
      <rPr>
        <sz val="11"/>
        <color rgb="FF000000"/>
        <rFont val="Calibri"/>
      </rPr>
      <t>To prevent malicious or accidental leakage of traffic, organizations must implement a deny-by-default security posture at the network perimeter. Such rulesets prevent many malicious exploits or accidental leakage by restricting the traffic to only known sources and only those ports, protocols, or services that are permitted and operationally necessary.</t>
    </r>
    <r>
      <rPr>
        <sz val="11"/>
        <color rgb="FF000000"/>
        <rFont val="Calibri"/>
      </rPr>
      <t xml:space="preserve">
</t>
    </r>
    <r>
      <rPr>
        <sz val="11"/>
        <color rgb="FF000000"/>
        <rFont val="Calibri"/>
      </rPr>
      <t>As a managed boundary interface, the firewall must block all inbound and outbound network traffic unless a filter is installed to explicitly allow it. The allow filters must comply with the Ports, Protocols, and Services Management (PPSM) Category Assurance List (CAL) and Vulnerability Assessment (VA).</t>
    </r>
  </si>
  <si>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Options.</t>
    </r>
    <r>
      <rPr>
        <sz val="11"/>
        <color rgb="FF000000"/>
        <rFont val="Calibri"/>
      </rPr>
      <t xml:space="preserve">
</t>
    </r>
    <r>
      <rPr>
        <sz val="11"/>
        <color rgb="FF000000"/>
        <rFont val="Calibri"/>
      </rPr>
      <t>3. Network Firewall.</t>
    </r>
    <r>
      <rPr>
        <sz val="11"/>
        <color rgb="FF000000"/>
        <rFont val="Calibri"/>
      </rPr>
      <t xml:space="preserve">
</t>
    </r>
    <r>
      <rPr>
        <sz val="11"/>
        <color rgb="FF000000"/>
        <rFont val="Calibri"/>
      </rPr>
      <t>4. Firewall Options.</t>
    </r>
    <r>
      <rPr>
        <sz val="11"/>
        <color rgb="FF000000"/>
        <rFont val="Calibri"/>
      </rPr>
      <t xml:space="preserve">
</t>
    </r>
    <r>
      <rPr>
        <sz val="11"/>
        <color rgb="FF000000"/>
        <rFont val="Calibri"/>
      </rPr>
      <t>5. Verify "Virtual Server &amp; Self IP Contexts" is set to "Drop" or "Reject".</t>
    </r>
    <r>
      <rPr>
        <sz val="11"/>
        <color rgb="FF000000"/>
        <rFont val="Calibri"/>
      </rPr>
      <t xml:space="preserve">
</t>
    </r>
    <r>
      <rPr>
        <sz val="11"/>
        <color rgb="FF000000"/>
        <rFont val="Calibri"/>
      </rPr>
      <t>6. Verify "Global Context" is set to "Drop" or "Reject".</t>
    </r>
    <r>
      <rPr>
        <sz val="11"/>
        <color rgb="FF000000"/>
        <rFont val="Calibri"/>
      </rPr>
      <t xml:space="preserve">
</t>
    </r>
    <r>
      <rPr>
        <sz val="11"/>
        <color rgb="FF000000"/>
        <rFont val="Calibri"/>
      </rPr>
      <t>If the BIG-IP appliance is not configured to deny network communications traffic by default and allow network communications traffic by exception, this is a finding.</t>
    </r>
  </si>
  <si>
    <t>V-266262</t>
  </si>
  <si>
    <r>
      <rPr>
        <sz val="11"/>
        <rFont val="Calibri"/>
      </rPr>
      <t>The F5 BIG-IP appliance must generate an alert that can be forwarded to, at a minimum, the information system security officer (ISSO) and information system security manager (ISSM) when denial-of-service (DoS) incidents are detected.</t>
    </r>
  </si>
  <si>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Event Logs.</t>
    </r>
    <r>
      <rPr>
        <sz val="11"/>
        <color rgb="FF000000"/>
        <rFont val="Calibri"/>
      </rPr>
      <t xml:space="preserve">
</t>
    </r>
    <r>
      <rPr>
        <sz val="11"/>
        <color rgb="FF000000"/>
        <rFont val="Calibri"/>
      </rPr>
      <t>3. Logging Profiles.</t>
    </r>
    <r>
      <rPr>
        <sz val="11"/>
        <color rgb="FF000000"/>
        <rFont val="Calibri"/>
      </rPr>
      <t xml:space="preserve">
</t>
    </r>
    <r>
      <rPr>
        <sz val="11"/>
        <color rgb="FF000000"/>
        <rFont val="Calibri"/>
      </rPr>
      <t>4. Edit the global-network profile.</t>
    </r>
    <r>
      <rPr>
        <sz val="11"/>
        <color rgb="FF000000"/>
        <rFont val="Calibri"/>
      </rPr>
      <t xml:space="preserve">
</t>
    </r>
    <r>
      <rPr>
        <sz val="11"/>
        <color rgb="FF000000"/>
        <rFont val="Calibri"/>
      </rPr>
      <t>5. Check "Enabled" for "Dos Protection".</t>
    </r>
    <r>
      <rPr>
        <sz val="11"/>
        <color rgb="FF000000"/>
        <rFont val="Calibri"/>
      </rPr>
      <t xml:space="preserve">
</t>
    </r>
    <r>
      <rPr>
        <sz val="11"/>
        <color rgb="FF000000"/>
        <rFont val="Calibri"/>
      </rPr>
      <t>6. DoS Protection tab.</t>
    </r>
    <r>
      <rPr>
        <sz val="11"/>
        <color rgb="FF000000"/>
        <rFont val="Calibri"/>
      </rPr>
      <t xml:space="preserve">
</t>
    </r>
    <r>
      <rPr>
        <sz val="11"/>
        <color rgb="FF000000"/>
        <rFont val="Calibri"/>
      </rPr>
      <t>7. Set the "Publisher" for each DoS type to use a remote log destination (for production environments, use Remote High Speed Logging).</t>
    </r>
    <r>
      <rPr>
        <sz val="11"/>
        <color rgb="FF000000"/>
        <rFont val="Calibri"/>
      </rPr>
      <t xml:space="preserve">
</t>
    </r>
    <r>
      <rPr>
        <sz val="11"/>
        <color rgb="FF000000"/>
        <rFont val="Calibri"/>
      </rPr>
      <t>8. Click "Update".</t>
    </r>
    <r>
      <rPr>
        <sz val="11"/>
        <color rgb="FF000000"/>
        <rFont val="Calibri"/>
      </rPr>
      <t xml:space="preserve">
</t>
    </r>
    <r>
      <rPr>
        <sz val="11"/>
        <color rgb="FF000000"/>
        <rFont val="Calibri"/>
      </rPr>
      <t>From the BIG-IP Console, type the following commands:</t>
    </r>
    <r>
      <rPr>
        <sz val="11"/>
        <color rgb="FF000000"/>
        <rFont val="Calibri"/>
      </rPr>
      <t xml:space="preserve">
</t>
    </r>
    <r>
      <rPr>
        <sz val="11"/>
        <color rgb="FF000000"/>
        <rFont val="Calibri"/>
      </rPr>
      <t>tmsh modify security log profile global-network dos-network-publisher &lt;publisher&gt;</t>
    </r>
    <r>
      <rPr>
        <sz val="11"/>
        <color rgb="FF000000"/>
        <rFont val="Calibri"/>
      </rPr>
      <t xml:space="preserve">
</t>
    </r>
    <r>
      <rPr>
        <sz val="11"/>
        <color rgb="FF000000"/>
        <rFont val="Calibri"/>
      </rPr>
      <t>tmsh modify security log profile global-network protocol-dns-dos-publisher &lt;publisher&gt;</t>
    </r>
    <r>
      <rPr>
        <sz val="11"/>
        <color rgb="FF000000"/>
        <rFont val="Calibri"/>
      </rPr>
      <t xml:space="preserve">
</t>
    </r>
    <r>
      <rPr>
        <sz val="11"/>
        <color rgb="FF000000"/>
        <rFont val="Calibri"/>
      </rPr>
      <t>tmsh modify security log profile global-network protocol-sip-dos-publisher &lt;publisher&gt;</t>
    </r>
    <r>
      <rPr>
        <sz val="11"/>
        <color rgb="FF000000"/>
        <rFont val="Calibri"/>
      </rPr>
      <t xml:space="preserve">
</t>
    </r>
    <r>
      <rPr>
        <sz val="11"/>
        <color rgb="FF000000"/>
        <rFont val="Calibri"/>
      </rPr>
      <t>tmsh save sys config</t>
    </r>
  </si>
  <si>
    <r>
      <rPr>
        <sz val="11"/>
        <color rgb="FF000000"/>
        <rFont val="Calibri"/>
      </rPr>
      <t>Without an alert, security personnel may be unaware of major detection incidents that require immediate action, and this delay may result in the loss or compromise of information.</t>
    </r>
    <r>
      <rPr>
        <sz val="11"/>
        <color rgb="FF000000"/>
        <rFont val="Calibri"/>
      </rPr>
      <t xml:space="preserve">
</t>
    </r>
    <r>
      <rPr>
        <sz val="11"/>
        <color rgb="FF000000"/>
        <rFont val="Calibri"/>
      </rPr>
      <t>The firewall generates an alert that notifies designated personnel of the Indicators of Compromise (IOCs), which require real-time alerts. These messages must include a severity level indicator or code as an indicator of the criticality of the incident. These indicators reflect the occurrence of a compromise or a potential compromise.</t>
    </r>
    <r>
      <rPr>
        <sz val="11"/>
        <color rgb="FF000000"/>
        <rFont val="Calibri"/>
      </rPr>
      <t xml:space="preserve">
</t>
    </r>
    <r>
      <rPr>
        <sz val="11"/>
        <color rgb="FF000000"/>
        <rFont val="Calibri"/>
      </rPr>
      <t>Since these incidents require immediate action, these messages are assigned a critical or level 1 priority/severity, depending on the system's priority schema.</t>
    </r>
    <r>
      <rPr>
        <sz val="11"/>
        <color rgb="FF000000"/>
        <rFont val="Calibri"/>
      </rPr>
      <t xml:space="preserve">
</t>
    </r>
    <r>
      <rPr>
        <sz val="11"/>
        <color rgb="FF000000"/>
        <rFont val="Calibri"/>
      </rPr>
      <t>CJCSM 6510.01B, "Cyber Incident Handling Program", lists nine Cyber Incident and Reportable Event Categories. DOD has determined that categories identified by CJCSM 6510.01B Major Indicators (category 1, 2, 4, or 7 detection events) will require an alert when an event is detected.</t>
    </r>
    <r>
      <rPr>
        <sz val="11"/>
        <color rgb="FF000000"/>
        <rFont val="Calibri"/>
      </rPr>
      <t xml:space="preserve">
</t>
    </r>
    <r>
      <rPr>
        <sz val="11"/>
        <color rgb="FF000000"/>
        <rFont val="Calibri"/>
      </rPr>
      <t>Alerts may be transmitted, for example, telephonically, by electronic mail messages, or by text messaging. The firewall must either send the alert to a management console that is actively monitored by authorized personnel or use a messaging capability to send the alert directly to designated personnel.</t>
    </r>
  </si>
  <si>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Event Logs.</t>
    </r>
    <r>
      <rPr>
        <sz val="11"/>
        <color rgb="FF000000"/>
        <rFont val="Calibri"/>
      </rPr>
      <t xml:space="preserve">
</t>
    </r>
    <r>
      <rPr>
        <sz val="11"/>
        <color rgb="FF000000"/>
        <rFont val="Calibri"/>
      </rPr>
      <t>3. Logging Profiles.</t>
    </r>
    <r>
      <rPr>
        <sz val="11"/>
        <color rgb="FF000000"/>
        <rFont val="Calibri"/>
      </rPr>
      <t xml:space="preserve">
</t>
    </r>
    <r>
      <rPr>
        <sz val="11"/>
        <color rgb="FF000000"/>
        <rFont val="Calibri"/>
      </rPr>
      <t>4. Edit the global-network profile.</t>
    </r>
    <r>
      <rPr>
        <sz val="11"/>
        <color rgb="FF000000"/>
        <rFont val="Calibri"/>
      </rPr>
      <t xml:space="preserve">
</t>
    </r>
    <r>
      <rPr>
        <sz val="11"/>
        <color rgb="FF000000"/>
        <rFont val="Calibri"/>
      </rPr>
      <t>5. DoS Protection tab.</t>
    </r>
    <r>
      <rPr>
        <sz val="11"/>
        <color rgb="FF000000"/>
        <rFont val="Calibri"/>
      </rPr>
      <t xml:space="preserve">
</t>
    </r>
    <r>
      <rPr>
        <sz val="11"/>
        <color rgb="FF000000"/>
        <rFont val="Calibri"/>
      </rPr>
      <t>6. Verify the "Publisher" for each DoS type is configured to use a remote log destination (for production environments, use Remote High Speed Logging).</t>
    </r>
    <r>
      <rPr>
        <sz val="11"/>
        <color rgb="FF000000"/>
        <rFont val="Calibri"/>
      </rPr>
      <t xml:space="preserve">
</t>
    </r>
    <r>
      <rPr>
        <sz val="11"/>
        <color rgb="FF000000"/>
        <rFont val="Calibri"/>
      </rPr>
      <t>From the BIG-IP Console, type the following commands:</t>
    </r>
    <r>
      <rPr>
        <sz val="11"/>
        <color rgb="FF000000"/>
        <rFont val="Calibri"/>
      </rPr>
      <t xml:space="preserve">
</t>
    </r>
    <r>
      <rPr>
        <sz val="11"/>
        <color rgb="FF000000"/>
        <rFont val="Calibri"/>
      </rPr>
      <t>tmsh list security log profile global-network | grep dos</t>
    </r>
    <r>
      <rPr>
        <sz val="11"/>
        <color rgb="FF000000"/>
        <rFont val="Calibri"/>
      </rPr>
      <t xml:space="preserve">
</t>
    </r>
    <r>
      <rPr>
        <sz val="11"/>
        <color rgb="FF000000"/>
        <rFont val="Calibri"/>
      </rPr>
      <t>Verify each DoS publisher is configured to use a remote log destination.</t>
    </r>
    <r>
      <rPr>
        <sz val="11"/>
        <color rgb="FF000000"/>
        <rFont val="Calibri"/>
      </rPr>
      <t xml:space="preserve">
</t>
    </r>
    <r>
      <rPr>
        <sz val="11"/>
        <color rgb="FF000000"/>
        <rFont val="Calibri"/>
      </rPr>
      <t>If the BIG-IP is not configured to generate an alert when DoS incidents are detected, this is a finding.</t>
    </r>
  </si>
  <si>
    <t>V-266263</t>
  </si>
  <si>
    <r>
      <rPr>
        <sz val="11"/>
        <rFont val="Calibri"/>
      </rPr>
      <t>The F5 BIG-IP appliance must be configured to inspect all inbound and outbound traffic at the application layer.</t>
    </r>
  </si>
  <si>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Network Firewall.</t>
    </r>
    <r>
      <rPr>
        <sz val="11"/>
        <color rgb="FF000000"/>
        <rFont val="Calibri"/>
      </rPr>
      <t xml:space="preserve">
</t>
    </r>
    <r>
      <rPr>
        <sz val="11"/>
        <color rgb="FF000000"/>
        <rFont val="Calibri"/>
      </rPr>
      <t>3. Policies.</t>
    </r>
    <r>
      <rPr>
        <sz val="11"/>
        <color rgb="FF000000"/>
        <rFont val="Calibri"/>
      </rPr>
      <t xml:space="preserve">
</t>
    </r>
    <r>
      <rPr>
        <sz val="11"/>
        <color rgb="FF000000"/>
        <rFont val="Calibri"/>
      </rPr>
      <t>4. &lt;Policy Name&gt;</t>
    </r>
    <r>
      <rPr>
        <sz val="11"/>
        <color rgb="FF000000"/>
        <rFont val="Calibri"/>
      </rPr>
      <t xml:space="preserve">
</t>
    </r>
    <r>
      <rPr>
        <sz val="11"/>
        <color rgb="FF000000"/>
        <rFont val="Calibri"/>
      </rPr>
      <t>5. Configure rules to use packet headers and packet attributes, including source and destination IP addresses and ports inspect all inbound and outbound traffic at the application layer.</t>
    </r>
  </si>
  <si>
    <r>
      <rPr>
        <sz val="11"/>
        <color rgb="FF000000"/>
        <rFont val="Calibri"/>
      </rPr>
      <t>Application inspection enables the firewall to control traffic based on different parameters that exist within the packets such as enforcing application-specific message and field length. Inspection provides improved protection against application-based attacks by restricting the types of commands allowed for the applications. Application inspection all enforces conformance against published RFCs.</t>
    </r>
    <r>
      <rPr>
        <sz val="11"/>
        <color rgb="FF000000"/>
        <rFont val="Calibri"/>
      </rPr>
      <t xml:space="preserve">
</t>
    </r>
    <r>
      <rPr>
        <sz val="11"/>
        <color rgb="FF000000"/>
        <rFont val="Calibri"/>
      </rPr>
      <t>Some applications embed an IP address in the packet that needs to match the source address that is normally translated when it goes through the firewall. Enabling application inspection for a service that embeds IP addresses, the firewall translates embedded addresses and updates any checksum or other fields that are affected by the translation. Enabling application inspection for a service that uses dynamically assigned ports, the firewall monitors sessions to identify the dynamic port assignments and permits data exchange on these ports for the duration of the specific session.</t>
    </r>
  </si>
  <si>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Network Firewall.</t>
    </r>
    <r>
      <rPr>
        <sz val="11"/>
        <color rgb="FF000000"/>
        <rFont val="Calibri"/>
      </rPr>
      <t xml:space="preserve">
</t>
    </r>
    <r>
      <rPr>
        <sz val="11"/>
        <color rgb="FF000000"/>
        <rFont val="Calibri"/>
      </rPr>
      <t>3. Policies.</t>
    </r>
    <r>
      <rPr>
        <sz val="11"/>
        <color rgb="FF000000"/>
        <rFont val="Calibri"/>
      </rPr>
      <t xml:space="preserve">
</t>
    </r>
    <r>
      <rPr>
        <sz val="11"/>
        <color rgb="FF000000"/>
        <rFont val="Calibri"/>
      </rPr>
      <t>4. &lt;Policy Name&gt;</t>
    </r>
    <r>
      <rPr>
        <sz val="11"/>
        <color rgb="FF000000"/>
        <rFont val="Calibri"/>
      </rPr>
      <t xml:space="preserve">
</t>
    </r>
    <r>
      <rPr>
        <sz val="11"/>
        <color rgb="FF000000"/>
        <rFont val="Calibri"/>
      </rPr>
      <t>If configured rules in the policy do not use packet headers and packet attributes, including source and destination IP addresses and ports to inspect all inbound and outbound traffic at the application layer, this is a finding.</t>
    </r>
  </si>
  <si>
    <t>V-266264</t>
  </si>
  <si>
    <r>
      <rPr>
        <sz val="11"/>
        <rFont val="Calibri"/>
      </rPr>
      <t>The F5 BIG-IP appliance must be configured to filter inbound traffic on all external interfaces.</t>
    </r>
  </si>
  <si>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Network Firewall.</t>
    </r>
    <r>
      <rPr>
        <sz val="11"/>
        <color rgb="FF000000"/>
        <rFont val="Calibri"/>
      </rPr>
      <t xml:space="preserve">
</t>
    </r>
    <r>
      <rPr>
        <sz val="11"/>
        <color rgb="FF000000"/>
        <rFont val="Calibri"/>
      </rPr>
      <t>3. Policies.</t>
    </r>
    <r>
      <rPr>
        <sz val="11"/>
        <color rgb="FF000000"/>
        <rFont val="Calibri"/>
      </rPr>
      <t xml:space="preserve">
</t>
    </r>
    <r>
      <rPr>
        <sz val="11"/>
        <color rgb="FF000000"/>
        <rFont val="Calibri"/>
      </rPr>
      <t>4. &lt;Policy Name&gt;</t>
    </r>
    <r>
      <rPr>
        <sz val="11"/>
        <color rgb="FF000000"/>
        <rFont val="Calibri"/>
      </rPr>
      <t xml:space="preserve">
</t>
    </r>
    <r>
      <rPr>
        <sz val="11"/>
        <color rgb="FF000000"/>
        <rFont val="Calibri"/>
      </rPr>
      <t>5. Configure rules to using packet headers and packet attributes, including source and destination IP addresses and ports to filter inbound traffic on all external interfaces.</t>
    </r>
  </si>
  <si>
    <r>
      <rPr>
        <sz val="11"/>
        <color rgb="FF000000"/>
        <rFont val="Calibri"/>
      </rPr>
      <t>Unrestricted traffic to the trusted networks may contain malicious traffic that poses a threat to an enclave or to other connected networks. Additionally, unrestricted traffic may transit a network, which uses bandwidth and other resources.</t>
    </r>
    <r>
      <rPr>
        <sz val="11"/>
        <color rgb="FF000000"/>
        <rFont val="Calibri"/>
      </rPr>
      <t xml:space="preserve">
</t>
    </r>
    <r>
      <rPr>
        <sz val="11"/>
        <color rgb="FF000000"/>
        <rFont val="Calibri"/>
      </rPr>
      <t>Firewall filters control the flow of network traffic, ensure the flow of traffic is only allowed from authorized sources to authorized destinations. Networks with different levels of trust (e.g., the internet) must be kept separated.</t>
    </r>
  </si>
  <si>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Network Firewall.</t>
    </r>
    <r>
      <rPr>
        <sz val="11"/>
        <color rgb="FF000000"/>
        <rFont val="Calibri"/>
      </rPr>
      <t xml:space="preserve">
</t>
    </r>
    <r>
      <rPr>
        <sz val="11"/>
        <color rgb="FF000000"/>
        <rFont val="Calibri"/>
      </rPr>
      <t>3. Policies.</t>
    </r>
    <r>
      <rPr>
        <sz val="11"/>
        <color rgb="FF000000"/>
        <rFont val="Calibri"/>
      </rPr>
      <t xml:space="preserve">
</t>
    </r>
    <r>
      <rPr>
        <sz val="11"/>
        <color rgb="FF000000"/>
        <rFont val="Calibri"/>
      </rPr>
      <t>4. &lt;Policy Name&gt;</t>
    </r>
    <r>
      <rPr>
        <sz val="11"/>
        <color rgb="FF000000"/>
        <rFont val="Calibri"/>
      </rPr>
      <t xml:space="preserve">
</t>
    </r>
    <r>
      <rPr>
        <sz val="11"/>
        <color rgb="FF000000"/>
        <rFont val="Calibri"/>
      </rPr>
      <t>If configured rules in the policy do not filter inbound traffic on all active external interfaces, this is a finding.</t>
    </r>
  </si>
  <si>
    <t>V-266265</t>
  </si>
  <si>
    <r>
      <rPr>
        <sz val="11"/>
        <rFont val="Calibri"/>
      </rPr>
      <t>The F5 BIG-IP appliance must be configured to filter outbound traffic on all internal interfaces.</t>
    </r>
  </si>
  <si>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Network Firewall.</t>
    </r>
    <r>
      <rPr>
        <sz val="11"/>
        <color rgb="FF000000"/>
        <rFont val="Calibri"/>
      </rPr>
      <t xml:space="preserve">
</t>
    </r>
    <r>
      <rPr>
        <sz val="11"/>
        <color rgb="FF000000"/>
        <rFont val="Calibri"/>
      </rPr>
      <t>3. Policies.</t>
    </r>
    <r>
      <rPr>
        <sz val="11"/>
        <color rgb="FF000000"/>
        <rFont val="Calibri"/>
      </rPr>
      <t xml:space="preserve">
</t>
    </r>
    <r>
      <rPr>
        <sz val="11"/>
        <color rgb="FF000000"/>
        <rFont val="Calibri"/>
      </rPr>
      <t>4. &lt;Policy Name&gt;</t>
    </r>
    <r>
      <rPr>
        <sz val="11"/>
        <color rgb="FF000000"/>
        <rFont val="Calibri"/>
      </rPr>
      <t xml:space="preserve">
</t>
    </r>
    <r>
      <rPr>
        <sz val="11"/>
        <color rgb="FF000000"/>
        <rFont val="Calibri"/>
      </rPr>
      <t>5. Configure rules to using packet headers and packet attributes, including source and destination IP addresses and ports to filter outbound traffic on all internal interfaces.</t>
    </r>
  </si>
  <si>
    <r>
      <rPr>
        <sz val="11"/>
        <color rgb="FF000000"/>
        <rFont val="Calibri"/>
      </rPr>
      <t>If outbound communications traffic is not filtered, hostile activity intended to harm other networks or packets from networks destined to unauthorized networks may not be detected and prevented.</t>
    </r>
    <r>
      <rPr>
        <sz val="11"/>
        <color rgb="FF000000"/>
        <rFont val="Calibri"/>
      </rPr>
      <t xml:space="preserve">
</t>
    </r>
    <r>
      <rPr>
        <sz val="11"/>
        <color rgb="FF000000"/>
        <rFont val="Calibri"/>
      </rPr>
      <t>Access control policies and access control lists implemented on devices, such as firewalls, that control the flow of network traffic ensure the flow of traffic is only allowed from authorized sources to authorized destinations. Networks with different levels of trust (e.g., the internet) must be kept separated.</t>
    </r>
    <r>
      <rPr>
        <sz val="11"/>
        <color rgb="FF000000"/>
        <rFont val="Calibri"/>
      </rPr>
      <t xml:space="preserve">
</t>
    </r>
    <r>
      <rPr>
        <sz val="11"/>
        <color rgb="FF000000"/>
        <rFont val="Calibri"/>
      </rPr>
      <t>This requirement addresses the binding of the egress filter to the interface/zone rather than the content of the egress filter.</t>
    </r>
  </si>
  <si>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Network Firewall.</t>
    </r>
    <r>
      <rPr>
        <sz val="11"/>
        <color rgb="FF000000"/>
        <rFont val="Calibri"/>
      </rPr>
      <t xml:space="preserve">
</t>
    </r>
    <r>
      <rPr>
        <sz val="11"/>
        <color rgb="FF000000"/>
        <rFont val="Calibri"/>
      </rPr>
      <t>3. Policies.</t>
    </r>
    <r>
      <rPr>
        <sz val="11"/>
        <color rgb="FF000000"/>
        <rFont val="Calibri"/>
      </rPr>
      <t xml:space="preserve">
</t>
    </r>
    <r>
      <rPr>
        <sz val="11"/>
        <color rgb="FF000000"/>
        <rFont val="Calibri"/>
      </rPr>
      <t>4. &lt;Policy Name&gt;</t>
    </r>
    <r>
      <rPr>
        <sz val="11"/>
        <color rgb="FF000000"/>
        <rFont val="Calibri"/>
      </rPr>
      <t xml:space="preserve">
</t>
    </r>
    <r>
      <rPr>
        <sz val="11"/>
        <color rgb="FF000000"/>
        <rFont val="Calibri"/>
      </rPr>
      <t>If configured rules in the policy do not filter outbound traffic on all internal interface, this is a finding.</t>
    </r>
  </si>
  <si>
    <t>V-266266</t>
  </si>
  <si>
    <r>
      <rPr>
        <sz val="11"/>
        <rFont val="Calibri"/>
      </rPr>
      <t>The F5 BIG-IP appliance must be configured to block all outbound management traffic.</t>
    </r>
  </si>
  <si>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Network Firewall.</t>
    </r>
    <r>
      <rPr>
        <sz val="11"/>
        <color rgb="FF000000"/>
        <rFont val="Calibri"/>
      </rPr>
      <t xml:space="preserve">
</t>
    </r>
    <r>
      <rPr>
        <sz val="11"/>
        <color rgb="FF000000"/>
        <rFont val="Calibri"/>
      </rPr>
      <t>3. Policies.</t>
    </r>
    <r>
      <rPr>
        <sz val="11"/>
        <color rgb="FF000000"/>
        <rFont val="Calibri"/>
      </rPr>
      <t xml:space="preserve">
</t>
    </r>
    <r>
      <rPr>
        <sz val="11"/>
        <color rgb="FF000000"/>
        <rFont val="Calibri"/>
      </rPr>
      <t>4. &lt;Policy Name&gt;</t>
    </r>
    <r>
      <rPr>
        <sz val="11"/>
        <color rgb="FF000000"/>
        <rFont val="Calibri"/>
      </rPr>
      <t xml:space="preserve">
</t>
    </r>
    <r>
      <rPr>
        <sz val="11"/>
        <color rgb="FF000000"/>
        <rFont val="Calibri"/>
      </rPr>
      <t>5. Configure rules to using packet headers and packet attributes, including source and destination IP addresses and ports to filter to block all outbound management traffic.</t>
    </r>
  </si>
  <si>
    <r>
      <rPr>
        <sz val="11"/>
        <color rgb="FF000000"/>
        <rFont val="Calibri"/>
      </rPr>
      <t xml:space="preserve">The management network must still have its own subnet to enforce control and access boundaries provided by Layer 3 network nodes such as routers and firewalls. Management traffic between the managed network elements and the management network is routed via the same links and nodes as that used for production or operational traffic. </t>
    </r>
    <r>
      <rPr>
        <sz val="11"/>
        <color rgb="FF000000"/>
        <rFont val="Calibri"/>
      </rPr>
      <t xml:space="preserve">
</t>
    </r>
    <r>
      <rPr>
        <sz val="11"/>
        <color rgb="FF000000"/>
        <rFont val="Calibri"/>
      </rPr>
      <t>Safeguards must be implemented to ensure that the management traffic does not leak past the managed network's premise equipment. If a firewall is located behind the premise router, all management traffic must be blocked at that point, with the exception of management traffic destined to premise equipment.</t>
    </r>
  </si>
  <si>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Network Firewall.</t>
    </r>
    <r>
      <rPr>
        <sz val="11"/>
        <color rgb="FF000000"/>
        <rFont val="Calibri"/>
      </rPr>
      <t xml:space="preserve">
</t>
    </r>
    <r>
      <rPr>
        <sz val="11"/>
        <color rgb="FF000000"/>
        <rFont val="Calibri"/>
      </rPr>
      <t>3. Policies.</t>
    </r>
    <r>
      <rPr>
        <sz val="11"/>
        <color rgb="FF000000"/>
        <rFont val="Calibri"/>
      </rPr>
      <t xml:space="preserve">
</t>
    </r>
    <r>
      <rPr>
        <sz val="11"/>
        <color rgb="FF000000"/>
        <rFont val="Calibri"/>
      </rPr>
      <t>4. &lt;Policy Name&gt;</t>
    </r>
    <r>
      <rPr>
        <sz val="11"/>
        <color rgb="FF000000"/>
        <rFont val="Calibri"/>
      </rPr>
      <t xml:space="preserve">
</t>
    </r>
    <r>
      <rPr>
        <sz val="11"/>
        <color rgb="FF000000"/>
        <rFont val="Calibri"/>
      </rPr>
      <t>If configured rules in the policy do not block all outbound management traffic, this is a finding.</t>
    </r>
  </si>
  <si>
    <t>V-266267</t>
  </si>
  <si>
    <r>
      <rPr>
        <sz val="11"/>
        <rFont val="Calibri"/>
      </rPr>
      <t>The BIG-IP appliance perimeter firewall must be configured to filter traffic destined to the enclave in accordance with the specific traffic that is approved and registered in the Ports, Protocols, and Services Management (PPSM) Category Assurance List (CAL) and vulnerability assessments.</t>
    </r>
  </si>
  <si>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Network Firewall.</t>
    </r>
    <r>
      <rPr>
        <sz val="11"/>
        <color rgb="FF000000"/>
        <rFont val="Calibri"/>
      </rPr>
      <t xml:space="preserve">
</t>
    </r>
    <r>
      <rPr>
        <sz val="11"/>
        <color rgb="FF000000"/>
        <rFont val="Calibri"/>
      </rPr>
      <t>3. Policies.</t>
    </r>
    <r>
      <rPr>
        <sz val="11"/>
        <color rgb="FF000000"/>
        <rFont val="Calibri"/>
      </rPr>
      <t xml:space="preserve">
</t>
    </r>
    <r>
      <rPr>
        <sz val="11"/>
        <color rgb="FF000000"/>
        <rFont val="Calibri"/>
      </rPr>
      <t>4. &lt;Policy Name&gt;</t>
    </r>
    <r>
      <rPr>
        <sz val="11"/>
        <color rgb="FF000000"/>
        <rFont val="Calibri"/>
      </rPr>
      <t xml:space="preserve">
</t>
    </r>
    <r>
      <rPr>
        <sz val="11"/>
        <color rgb="FF000000"/>
        <rFont val="Calibri"/>
      </rPr>
      <t>5. Configure rules to use packet headers and packet attributes, including source and destination IP addresses and ports to only allow inbound traffic in accordance with the PPSM CAL.</t>
    </r>
  </si>
  <si>
    <r>
      <rPr>
        <sz val="11"/>
        <color rgb="FF000000"/>
        <rFont val="Calibri"/>
      </rPr>
      <t>The enclave's internal network contains the servers where mission-critical data and applications reside. Malicious traffic can enter from an external boundary or originate from a compromised host internally.</t>
    </r>
    <r>
      <rPr>
        <sz val="11"/>
        <color rgb="FF000000"/>
        <rFont val="Calibri"/>
      </rPr>
      <t xml:space="preserve">
</t>
    </r>
    <r>
      <rPr>
        <sz val="11"/>
        <color rgb="FF000000"/>
        <rFont val="Calibri"/>
      </rPr>
      <t>Vulnerability assessments must be reviewed by the system administrator (SA) and protocols must be approved by the IA staff before entering the enclave.</t>
    </r>
    <r>
      <rPr>
        <sz val="11"/>
        <color rgb="FF000000"/>
        <rFont val="Calibri"/>
      </rPr>
      <t xml:space="preserve">
</t>
    </r>
    <r>
      <rPr>
        <sz val="11"/>
        <color rgb="FF000000"/>
        <rFont val="Calibri"/>
      </rPr>
      <t xml:space="preserve">Firewall filters (e.g., rules, access control lists [ACLs], screens, and policies) are the first line of defense in a layered security approach. They permit authorized packets and deny unauthorized packets based on port or service type. They enhance the posture of the network by not allowing packets to even reach a potential target within the security domain. The filters provided are highly susceptible ports and services that must be blocked or limited as much as possible without adversely affecting customer requirements. Auditing packets attempting to penetrate the network but stopped by the firewall filters will allow network administrators to broaden their protective ring and more tightly define the scope of operation. </t>
    </r>
    <r>
      <rPr>
        <sz val="11"/>
        <color rgb="FF000000"/>
        <rFont val="Calibri"/>
      </rPr>
      <t xml:space="preserve">
</t>
    </r>
    <r>
      <rPr>
        <sz val="11"/>
        <color rgb="FF000000"/>
        <rFont val="Calibri"/>
      </rPr>
      <t>If the perimeter is in a Deny-by-Default posture and what is allowed through the filter is in accordance with the PPSM CAL and VAs for the enclave, and if the permit rule is explicitly defined with explicit ports and protocols allowed, then all requirements related to the database being blocked would be satisfied.</t>
    </r>
  </si>
  <si>
    <r>
      <rPr>
        <sz val="11"/>
        <color rgb="FF000000"/>
        <rFont val="Calibri"/>
      </rPr>
      <t>From the BIG-IP GUI:</t>
    </r>
    <r>
      <rPr>
        <sz val="11"/>
        <color rgb="FF000000"/>
        <rFont val="Calibri"/>
      </rPr>
      <t xml:space="preserve">
</t>
    </r>
    <r>
      <rPr>
        <sz val="11"/>
        <color rgb="FF000000"/>
        <rFont val="Calibri"/>
      </rPr>
      <t>1. Security.</t>
    </r>
    <r>
      <rPr>
        <sz val="11"/>
        <color rgb="FF000000"/>
        <rFont val="Calibri"/>
      </rPr>
      <t xml:space="preserve">
</t>
    </r>
    <r>
      <rPr>
        <sz val="11"/>
        <color rgb="FF000000"/>
        <rFont val="Calibri"/>
      </rPr>
      <t>2. Network Firewall.</t>
    </r>
    <r>
      <rPr>
        <sz val="11"/>
        <color rgb="FF000000"/>
        <rFont val="Calibri"/>
      </rPr>
      <t xml:space="preserve">
</t>
    </r>
    <r>
      <rPr>
        <sz val="11"/>
        <color rgb="FF000000"/>
        <rFont val="Calibri"/>
      </rPr>
      <t>3. Policies.</t>
    </r>
    <r>
      <rPr>
        <sz val="11"/>
        <color rgb="FF000000"/>
        <rFont val="Calibri"/>
      </rPr>
      <t xml:space="preserve">
</t>
    </r>
    <r>
      <rPr>
        <sz val="11"/>
        <color rgb="FF000000"/>
        <rFont val="Calibri"/>
      </rPr>
      <t>4. &lt;Policy Name&gt;</t>
    </r>
    <r>
      <rPr>
        <sz val="11"/>
        <color rgb="FF000000"/>
        <rFont val="Calibri"/>
      </rPr>
      <t xml:space="preserve">
</t>
    </r>
    <r>
      <rPr>
        <sz val="11"/>
        <color rgb="FF000000"/>
        <rFont val="Calibri"/>
      </rPr>
      <t>If configured rules are not configured to only allow inbound traffic in accordance with the PPSM CAL, this is a finding.</t>
    </r>
  </si>
  <si>
    <t>V-266277</t>
  </si>
  <si>
    <r>
      <rPr>
        <sz val="11"/>
        <rFont val="Calibri"/>
      </rPr>
      <t>The F5 BIG-IP appliance must be configured to use a Diffie-Hellman (DH) Group of 16 or greater for Internet Key Exchange (IKE) Phase 1.</t>
    </r>
  </si>
  <si>
    <t>VPN</t>
  </si>
  <si>
    <r>
      <rPr>
        <sz val="11"/>
        <color rgb="FF000000"/>
        <rFont val="Calibri"/>
      </rPr>
      <t>From the BIG-IP GUI:</t>
    </r>
    <r>
      <rPr>
        <sz val="11"/>
        <color rgb="FF000000"/>
        <rFont val="Calibri"/>
      </rPr>
      <t xml:space="preserve">
</t>
    </r>
    <r>
      <rPr>
        <sz val="11"/>
        <color rgb="FF000000"/>
        <rFont val="Calibri"/>
      </rPr>
      <t>1. Network.</t>
    </r>
    <r>
      <rPr>
        <sz val="11"/>
        <color rgb="FF000000"/>
        <rFont val="Calibri"/>
      </rPr>
      <t xml:space="preserve">
</t>
    </r>
    <r>
      <rPr>
        <sz val="11"/>
        <color rgb="FF000000"/>
        <rFont val="Calibri"/>
      </rPr>
      <t>2. IPsec.</t>
    </r>
    <r>
      <rPr>
        <sz val="11"/>
        <color rgb="FF000000"/>
        <rFont val="Calibri"/>
      </rPr>
      <t xml:space="preserve">
</t>
    </r>
    <r>
      <rPr>
        <sz val="11"/>
        <color rgb="FF000000"/>
        <rFont val="Calibri"/>
      </rPr>
      <t>3. IKE Peers.</t>
    </r>
    <r>
      <rPr>
        <sz val="11"/>
        <color rgb="FF000000"/>
        <rFont val="Calibri"/>
      </rPr>
      <t xml:space="preserve">
</t>
    </r>
    <r>
      <rPr>
        <sz val="11"/>
        <color rgb="FF000000"/>
        <rFont val="Calibri"/>
      </rPr>
      <t>4. Click on the IKE Peer Name.</t>
    </r>
    <r>
      <rPr>
        <sz val="11"/>
        <color rgb="FF000000"/>
        <rFont val="Calibri"/>
      </rPr>
      <t xml:space="preserve">
</t>
    </r>
    <r>
      <rPr>
        <sz val="11"/>
        <color rgb="FF000000"/>
        <rFont val="Calibri"/>
      </rPr>
      <t>5. In "IKE Phase 1 Algorithms", select "MODP4096" or higher for "Perfect Forward Secrecy".</t>
    </r>
    <r>
      <rPr>
        <sz val="11"/>
        <color rgb="FF000000"/>
        <rFont val="Calibri"/>
      </rPr>
      <t xml:space="preserve">
</t>
    </r>
    <r>
      <rPr>
        <sz val="11"/>
        <color rgb="FF000000"/>
        <rFont val="Calibri"/>
      </rPr>
      <t>6. Click "Update".</t>
    </r>
  </si>
  <si>
    <r>
      <rPr>
        <sz val="11"/>
        <color rgb="FF000000"/>
        <rFont val="Calibri"/>
      </rPr>
      <t>NIST cryptographic algorithms approved by NSA to protect NSS. Based on an analysis of the impact of quantum computing, cryptographic algorithms specified by CNSSP-15 and approved for use in products in the CSfC program, the approved algorithms have been changed to more stringent protocols configure with increased bit sizes and other secure characteristics to protect against quantum computing threats. The Commercial National Security Algorithm Suite (CNSA Suite) replaces Suite B.</t>
    </r>
  </si>
  <si>
    <r>
      <rPr>
        <sz val="11"/>
        <color rgb="FF000000"/>
        <rFont val="Calibri"/>
      </rPr>
      <t>From the BIG-IP GUI:</t>
    </r>
    <r>
      <rPr>
        <sz val="11"/>
        <color rgb="FF000000"/>
        <rFont val="Calibri"/>
      </rPr>
      <t xml:space="preserve">
</t>
    </r>
    <r>
      <rPr>
        <sz val="11"/>
        <color rgb="FF000000"/>
        <rFont val="Calibri"/>
      </rPr>
      <t>1. Network.</t>
    </r>
    <r>
      <rPr>
        <sz val="11"/>
        <color rgb="FF000000"/>
        <rFont val="Calibri"/>
      </rPr>
      <t xml:space="preserve">
</t>
    </r>
    <r>
      <rPr>
        <sz val="11"/>
        <color rgb="FF000000"/>
        <rFont val="Calibri"/>
      </rPr>
      <t>2. IPsec.</t>
    </r>
    <r>
      <rPr>
        <sz val="11"/>
        <color rgb="FF000000"/>
        <rFont val="Calibri"/>
      </rPr>
      <t xml:space="preserve">
</t>
    </r>
    <r>
      <rPr>
        <sz val="11"/>
        <color rgb="FF000000"/>
        <rFont val="Calibri"/>
      </rPr>
      <t>3. IKE Peers.</t>
    </r>
    <r>
      <rPr>
        <sz val="11"/>
        <color rgb="FF000000"/>
        <rFont val="Calibri"/>
      </rPr>
      <t xml:space="preserve">
</t>
    </r>
    <r>
      <rPr>
        <sz val="11"/>
        <color rgb="FF000000"/>
        <rFont val="Calibri"/>
      </rPr>
      <t>4. Click on the IKE Peer Name.</t>
    </r>
    <r>
      <rPr>
        <sz val="11"/>
        <color rgb="FF000000"/>
        <rFont val="Calibri"/>
      </rPr>
      <t xml:space="preserve">
</t>
    </r>
    <r>
      <rPr>
        <sz val="11"/>
        <color rgb="FF000000"/>
        <rFont val="Calibri"/>
      </rPr>
      <t>5. In "IKE Phase 1 Algorithms", verify "MODP4096" or higher is selected for "Perfect Forward Secrecy".</t>
    </r>
    <r>
      <rPr>
        <sz val="11"/>
        <color rgb="FF000000"/>
        <rFont val="Calibri"/>
      </rPr>
      <t xml:space="preserve">
</t>
    </r>
    <r>
      <rPr>
        <sz val="11"/>
        <color rgb="FF000000"/>
        <rFont val="Calibri"/>
      </rPr>
      <t>If the BIG-IP appliance is not configured to use a Diffie-Hellman (DH) Group of 16 or greater for Internet Key Exchange (IKE) Phase 1, this is a finding.</t>
    </r>
  </si>
  <si>
    <t>V-266278</t>
  </si>
  <si>
    <r>
      <rPr>
        <sz val="11"/>
        <rFont val="Calibri"/>
      </rPr>
      <t>The F5 BIG-IP appliance IPsec VPN Gateway must use AES256 or higher encryption for the Internet Key Exchange (IKE) proposal to protect confidentiality of remote access sessions.</t>
    </r>
  </si>
  <si>
    <r>
      <rPr>
        <sz val="11"/>
        <color rgb="FF000000"/>
        <rFont val="Calibri"/>
      </rPr>
      <t>From the BIG-IP GUI:</t>
    </r>
    <r>
      <rPr>
        <sz val="11"/>
        <color rgb="FF000000"/>
        <rFont val="Calibri"/>
      </rPr>
      <t xml:space="preserve">
</t>
    </r>
    <r>
      <rPr>
        <sz val="11"/>
        <color rgb="FF000000"/>
        <rFont val="Calibri"/>
      </rPr>
      <t>1. Network.</t>
    </r>
    <r>
      <rPr>
        <sz val="11"/>
        <color rgb="FF000000"/>
        <rFont val="Calibri"/>
      </rPr>
      <t xml:space="preserve">
</t>
    </r>
    <r>
      <rPr>
        <sz val="11"/>
        <color rgb="FF000000"/>
        <rFont val="Calibri"/>
      </rPr>
      <t>2. IPsec.</t>
    </r>
    <r>
      <rPr>
        <sz val="11"/>
        <color rgb="FF000000"/>
        <rFont val="Calibri"/>
      </rPr>
      <t xml:space="preserve">
</t>
    </r>
    <r>
      <rPr>
        <sz val="11"/>
        <color rgb="FF000000"/>
        <rFont val="Calibri"/>
      </rPr>
      <t>3. IKE Peers.</t>
    </r>
    <r>
      <rPr>
        <sz val="11"/>
        <color rgb="FF000000"/>
        <rFont val="Calibri"/>
      </rPr>
      <t xml:space="preserve">
</t>
    </r>
    <r>
      <rPr>
        <sz val="11"/>
        <color rgb="FF000000"/>
        <rFont val="Calibri"/>
      </rPr>
      <t>4. Click on the Name of the IKE peer.</t>
    </r>
    <r>
      <rPr>
        <sz val="11"/>
        <color rgb="FF000000"/>
        <rFont val="Calibri"/>
      </rPr>
      <t xml:space="preserve">
</t>
    </r>
    <r>
      <rPr>
        <sz val="11"/>
        <color rgb="FF000000"/>
        <rFont val="Calibri"/>
      </rPr>
      <t>5. Configure an AES256 encryption algorithm under IKE Phase 1 Algorithms &gt;&gt; Encryption Algorithm.</t>
    </r>
    <r>
      <rPr>
        <sz val="11"/>
        <color rgb="FF000000"/>
        <rFont val="Calibri"/>
      </rPr>
      <t xml:space="preserve">
</t>
    </r>
    <r>
      <rPr>
        <sz val="11"/>
        <color rgb="FF000000"/>
        <rFont val="Calibri"/>
      </rPr>
      <t>6. Click "Update".</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</si>
  <si>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t>
    </r>
    <r>
      <rPr>
        <sz val="11"/>
        <color rgb="FF000000"/>
        <rFont val="Calibri"/>
      </rPr>
      <t xml:space="preserve">
</t>
    </r>
    <r>
      <rPr>
        <sz val="11"/>
        <color rgb="FF000000"/>
        <rFont val="Calibri"/>
      </rPr>
      <t>AES is the FIPS-validated cipher block cryptographic algorithm approved for use in DOD. For an algorithm implementation to be listed on a FIPS 140-2/140-3 cryptographic module validation certificate as an approved security function, the algorithm implementation must meet all the requirements of FIPS 140-2/140-3 and must successfully complete the cryptographic algorithm validation process. Currently, NIST has approved the following confidentiality modes to be used with approved block ciphers in a series of special publications: ECB, CBC, OFB, CFB, CTR, XTS-AES, FF1, FF3, CCM, GCM, KW, KWP, and TKW.</t>
    </r>
  </si>
  <si>
    <r>
      <rPr>
        <sz val="11"/>
        <color rgb="FF000000"/>
        <rFont val="Calibri"/>
      </rPr>
      <t>From the BIG-IP GUI:</t>
    </r>
    <r>
      <rPr>
        <sz val="11"/>
        <color rgb="FF000000"/>
        <rFont val="Calibri"/>
      </rPr>
      <t xml:space="preserve">
</t>
    </r>
    <r>
      <rPr>
        <sz val="11"/>
        <color rgb="FF000000"/>
        <rFont val="Calibri"/>
      </rPr>
      <t>1. Network.</t>
    </r>
    <r>
      <rPr>
        <sz val="11"/>
        <color rgb="FF000000"/>
        <rFont val="Calibri"/>
      </rPr>
      <t xml:space="preserve">
</t>
    </r>
    <r>
      <rPr>
        <sz val="11"/>
        <color rgb="FF000000"/>
        <rFont val="Calibri"/>
      </rPr>
      <t>2. IPsec.</t>
    </r>
    <r>
      <rPr>
        <sz val="11"/>
        <color rgb="FF000000"/>
        <rFont val="Calibri"/>
      </rPr>
      <t xml:space="preserve">
</t>
    </r>
    <r>
      <rPr>
        <sz val="11"/>
        <color rgb="FF000000"/>
        <rFont val="Calibri"/>
      </rPr>
      <t>3. IKE Peers.</t>
    </r>
    <r>
      <rPr>
        <sz val="11"/>
        <color rgb="FF000000"/>
        <rFont val="Calibri"/>
      </rPr>
      <t xml:space="preserve">
</t>
    </r>
    <r>
      <rPr>
        <sz val="11"/>
        <color rgb="FF000000"/>
        <rFont val="Calibri"/>
      </rPr>
      <t>4. Click on the Name of the IKE peer.</t>
    </r>
    <r>
      <rPr>
        <sz val="11"/>
        <color rgb="FF000000"/>
        <rFont val="Calibri"/>
      </rPr>
      <t xml:space="preserve">
</t>
    </r>
    <r>
      <rPr>
        <sz val="11"/>
        <color rgb="FF000000"/>
        <rFont val="Calibri"/>
      </rPr>
      <t>5. Verify an AES256 encryption algorithm is selected under IKE Phase 1 Algorithms &gt;&gt; Encryption Algorithm.</t>
    </r>
    <r>
      <rPr>
        <sz val="11"/>
        <color rgb="FF000000"/>
        <rFont val="Calibri"/>
      </rPr>
      <t xml:space="preserve">
</t>
    </r>
    <r>
      <rPr>
        <sz val="11"/>
        <color rgb="FF000000"/>
        <rFont val="Calibri"/>
      </rPr>
      <t>If the BIG-IP appliance is not configured to use AES256 or greater encryption for the IKE proposal, this is a finding.</t>
    </r>
  </si>
  <si>
    <t>V-266279</t>
  </si>
  <si>
    <r>
      <rPr>
        <sz val="11"/>
        <rFont val="Calibri"/>
      </rPr>
      <t>The F5 BIG-IP appliance IPsec VPN must use AES256 or greater encryption for the IPsec proposal.</t>
    </r>
  </si>
  <si>
    <r>
      <rPr>
        <sz val="11"/>
        <color rgb="FF000000"/>
        <rFont val="Calibri"/>
      </rPr>
      <t>From the BIG-IP GUI:</t>
    </r>
    <r>
      <rPr>
        <sz val="11"/>
        <color rgb="FF000000"/>
        <rFont val="Calibri"/>
      </rPr>
      <t xml:space="preserve">
</t>
    </r>
    <r>
      <rPr>
        <sz val="11"/>
        <color rgb="FF000000"/>
        <rFont val="Calibri"/>
      </rPr>
      <t>1. Network.</t>
    </r>
    <r>
      <rPr>
        <sz val="11"/>
        <color rgb="FF000000"/>
        <rFont val="Calibri"/>
      </rPr>
      <t xml:space="preserve">
</t>
    </r>
    <r>
      <rPr>
        <sz val="11"/>
        <color rgb="FF000000"/>
        <rFont val="Calibri"/>
      </rPr>
      <t>2. IPsec.</t>
    </r>
    <r>
      <rPr>
        <sz val="11"/>
        <color rgb="FF000000"/>
        <rFont val="Calibri"/>
      </rPr>
      <t xml:space="preserve">
</t>
    </r>
    <r>
      <rPr>
        <sz val="11"/>
        <color rgb="FF000000"/>
        <rFont val="Calibri"/>
      </rPr>
      <t>3. IPsec Policies.</t>
    </r>
    <r>
      <rPr>
        <sz val="11"/>
        <color rgb="FF000000"/>
        <rFont val="Calibri"/>
      </rPr>
      <t xml:space="preserve">
</t>
    </r>
    <r>
      <rPr>
        <sz val="11"/>
        <color rgb="FF000000"/>
        <rFont val="Calibri"/>
      </rPr>
      <t>4. Click on the name of the IPsec Policy.</t>
    </r>
    <r>
      <rPr>
        <sz val="11"/>
        <color rgb="FF000000"/>
        <rFont val="Calibri"/>
      </rPr>
      <t xml:space="preserve">
</t>
    </r>
    <r>
      <rPr>
        <sz val="11"/>
        <color rgb="FF000000"/>
        <rFont val="Calibri"/>
      </rPr>
      <t>5. Configure AES256 or greater encryption algorithm.</t>
    </r>
    <r>
      <rPr>
        <sz val="11"/>
        <color rgb="FF000000"/>
        <rFont val="Calibri"/>
      </rPr>
      <t xml:space="preserve">
</t>
    </r>
    <r>
      <rPr>
        <sz val="11"/>
        <color rgb="FF000000"/>
        <rFont val="Calibri"/>
      </rPr>
      <t>6. Click "Update".</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</si>
  <si>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t>
    </r>
    <r>
      <rPr>
        <sz val="11"/>
        <color rgb="FF000000"/>
        <rFont val="Calibri"/>
      </rPr>
      <t xml:space="preserve">
</t>
    </r>
    <r>
      <rPr>
        <sz val="11"/>
        <color rgb="FF000000"/>
        <rFont val="Calibri"/>
      </rPr>
      <t>A block cipher mode is an algorithm that features the use of a symmetric key block cipher algorithm to provide an information service, such as confidentiality or authentication.</t>
    </r>
    <r>
      <rPr>
        <sz val="11"/>
        <color rgb="FF000000"/>
        <rFont val="Calibri"/>
      </rPr>
      <t xml:space="preserve">
</t>
    </r>
    <r>
      <rPr>
        <sz val="11"/>
        <color rgb="FF000000"/>
        <rFont val="Calibri"/>
      </rPr>
      <t>AES is the FIPS-validated cipher block cryptographic algorithm approved for use in DOD. For an algorithm implementation to be listed on a FIPS 140-2/140-3 cryptographic module validation certificate as an approved security function, the algorithm implementation must meet all the requirements of FIPS 140-2/140-3 and must successfully complete the cryptographic algorithm validation process. Currently, NIST has approved the following confidentiality modes to be used with approved block ciphers in a series of special publications: ECB, CBC, OFB, CFB, CTR, XTS-AES, FF1, FF3, CCM, GCM, KW, KWP, and TKW.</t>
    </r>
  </si>
  <si>
    <r>
      <rPr>
        <sz val="11"/>
        <color rgb="FF000000"/>
        <rFont val="Calibri"/>
      </rPr>
      <t>From the BIG-IP GUI:</t>
    </r>
    <r>
      <rPr>
        <sz val="11"/>
        <color rgb="FF000000"/>
        <rFont val="Calibri"/>
      </rPr>
      <t xml:space="preserve">
</t>
    </r>
    <r>
      <rPr>
        <sz val="11"/>
        <color rgb="FF000000"/>
        <rFont val="Calibri"/>
      </rPr>
      <t>1. Network.</t>
    </r>
    <r>
      <rPr>
        <sz val="11"/>
        <color rgb="FF000000"/>
        <rFont val="Calibri"/>
      </rPr>
      <t xml:space="preserve">
</t>
    </r>
    <r>
      <rPr>
        <sz val="11"/>
        <color rgb="FF000000"/>
        <rFont val="Calibri"/>
      </rPr>
      <t>2. IPsec.</t>
    </r>
    <r>
      <rPr>
        <sz val="11"/>
        <color rgb="FF000000"/>
        <rFont val="Calibri"/>
      </rPr>
      <t xml:space="preserve">
</t>
    </r>
    <r>
      <rPr>
        <sz val="11"/>
        <color rgb="FF000000"/>
        <rFont val="Calibri"/>
      </rPr>
      <t>3. IPsec Policies.</t>
    </r>
    <r>
      <rPr>
        <sz val="11"/>
        <color rgb="FF000000"/>
        <rFont val="Calibri"/>
      </rPr>
      <t xml:space="preserve">
</t>
    </r>
    <r>
      <rPr>
        <sz val="11"/>
        <color rgb="FF000000"/>
        <rFont val="Calibri"/>
      </rPr>
      <t>4. Click on the Name of the IPsec Policy.</t>
    </r>
    <r>
      <rPr>
        <sz val="11"/>
        <color rgb="FF000000"/>
        <rFont val="Calibri"/>
      </rPr>
      <t xml:space="preserve">
</t>
    </r>
    <r>
      <rPr>
        <sz val="11"/>
        <color rgb="FF000000"/>
        <rFont val="Calibri"/>
      </rPr>
      <t>5. Verify an AES256 or greater encryption algorithm is selected.</t>
    </r>
    <r>
      <rPr>
        <sz val="11"/>
        <color rgb="FF000000"/>
        <rFont val="Calibri"/>
      </rPr>
      <t xml:space="preserve">
</t>
    </r>
    <r>
      <rPr>
        <sz val="11"/>
        <color rgb="FF000000"/>
        <rFont val="Calibri"/>
      </rPr>
      <t>If the BIG-IP appliance is not configured to use AES256 or greater encryption for the IPsec proposal, this is a finding.</t>
    </r>
  </si>
  <si>
    <t>V-266280</t>
  </si>
  <si>
    <r>
      <rPr>
        <sz val="11"/>
        <rFont val="Calibri"/>
      </rPr>
      <t>The F5 BIG-IP appliance IPsec VPN must ensure inbound and outbound traffic is configured with a security policy.</t>
    </r>
  </si>
  <si>
    <r>
      <rPr>
        <sz val="11"/>
        <color rgb="FF000000"/>
        <rFont val="Calibri"/>
      </rPr>
      <t>From the BIG-IP GUI:</t>
    </r>
    <r>
      <rPr>
        <sz val="11"/>
        <color rgb="FF000000"/>
        <rFont val="Calibri"/>
      </rPr>
      <t xml:space="preserve">
</t>
    </r>
    <r>
      <rPr>
        <sz val="11"/>
        <color rgb="FF000000"/>
        <rFont val="Calibri"/>
      </rPr>
      <t>1. Network.</t>
    </r>
    <r>
      <rPr>
        <sz val="11"/>
        <color rgb="FF000000"/>
        <rFont val="Calibri"/>
      </rPr>
      <t xml:space="preserve">
</t>
    </r>
    <r>
      <rPr>
        <sz val="11"/>
        <color rgb="FF000000"/>
        <rFont val="Calibri"/>
      </rPr>
      <t>2. IPsec.</t>
    </r>
    <r>
      <rPr>
        <sz val="11"/>
        <color rgb="FF000000"/>
        <rFont val="Calibri"/>
      </rPr>
      <t xml:space="preserve">
</t>
    </r>
    <r>
      <rPr>
        <sz val="11"/>
        <color rgb="FF000000"/>
        <rFont val="Calibri"/>
      </rPr>
      <t>3. IPsec Policies.</t>
    </r>
    <r>
      <rPr>
        <sz val="11"/>
        <color rgb="FF000000"/>
        <rFont val="Calibri"/>
      </rPr>
      <t xml:space="preserve">
</t>
    </r>
    <r>
      <rPr>
        <sz val="11"/>
        <color rgb="FF000000"/>
        <rFont val="Calibri"/>
      </rPr>
      <t>4. Click on IPsec Policy for site to site IPsec.</t>
    </r>
    <r>
      <rPr>
        <sz val="11"/>
        <color rgb="FF000000"/>
        <rFont val="Calibri"/>
      </rPr>
      <t xml:space="preserve">
</t>
    </r>
    <r>
      <rPr>
        <sz val="11"/>
        <color rgb="FF000000"/>
        <rFont val="Calibri"/>
      </rPr>
      <t>5. Select "ESP" in the IPsec Protocol section.</t>
    </r>
    <r>
      <rPr>
        <sz val="11"/>
        <color rgb="FF000000"/>
        <rFont val="Calibri"/>
      </rPr>
      <t xml:space="preserve">
</t>
    </r>
    <r>
      <rPr>
        <sz val="11"/>
        <color rgb="FF000000"/>
        <rFont val="Calibri"/>
      </rPr>
      <t>6. Click "Update".</t>
    </r>
  </si>
  <si>
    <r>
      <rPr>
        <sz val="11"/>
        <color rgb="FF000000"/>
        <rFont val="Calibri"/>
      </rPr>
      <t>Unrestricted traffic may contain malicious traffic which poses a threat to an enclave or to other connected networks. Additionally, unrestricted traffic may transit a network, which uses bandwidth and other resources.</t>
    </r>
    <r>
      <rPr>
        <sz val="11"/>
        <color rgb="FF000000"/>
        <rFont val="Calibri"/>
      </rPr>
      <t xml:space="preserve">
</t>
    </r>
    <r>
      <rPr>
        <sz val="11"/>
        <color rgb="FF000000"/>
        <rFont val="Calibri"/>
      </rPr>
      <t>VPN traffic received from another enclave with different security policy or level of trust must not bypass be inspected by the firewall before being forwarded to the private network.</t>
    </r>
  </si>
  <si>
    <r>
      <rPr>
        <sz val="11"/>
        <color rgb="FF000000"/>
        <rFont val="Calibri"/>
      </rPr>
      <t>From the BIG-IP GUI:</t>
    </r>
    <r>
      <rPr>
        <sz val="11"/>
        <color rgb="FF000000"/>
        <rFont val="Calibri"/>
      </rPr>
      <t xml:space="preserve">
</t>
    </r>
    <r>
      <rPr>
        <sz val="11"/>
        <color rgb="FF000000"/>
        <rFont val="Calibri"/>
      </rPr>
      <t>1. Network.</t>
    </r>
    <r>
      <rPr>
        <sz val="11"/>
        <color rgb="FF000000"/>
        <rFont val="Calibri"/>
      </rPr>
      <t xml:space="preserve">
</t>
    </r>
    <r>
      <rPr>
        <sz val="11"/>
        <color rgb="FF000000"/>
        <rFont val="Calibri"/>
      </rPr>
      <t>2. IPsec.</t>
    </r>
    <r>
      <rPr>
        <sz val="11"/>
        <color rgb="FF000000"/>
        <rFont val="Calibri"/>
      </rPr>
      <t xml:space="preserve">
</t>
    </r>
    <r>
      <rPr>
        <sz val="11"/>
        <color rgb="FF000000"/>
        <rFont val="Calibri"/>
      </rPr>
      <t>3. IPsec Policies.</t>
    </r>
    <r>
      <rPr>
        <sz val="11"/>
        <color rgb="FF000000"/>
        <rFont val="Calibri"/>
      </rPr>
      <t xml:space="preserve">
</t>
    </r>
    <r>
      <rPr>
        <sz val="11"/>
        <color rgb="FF000000"/>
        <rFont val="Calibri"/>
      </rPr>
      <t>4. Click on IPsec Policy for site to site IPsec.</t>
    </r>
    <r>
      <rPr>
        <sz val="11"/>
        <color rgb="FF000000"/>
        <rFont val="Calibri"/>
      </rPr>
      <t xml:space="preserve">
</t>
    </r>
    <r>
      <rPr>
        <sz val="11"/>
        <color rgb="FF000000"/>
        <rFont val="Calibri"/>
      </rPr>
      <t>5. Verify that "ESP" is selected in the IPsec Protocol section.</t>
    </r>
    <r>
      <rPr>
        <sz val="11"/>
        <color rgb="FF000000"/>
        <rFont val="Calibri"/>
      </rPr>
      <t xml:space="preserve">
</t>
    </r>
    <r>
      <rPr>
        <sz val="11"/>
        <color rgb="FF000000"/>
        <rFont val="Calibri"/>
      </rPr>
      <t>If the BIG-IP is not configured to ensure inbound and outbound traffic is configured with a security policy in compliance with information flow control policies, this is a finding.</t>
    </r>
  </si>
  <si>
    <t>V-266281</t>
  </si>
  <si>
    <r>
      <rPr>
        <sz val="11"/>
        <rFont val="Calibri"/>
      </rPr>
      <t>The F5 BIG-IP appliance IPsec VPN Gateway must use Internet Key Exchange (IKE) for IPsec VPN Security Associations (SAs).</t>
    </r>
  </si>
  <si>
    <r>
      <rPr>
        <sz val="11"/>
        <color rgb="FF000000"/>
        <rFont val="Calibri"/>
      </rPr>
      <t>From the BIG-IP GUI:</t>
    </r>
    <r>
      <rPr>
        <sz val="11"/>
        <color rgb="FF000000"/>
        <rFont val="Calibri"/>
      </rPr>
      <t xml:space="preserve">
</t>
    </r>
    <r>
      <rPr>
        <sz val="11"/>
        <color rgb="FF000000"/>
        <rFont val="Calibri"/>
      </rPr>
      <t>1. Network.</t>
    </r>
    <r>
      <rPr>
        <sz val="11"/>
        <color rgb="FF000000"/>
        <rFont val="Calibri"/>
      </rPr>
      <t xml:space="preserve">
</t>
    </r>
    <r>
      <rPr>
        <sz val="11"/>
        <color rgb="FF000000"/>
        <rFont val="Calibri"/>
      </rPr>
      <t>2. IPsec.</t>
    </r>
    <r>
      <rPr>
        <sz val="11"/>
        <color rgb="FF000000"/>
        <rFont val="Calibri"/>
      </rPr>
      <t xml:space="preserve">
</t>
    </r>
    <r>
      <rPr>
        <sz val="11"/>
        <color rgb="FF000000"/>
        <rFont val="Calibri"/>
      </rPr>
      <t>3. Manual Security Associations.</t>
    </r>
    <r>
      <rPr>
        <sz val="11"/>
        <color rgb="FF000000"/>
        <rFont val="Calibri"/>
      </rPr>
      <t xml:space="preserve">
</t>
    </r>
    <r>
      <rPr>
        <sz val="11"/>
        <color rgb="FF000000"/>
        <rFont val="Calibri"/>
      </rPr>
      <t>4. Delete any entries in this list.</t>
    </r>
  </si>
  <si>
    <r>
      <rPr>
        <sz val="11"/>
        <color rgb="FF000000"/>
        <rFont val="Calibri"/>
      </rPr>
      <t>Without IKE, the SPI is manually specified for each security association. IKE peers will negotiate the encryption algorithm and authentication or hashing methods as well as generate the encryption keys.</t>
    </r>
    <r>
      <rPr>
        <sz val="11"/>
        <color rgb="FF000000"/>
        <rFont val="Calibri"/>
      </rPr>
      <t xml:space="preserve">
</t>
    </r>
    <r>
      <rPr>
        <sz val="11"/>
        <color rgb="FF000000"/>
        <rFont val="Calibri"/>
      </rPr>
      <t>An IPsec SA is established using either IKE or manual configuration. When using IKE, the security associations are established when needed and expire after a period of time or volume of traffic threshold. If manually configured, they are established as soon as the configuration is complete at both end points and they do not expire. When using IKE, the Security Parameter Index (SPI) for each security association is a pseudo-randomly derived number.</t>
    </r>
    <r>
      <rPr>
        <sz val="11"/>
        <color rgb="FF000000"/>
        <rFont val="Calibri"/>
      </rPr>
      <t xml:space="preserve">
</t>
    </r>
    <r>
      <rPr>
        <sz val="11"/>
        <color rgb="FF000000"/>
        <rFont val="Calibri"/>
      </rPr>
      <t>With manual configuration of the IPsec security association, both the cipher key and authentication key are static. Hence, if the keys are compromised, the traffic being protected by the current IPsec tunnel can be decrypted as well as traffic in any future tunnels established by this SA. Furthermore, the peers are not authenticated prior to establishing the SA, which could result in a rogue device establishing an IPsec SA with either of the VPN end points.</t>
    </r>
    <r>
      <rPr>
        <sz val="11"/>
        <color rgb="FF000000"/>
        <rFont val="Calibri"/>
      </rPr>
      <t xml:space="preserve">
</t>
    </r>
    <r>
      <rPr>
        <sz val="11"/>
        <color rgb="FF000000"/>
        <rFont val="Calibri"/>
      </rPr>
      <t>IKE provides primary authentication to verify the identity of the remote system before negotiation begins. This feature is lost when the IPsec security associations are manually configured, which results in a nonterminating session using static pre-shared keys.</t>
    </r>
  </si>
  <si>
    <r>
      <rPr>
        <sz val="11"/>
        <color rgb="FF000000"/>
        <rFont val="Calibri"/>
      </rPr>
      <t>From the BIG-IP GUI:</t>
    </r>
    <r>
      <rPr>
        <sz val="11"/>
        <color rgb="FF000000"/>
        <rFont val="Calibri"/>
      </rPr>
      <t xml:space="preserve">
</t>
    </r>
    <r>
      <rPr>
        <sz val="11"/>
        <color rgb="FF000000"/>
        <rFont val="Calibri"/>
      </rPr>
      <t>1. Network.</t>
    </r>
    <r>
      <rPr>
        <sz val="11"/>
        <color rgb="FF000000"/>
        <rFont val="Calibri"/>
      </rPr>
      <t xml:space="preserve">
</t>
    </r>
    <r>
      <rPr>
        <sz val="11"/>
        <color rgb="FF000000"/>
        <rFont val="Calibri"/>
      </rPr>
      <t>2. IPsec.</t>
    </r>
    <r>
      <rPr>
        <sz val="11"/>
        <color rgb="FF000000"/>
        <rFont val="Calibri"/>
      </rPr>
      <t xml:space="preserve">
</t>
    </r>
    <r>
      <rPr>
        <sz val="11"/>
        <color rgb="FF000000"/>
        <rFont val="Calibri"/>
      </rPr>
      <t>3. Manual Security Associations.</t>
    </r>
    <r>
      <rPr>
        <sz val="11"/>
        <color rgb="FF000000"/>
        <rFont val="Calibri"/>
      </rPr>
      <t xml:space="preserve">
</t>
    </r>
    <r>
      <rPr>
        <sz val="11"/>
        <color rgb="FF000000"/>
        <rFont val="Calibri"/>
      </rPr>
      <t>4. Verify there are no Manual Security Associations listed.</t>
    </r>
    <r>
      <rPr>
        <sz val="11"/>
        <color rgb="FF000000"/>
        <rFont val="Calibri"/>
      </rPr>
      <t xml:space="preserve">
</t>
    </r>
    <r>
      <rPr>
        <sz val="11"/>
        <color rgb="FF000000"/>
        <rFont val="Calibri"/>
      </rPr>
      <t>If the BIG-IP appliance is not configured to use IKE for IPsec VPN SAs, this is a finding.</t>
    </r>
  </si>
  <si>
    <t>V-266282</t>
  </si>
  <si>
    <r>
      <rPr>
        <sz val="11"/>
        <rFont val="Calibri"/>
      </rPr>
      <t>The IPsec BIG-IP appliance must use IKEv2 for IPsec VPN security associations.</t>
    </r>
  </si>
  <si>
    <r>
      <rPr>
        <sz val="11"/>
        <color rgb="FF000000"/>
        <rFont val="Calibri"/>
      </rPr>
      <t>From the BIG-IP GUI:</t>
    </r>
    <r>
      <rPr>
        <sz val="11"/>
        <color rgb="FF000000"/>
        <rFont val="Calibri"/>
      </rPr>
      <t xml:space="preserve">
</t>
    </r>
    <r>
      <rPr>
        <sz val="11"/>
        <color rgb="FF000000"/>
        <rFont val="Calibri"/>
      </rPr>
      <t>1. Network.</t>
    </r>
    <r>
      <rPr>
        <sz val="11"/>
        <color rgb="FF000000"/>
        <rFont val="Calibri"/>
      </rPr>
      <t xml:space="preserve">
</t>
    </r>
    <r>
      <rPr>
        <sz val="11"/>
        <color rgb="FF000000"/>
        <rFont val="Calibri"/>
      </rPr>
      <t>2. IPsec.</t>
    </r>
    <r>
      <rPr>
        <sz val="11"/>
        <color rgb="FF000000"/>
        <rFont val="Calibri"/>
      </rPr>
      <t xml:space="preserve">
</t>
    </r>
    <r>
      <rPr>
        <sz val="11"/>
        <color rgb="FF000000"/>
        <rFont val="Calibri"/>
      </rPr>
      <t>3. IKE Peers.</t>
    </r>
    <r>
      <rPr>
        <sz val="11"/>
        <color rgb="FF000000"/>
        <rFont val="Calibri"/>
      </rPr>
      <t xml:space="preserve">
</t>
    </r>
    <r>
      <rPr>
        <sz val="11"/>
        <color rgb="FF000000"/>
        <rFont val="Calibri"/>
      </rPr>
      <t>4. Click on the name of the IKE peer.</t>
    </r>
    <r>
      <rPr>
        <sz val="11"/>
        <color rgb="FF000000"/>
        <rFont val="Calibri"/>
      </rPr>
      <t xml:space="preserve">
</t>
    </r>
    <r>
      <rPr>
        <sz val="11"/>
        <color rgb="FF000000"/>
        <rFont val="Calibri"/>
      </rPr>
      <t>5. Select "Version 2" for "Version".</t>
    </r>
    <r>
      <rPr>
        <sz val="11"/>
        <color rgb="FF000000"/>
        <rFont val="Calibri"/>
      </rPr>
      <t xml:space="preserve">
</t>
    </r>
    <r>
      <rPr>
        <sz val="11"/>
        <color rgb="FF000000"/>
        <rFont val="Calibri"/>
      </rPr>
      <t>6. Click "Update".</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</si>
  <si>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Use of IKEv2 leverages denial of service (DoS) protections because of improved bandwidth management and leverages more secure encryption algorithms.</t>
    </r>
  </si>
  <si>
    <r>
      <rPr>
        <sz val="11"/>
        <color rgb="FF000000"/>
        <rFont val="Calibri"/>
      </rPr>
      <t>From the BIG-IP GUI:</t>
    </r>
    <r>
      <rPr>
        <sz val="11"/>
        <color rgb="FF000000"/>
        <rFont val="Calibri"/>
      </rPr>
      <t xml:space="preserve">
</t>
    </r>
    <r>
      <rPr>
        <sz val="11"/>
        <color rgb="FF000000"/>
        <rFont val="Calibri"/>
      </rPr>
      <t>1. Network.</t>
    </r>
    <r>
      <rPr>
        <sz val="11"/>
        <color rgb="FF000000"/>
        <rFont val="Calibri"/>
      </rPr>
      <t xml:space="preserve">
</t>
    </r>
    <r>
      <rPr>
        <sz val="11"/>
        <color rgb="FF000000"/>
        <rFont val="Calibri"/>
      </rPr>
      <t>2. IPsec.</t>
    </r>
    <r>
      <rPr>
        <sz val="11"/>
        <color rgb="FF000000"/>
        <rFont val="Calibri"/>
      </rPr>
      <t xml:space="preserve">
</t>
    </r>
    <r>
      <rPr>
        <sz val="11"/>
        <color rgb="FF000000"/>
        <rFont val="Calibri"/>
      </rPr>
      <t>3. IKE Peers.</t>
    </r>
    <r>
      <rPr>
        <sz val="11"/>
        <color rgb="FF000000"/>
        <rFont val="Calibri"/>
      </rPr>
      <t xml:space="preserve">
</t>
    </r>
    <r>
      <rPr>
        <sz val="11"/>
        <color rgb="FF000000"/>
        <rFont val="Calibri"/>
      </rPr>
      <t>4. Click on the name of the IKE peer.</t>
    </r>
    <r>
      <rPr>
        <sz val="11"/>
        <color rgb="FF000000"/>
        <rFont val="Calibri"/>
      </rPr>
      <t xml:space="preserve">
</t>
    </r>
    <r>
      <rPr>
        <sz val="11"/>
        <color rgb="FF000000"/>
        <rFont val="Calibri"/>
      </rPr>
      <t>5. Verify "Version 2" is selected for "Version".</t>
    </r>
    <r>
      <rPr>
        <sz val="11"/>
        <color rgb="FF000000"/>
        <rFont val="Calibri"/>
      </rPr>
      <t xml:space="preserve">
</t>
    </r>
    <r>
      <rPr>
        <sz val="11"/>
        <color rgb="FF000000"/>
        <rFont val="Calibri"/>
      </rPr>
      <t>If the BIG-IP appliance is not configured to use IKEv2 for IPsec VPN security associations, this is a finding.</t>
    </r>
  </si>
  <si>
    <t>V-266283</t>
  </si>
  <si>
    <r>
      <rPr>
        <sz val="11"/>
        <rFont val="Calibri"/>
      </rPr>
      <t>The F5 BIG-IP appliance IPsec VPN Gateway must renegotiate the IPsec Phase 1 security association after eight hours or less.</t>
    </r>
  </si>
  <si>
    <r>
      <rPr>
        <sz val="11"/>
        <color rgb="FF000000"/>
        <rFont val="Calibri"/>
      </rPr>
      <t>From the BIG-IP GUI:</t>
    </r>
    <r>
      <rPr>
        <sz val="11"/>
        <color rgb="FF000000"/>
        <rFont val="Calibri"/>
      </rPr>
      <t xml:space="preserve">
</t>
    </r>
    <r>
      <rPr>
        <sz val="11"/>
        <color rgb="FF000000"/>
        <rFont val="Calibri"/>
      </rPr>
      <t>1. Network.</t>
    </r>
    <r>
      <rPr>
        <sz val="11"/>
        <color rgb="FF000000"/>
        <rFont val="Calibri"/>
      </rPr>
      <t xml:space="preserve">
</t>
    </r>
    <r>
      <rPr>
        <sz val="11"/>
        <color rgb="FF000000"/>
        <rFont val="Calibri"/>
      </rPr>
      <t>2. IPsec.</t>
    </r>
    <r>
      <rPr>
        <sz val="11"/>
        <color rgb="FF000000"/>
        <rFont val="Calibri"/>
      </rPr>
      <t xml:space="preserve">
</t>
    </r>
    <r>
      <rPr>
        <sz val="11"/>
        <color rgb="FF000000"/>
        <rFont val="Calibri"/>
      </rPr>
      <t>3. IKE Peers.</t>
    </r>
    <r>
      <rPr>
        <sz val="11"/>
        <color rgb="FF000000"/>
        <rFont val="Calibri"/>
      </rPr>
      <t xml:space="preserve">
</t>
    </r>
    <r>
      <rPr>
        <sz val="11"/>
        <color rgb="FF000000"/>
        <rFont val="Calibri"/>
      </rPr>
      <t>4. Click on the Name of the IKE peer.</t>
    </r>
    <r>
      <rPr>
        <sz val="11"/>
        <color rgb="FF000000"/>
        <rFont val="Calibri"/>
      </rPr>
      <t xml:space="preserve">
</t>
    </r>
    <r>
      <rPr>
        <sz val="11"/>
        <color rgb="FF000000"/>
        <rFont val="Calibri"/>
      </rPr>
      <t>5. Configure the value for "Lifetime" under "IKE Phase 1 Algorithms" to 480 minutes or less, or an organization-defined time period.</t>
    </r>
    <r>
      <rPr>
        <sz val="11"/>
        <color rgb="FF000000"/>
        <rFont val="Calibri"/>
      </rPr>
      <t xml:space="preserve">
</t>
    </r>
    <r>
      <rPr>
        <sz val="11"/>
        <color rgb="FF000000"/>
        <rFont val="Calibri"/>
      </rPr>
      <t>6. Click "Update".</t>
    </r>
  </si>
  <si>
    <r>
      <rPr>
        <sz val="11"/>
        <color rgb="FF000000"/>
        <rFont val="Calibri"/>
      </rPr>
      <t>The IPsec security association (SA) and its corresponding key will expire either after the number of seconds or amount of traffic volume has exceeded the configured limit. A new SA is negotiated before the lifetime threshold of the existing SA is reached to ensure that a new SA is ready for use when the old one expires. The longer the lifetime of the IPsec SA, the longer the lifetime of the session key used to protect IP traffic. The SA is less secure with a longer lifetime because an attacker has a greater opportunity to collect traffic encrypted by the same key and subject it to cryptanalysis. However, a shorter lifetime causes IPsec peers to renegotiate Phase II more often resulting in the expenditure of additional resources.</t>
    </r>
    <r>
      <rPr>
        <sz val="11"/>
        <color rgb="FF000000"/>
        <rFont val="Calibri"/>
      </rPr>
      <t xml:space="preserve">
</t>
    </r>
    <r>
      <rPr>
        <sz val="11"/>
        <color rgb="FF000000"/>
        <rFont val="Calibri"/>
      </rPr>
      <t>Specify the lifetime (in seconds) of an Internet Key Exchange (IKE) SA. When the SA expires, it is replaced by a new SA, the security parameter index (SPI), or terminated if the peer cannot be contacted for renegotiation.</t>
    </r>
  </si>
  <si>
    <r>
      <rPr>
        <sz val="11"/>
        <color rgb="FF000000"/>
        <rFont val="Calibri"/>
      </rPr>
      <t>From the BIG-IP GUI:</t>
    </r>
    <r>
      <rPr>
        <sz val="11"/>
        <color rgb="FF000000"/>
        <rFont val="Calibri"/>
      </rPr>
      <t xml:space="preserve">
</t>
    </r>
    <r>
      <rPr>
        <sz val="11"/>
        <color rgb="FF000000"/>
        <rFont val="Calibri"/>
      </rPr>
      <t>1. Network.</t>
    </r>
    <r>
      <rPr>
        <sz val="11"/>
        <color rgb="FF000000"/>
        <rFont val="Calibri"/>
      </rPr>
      <t xml:space="preserve">
</t>
    </r>
    <r>
      <rPr>
        <sz val="11"/>
        <color rgb="FF000000"/>
        <rFont val="Calibri"/>
      </rPr>
      <t>2. IPsec.</t>
    </r>
    <r>
      <rPr>
        <sz val="11"/>
        <color rgb="FF000000"/>
        <rFont val="Calibri"/>
      </rPr>
      <t xml:space="preserve">
</t>
    </r>
    <r>
      <rPr>
        <sz val="11"/>
        <color rgb="FF000000"/>
        <rFont val="Calibri"/>
      </rPr>
      <t>3. IKE Peers.</t>
    </r>
    <r>
      <rPr>
        <sz val="11"/>
        <color rgb="FF000000"/>
        <rFont val="Calibri"/>
      </rPr>
      <t xml:space="preserve">
</t>
    </r>
    <r>
      <rPr>
        <sz val="11"/>
        <color rgb="FF000000"/>
        <rFont val="Calibri"/>
      </rPr>
      <t>4. Click on the Name of the IKE peer.</t>
    </r>
    <r>
      <rPr>
        <sz val="11"/>
        <color rgb="FF000000"/>
        <rFont val="Calibri"/>
      </rPr>
      <t xml:space="preserve">
</t>
    </r>
    <r>
      <rPr>
        <sz val="11"/>
        <color rgb="FF000000"/>
        <rFont val="Calibri"/>
      </rPr>
      <t>5. Verify that the value for "Lifetime" under "IKE Phase 1 Algorithms" is set to 480 minutes or less, or an organization-defined time period.</t>
    </r>
    <r>
      <rPr>
        <sz val="11"/>
        <color rgb="FF000000"/>
        <rFont val="Calibri"/>
      </rPr>
      <t xml:space="preserve">
</t>
    </r>
    <r>
      <rPr>
        <sz val="11"/>
        <color rgb="FF000000"/>
        <rFont val="Calibri"/>
      </rPr>
      <t>If the BIG-IP appliance is not configured to renegotiate the security association after 8 hours or less, or an organization-defined period, this is a finding.</t>
    </r>
  </si>
  <si>
    <t>V-266284</t>
  </si>
  <si>
    <r>
      <rPr>
        <sz val="11"/>
        <rFont val="Calibri"/>
      </rPr>
      <t>The F5 BIG-IP appliance IPsec VPN must renegotiate the IKE Phase 2 security association after eight hours or less.</t>
    </r>
  </si>
  <si>
    <r>
      <rPr>
        <sz val="11"/>
        <color rgb="FF000000"/>
        <rFont val="Calibri"/>
      </rPr>
      <t>From the BIG-IP GUI:</t>
    </r>
    <r>
      <rPr>
        <sz val="11"/>
        <color rgb="FF000000"/>
        <rFont val="Calibri"/>
      </rPr>
      <t xml:space="preserve">
</t>
    </r>
    <r>
      <rPr>
        <sz val="11"/>
        <color rgb="FF000000"/>
        <rFont val="Calibri"/>
      </rPr>
      <t>1. Network.</t>
    </r>
    <r>
      <rPr>
        <sz val="11"/>
        <color rgb="FF000000"/>
        <rFont val="Calibri"/>
      </rPr>
      <t xml:space="preserve">
</t>
    </r>
    <r>
      <rPr>
        <sz val="11"/>
        <color rgb="FF000000"/>
        <rFont val="Calibri"/>
      </rPr>
      <t>2. IPsec.</t>
    </r>
    <r>
      <rPr>
        <sz val="11"/>
        <color rgb="FF000000"/>
        <rFont val="Calibri"/>
      </rPr>
      <t xml:space="preserve">
</t>
    </r>
    <r>
      <rPr>
        <sz val="11"/>
        <color rgb="FF000000"/>
        <rFont val="Calibri"/>
      </rPr>
      <t>3. IPsec Policies.</t>
    </r>
    <r>
      <rPr>
        <sz val="11"/>
        <color rgb="FF000000"/>
        <rFont val="Calibri"/>
      </rPr>
      <t xml:space="preserve">
</t>
    </r>
    <r>
      <rPr>
        <sz val="11"/>
        <color rgb="FF000000"/>
        <rFont val="Calibri"/>
      </rPr>
      <t>4. Click on the name of the IPsec Policy.</t>
    </r>
    <r>
      <rPr>
        <sz val="11"/>
        <color rgb="FF000000"/>
        <rFont val="Calibri"/>
      </rPr>
      <t xml:space="preserve">
</t>
    </r>
    <r>
      <rPr>
        <sz val="11"/>
        <color rgb="FF000000"/>
        <rFont val="Calibri"/>
      </rPr>
      <t>5. Configure the value for "Lifetime" under "IKE Phase 2" to 480 minutes or less.</t>
    </r>
    <r>
      <rPr>
        <sz val="11"/>
        <color rgb="FF000000"/>
        <rFont val="Calibri"/>
      </rPr>
      <t xml:space="preserve">
</t>
    </r>
    <r>
      <rPr>
        <sz val="11"/>
        <color rgb="FF000000"/>
        <rFont val="Calibri"/>
      </rPr>
      <t>6. Click "Update".</t>
    </r>
  </si>
  <si>
    <r>
      <rPr>
        <sz val="11"/>
        <color rgb="FF000000"/>
        <rFont val="Calibri"/>
      </rPr>
      <t>When a VPN gateway creates an IPsec Security Association (SA), resources must be allocated to maintain the SA. These resources are wasted during periods of IPsec endpoint inactivity, which could result in the gateway’s inability to create new SAs for other endpoints, thereby preventing new sessions from connecting. The Internet Key Exchange (IKE) idle timeout may also be set to allow SAs associated with inactive endpoints to be deleted before the SA lifetime has expired, although this setting is not recommended at this time. The value of one hour or less is a common best practice.</t>
    </r>
  </si>
  <si>
    <r>
      <rPr>
        <sz val="11"/>
        <color rgb="FF000000"/>
        <rFont val="Calibri"/>
      </rPr>
      <t>From the BIG-IP GUI:</t>
    </r>
    <r>
      <rPr>
        <sz val="11"/>
        <color rgb="FF000000"/>
        <rFont val="Calibri"/>
      </rPr>
      <t xml:space="preserve">
</t>
    </r>
    <r>
      <rPr>
        <sz val="11"/>
        <color rgb="FF000000"/>
        <rFont val="Calibri"/>
      </rPr>
      <t>1. Network.</t>
    </r>
    <r>
      <rPr>
        <sz val="11"/>
        <color rgb="FF000000"/>
        <rFont val="Calibri"/>
      </rPr>
      <t xml:space="preserve">
</t>
    </r>
    <r>
      <rPr>
        <sz val="11"/>
        <color rgb="FF000000"/>
        <rFont val="Calibri"/>
      </rPr>
      <t>2. IPsec.</t>
    </r>
    <r>
      <rPr>
        <sz val="11"/>
        <color rgb="FF000000"/>
        <rFont val="Calibri"/>
      </rPr>
      <t xml:space="preserve">
</t>
    </r>
    <r>
      <rPr>
        <sz val="11"/>
        <color rgb="FF000000"/>
        <rFont val="Calibri"/>
      </rPr>
      <t>3. IPsec Policies.</t>
    </r>
    <r>
      <rPr>
        <sz val="11"/>
        <color rgb="FF000000"/>
        <rFont val="Calibri"/>
      </rPr>
      <t xml:space="preserve">
</t>
    </r>
    <r>
      <rPr>
        <sz val="11"/>
        <color rgb="FF000000"/>
        <rFont val="Calibri"/>
      </rPr>
      <t>4. Click on the name of the IPsec Policy.</t>
    </r>
    <r>
      <rPr>
        <sz val="11"/>
        <color rgb="FF000000"/>
        <rFont val="Calibri"/>
      </rPr>
      <t xml:space="preserve">
</t>
    </r>
    <r>
      <rPr>
        <sz val="11"/>
        <color rgb="FF000000"/>
        <rFont val="Calibri"/>
      </rPr>
      <t>5. Verify that the value for "Lifetime" under "IKE Phase 2" is set to 480 minutes or less.</t>
    </r>
    <r>
      <rPr>
        <sz val="11"/>
        <color rgb="FF000000"/>
        <rFont val="Calibri"/>
      </rPr>
      <t xml:space="preserve">
</t>
    </r>
    <r>
      <rPr>
        <sz val="11"/>
        <color rgb="FF000000"/>
        <rFont val="Calibri"/>
      </rPr>
      <t>If the BIG-IP appliance is not configured to renegotiate the security association after 8 hours or less, this is a finding.</t>
    </r>
  </si>
  <si>
    <t>V-266285</t>
  </si>
  <si>
    <r>
      <rPr>
        <sz val="11"/>
        <rFont val="Calibri"/>
      </rPr>
      <t>For accounts using password authentication, the F5 BIG-IP appliance site-to-site IPsec VPN Gateway must use SHA-2 or later protocol to protect the integrity of the password authentication process.</t>
    </r>
  </si>
  <si>
    <r>
      <rPr>
        <sz val="11"/>
        <color rgb="FF000000"/>
        <rFont val="Calibri"/>
      </rPr>
      <t>From the BIG-IP GUI:</t>
    </r>
    <r>
      <rPr>
        <sz val="11"/>
        <color rgb="FF000000"/>
        <rFont val="Calibri"/>
      </rPr>
      <t xml:space="preserve">
</t>
    </r>
    <r>
      <rPr>
        <sz val="11"/>
        <color rgb="FF000000"/>
        <rFont val="Calibri"/>
      </rPr>
      <t>1. Network.</t>
    </r>
    <r>
      <rPr>
        <sz val="11"/>
        <color rgb="FF000000"/>
        <rFont val="Calibri"/>
      </rPr>
      <t xml:space="preserve">
</t>
    </r>
    <r>
      <rPr>
        <sz val="11"/>
        <color rgb="FF000000"/>
        <rFont val="Calibri"/>
      </rPr>
      <t>2. IPsec.</t>
    </r>
    <r>
      <rPr>
        <sz val="11"/>
        <color rgb="FF000000"/>
        <rFont val="Calibri"/>
      </rPr>
      <t xml:space="preserve">
</t>
    </r>
    <r>
      <rPr>
        <sz val="11"/>
        <color rgb="FF000000"/>
        <rFont val="Calibri"/>
      </rPr>
      <t>3. IKE Peers.</t>
    </r>
    <r>
      <rPr>
        <sz val="11"/>
        <color rgb="FF000000"/>
        <rFont val="Calibri"/>
      </rPr>
      <t xml:space="preserve">
</t>
    </r>
    <r>
      <rPr>
        <sz val="11"/>
        <color rgb="FF000000"/>
        <rFont val="Calibri"/>
      </rPr>
      <t>4. Click on the Name of the IKE peer.</t>
    </r>
    <r>
      <rPr>
        <sz val="11"/>
        <color rgb="FF000000"/>
        <rFont val="Calibri"/>
      </rPr>
      <t xml:space="preserve">
</t>
    </r>
    <r>
      <rPr>
        <sz val="11"/>
        <color rgb="FF000000"/>
        <rFont val="Calibri"/>
      </rPr>
      <t>5. Configure the value for "Authentication Algorithm" under "IKE Phase 1 Algorithms" to "SHA-256" or higher.</t>
    </r>
    <r>
      <rPr>
        <sz val="11"/>
        <color rgb="FF000000"/>
        <rFont val="Calibri"/>
      </rPr>
      <t xml:space="preserve">
</t>
    </r>
    <r>
      <rPr>
        <sz val="11"/>
        <color rgb="FF000000"/>
        <rFont val="Calibri"/>
      </rPr>
      <t>6. Click "Update".</t>
    </r>
  </si>
  <si>
    <r>
      <rPr>
        <sz val="11"/>
        <color rgb="FF000000"/>
        <rFont val="Calibri"/>
      </rPr>
      <t>Passwords need to be protected at all times, and encryption is the standard method for protecting passwords. If passwords are not encrypted, they can be plainly read (i.e., clear text) and easily compromised. Use of passwords for authentication is intended only for limited situations and must not be used as a replacement for two-factor CAC-enabled authentication.</t>
    </r>
    <r>
      <rPr>
        <sz val="11"/>
        <color rgb="FF000000"/>
        <rFont val="Calibri"/>
      </rPr>
      <t xml:space="preserve">
</t>
    </r>
    <r>
      <rPr>
        <sz val="11"/>
        <color rgb="FF000000"/>
        <rFont val="Calibri"/>
      </rPr>
      <t>Although allowed by SP800-131Ar2 for some applications, SHA-1 is considered a compromised hashing standard and is being phased out of use by industry and government standards. Unless required for legacy use, DOD systems must not be configured to use SHA-2 for integrity of remote access sessions.</t>
    </r>
    <r>
      <rPr>
        <sz val="11"/>
        <color rgb="FF000000"/>
        <rFont val="Calibri"/>
      </rPr>
      <t xml:space="preserve">
</t>
    </r>
    <r>
      <rPr>
        <sz val="11"/>
        <color rgb="FF000000"/>
        <rFont val="Calibri"/>
      </rPr>
      <t>The information system must specify the hash algorithm used for authenticating passwords. Implementation of this requirement requires configuration of FIPS-approved cipher block algorithm and block cipher modes for encryption.</t>
    </r>
    <r>
      <rPr>
        <sz val="11"/>
        <color rgb="FF000000"/>
        <rFont val="Calibri"/>
      </rPr>
      <t xml:space="preserve">
</t>
    </r>
    <r>
      <rPr>
        <sz val="11"/>
        <color rgb="FF000000"/>
        <rFont val="Calibri"/>
      </rPr>
      <t>Pre-shared key cipher suites may only be used in networks where both the client and server belong to the same organization. Cipher suites using pre-shared keys must not be used with TLS 1.0 or 1.1 and must not be used with TLS 1.2 when a government client or server communicates with nongovernment systems.</t>
    </r>
  </si>
  <si>
    <r>
      <rPr>
        <sz val="11"/>
        <color rgb="FF000000"/>
        <rFont val="Calibri"/>
      </rPr>
      <t>From the BIG-IP GUI:</t>
    </r>
    <r>
      <rPr>
        <sz val="11"/>
        <color rgb="FF000000"/>
        <rFont val="Calibri"/>
      </rPr>
      <t xml:space="preserve">
</t>
    </r>
    <r>
      <rPr>
        <sz val="11"/>
        <color rgb="FF000000"/>
        <rFont val="Calibri"/>
      </rPr>
      <t>1. Network.</t>
    </r>
    <r>
      <rPr>
        <sz val="11"/>
        <color rgb="FF000000"/>
        <rFont val="Calibri"/>
      </rPr>
      <t xml:space="preserve">
</t>
    </r>
    <r>
      <rPr>
        <sz val="11"/>
        <color rgb="FF000000"/>
        <rFont val="Calibri"/>
      </rPr>
      <t>2. IPsec.</t>
    </r>
    <r>
      <rPr>
        <sz val="11"/>
        <color rgb="FF000000"/>
        <rFont val="Calibri"/>
      </rPr>
      <t xml:space="preserve">
</t>
    </r>
    <r>
      <rPr>
        <sz val="11"/>
        <color rgb="FF000000"/>
        <rFont val="Calibri"/>
      </rPr>
      <t>3. IKE Peers.</t>
    </r>
    <r>
      <rPr>
        <sz val="11"/>
        <color rgb="FF000000"/>
        <rFont val="Calibri"/>
      </rPr>
      <t xml:space="preserve">
</t>
    </r>
    <r>
      <rPr>
        <sz val="11"/>
        <color rgb="FF000000"/>
        <rFont val="Calibri"/>
      </rPr>
      <t>4. Click on the Name of the IKE peer.</t>
    </r>
    <r>
      <rPr>
        <sz val="11"/>
        <color rgb="FF000000"/>
        <rFont val="Calibri"/>
      </rPr>
      <t xml:space="preserve">
</t>
    </r>
    <r>
      <rPr>
        <sz val="11"/>
        <color rgb="FF000000"/>
        <rFont val="Calibri"/>
      </rPr>
      <t>5. Verify that the value for "Authentication Algorithm" under "IKE Phase 1 Algorithms" is set to "SHA-256" or higher.</t>
    </r>
    <r>
      <rPr>
        <sz val="11"/>
        <color rgb="FF000000"/>
        <rFont val="Calibri"/>
      </rPr>
      <t xml:space="preserve">
</t>
    </r>
    <r>
      <rPr>
        <sz val="11"/>
        <color rgb="FF000000"/>
        <rFont val="Calibri"/>
      </rPr>
      <t>If the BIG-IP appliance is not configured to use SHA-2 or later protocol to protect the integrity of the password authentication process, this is a finding.</t>
    </r>
  </si>
  <si>
    <t>V-266286</t>
  </si>
  <si>
    <r>
      <rPr>
        <sz val="11"/>
        <rFont val="Calibri"/>
      </rPr>
      <t>The F5 BIG-IP appliance IPsec VPN must use cryptographic algorithms approved by NSA to protect NSS when transporting classified traffic across an unclassified network.</t>
    </r>
  </si>
  <si>
    <r>
      <rPr>
        <sz val="11"/>
        <color rgb="FF000000"/>
        <rFont val="Calibri"/>
      </rPr>
      <t>From the BIG-IP GUI:</t>
    </r>
    <r>
      <rPr>
        <sz val="11"/>
        <color rgb="FF000000"/>
        <rFont val="Calibri"/>
      </rPr>
      <t xml:space="preserve">
</t>
    </r>
    <r>
      <rPr>
        <sz val="11"/>
        <color rgb="FF000000"/>
        <rFont val="Calibri"/>
      </rPr>
      <t>1. Network.</t>
    </r>
    <r>
      <rPr>
        <sz val="11"/>
        <color rgb="FF000000"/>
        <rFont val="Calibri"/>
      </rPr>
      <t xml:space="preserve">
</t>
    </r>
    <r>
      <rPr>
        <sz val="11"/>
        <color rgb="FF000000"/>
        <rFont val="Calibri"/>
      </rPr>
      <t>2. IPsec.</t>
    </r>
    <r>
      <rPr>
        <sz val="11"/>
        <color rgb="FF000000"/>
        <rFont val="Calibri"/>
      </rPr>
      <t xml:space="preserve">
</t>
    </r>
    <r>
      <rPr>
        <sz val="11"/>
        <color rgb="FF000000"/>
        <rFont val="Calibri"/>
      </rPr>
      <t>3. IKE Peers.</t>
    </r>
    <r>
      <rPr>
        <sz val="11"/>
        <color rgb="FF000000"/>
        <rFont val="Calibri"/>
      </rPr>
      <t xml:space="preserve">
</t>
    </r>
    <r>
      <rPr>
        <sz val="11"/>
        <color rgb="FF000000"/>
        <rFont val="Calibri"/>
      </rPr>
      <t>4. Click on the name of the IKE peer.</t>
    </r>
    <r>
      <rPr>
        <sz val="11"/>
        <color rgb="FF000000"/>
        <rFont val="Calibri"/>
      </rPr>
      <t xml:space="preserve">
</t>
    </r>
    <r>
      <rPr>
        <sz val="11"/>
        <color rgb="FF000000"/>
        <rFont val="Calibri"/>
      </rPr>
      <t>5. Configure "IKE Phase 1 Algorithms" to use cryptographic algorithms approved by NSA to protect NSS when transporting classified traffic across an unclassified network.</t>
    </r>
    <r>
      <rPr>
        <sz val="11"/>
        <color rgb="FF000000"/>
        <rFont val="Calibri"/>
      </rPr>
      <t xml:space="preserve">
</t>
    </r>
    <r>
      <rPr>
        <sz val="11"/>
        <color rgb="FF000000"/>
        <rFont val="Calibri"/>
      </rPr>
      <t>6. Click "Update".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Network.</t>
    </r>
    <r>
      <rPr>
        <sz val="11"/>
        <color rgb="FF000000"/>
        <rFont val="Calibri"/>
      </rPr>
      <t xml:space="preserve">
</t>
    </r>
    <r>
      <rPr>
        <sz val="11"/>
        <color rgb="FF000000"/>
        <rFont val="Calibri"/>
      </rPr>
      <t>2. IPsec.</t>
    </r>
    <r>
      <rPr>
        <sz val="11"/>
        <color rgb="FF000000"/>
        <rFont val="Calibri"/>
      </rPr>
      <t xml:space="preserve">
</t>
    </r>
    <r>
      <rPr>
        <sz val="11"/>
        <color rgb="FF000000"/>
        <rFont val="Calibri"/>
      </rPr>
      <t>3. IPsec Policies.</t>
    </r>
    <r>
      <rPr>
        <sz val="11"/>
        <color rgb="FF000000"/>
        <rFont val="Calibri"/>
      </rPr>
      <t xml:space="preserve">
</t>
    </r>
    <r>
      <rPr>
        <sz val="11"/>
        <color rgb="FF000000"/>
        <rFont val="Calibri"/>
      </rPr>
      <t>4. Click on the name of the IPsec Policy.</t>
    </r>
    <r>
      <rPr>
        <sz val="11"/>
        <color rgb="FF000000"/>
        <rFont val="Calibri"/>
      </rPr>
      <t xml:space="preserve">
</t>
    </r>
    <r>
      <rPr>
        <sz val="11"/>
        <color rgb="FF000000"/>
        <rFont val="Calibri"/>
      </rPr>
      <t>5. Configure "IKE Phase 2" to use cryptographic algorithms approved by NSA to protect NSS when transporting classified traffic across an unclassified network.</t>
    </r>
    <r>
      <rPr>
        <sz val="11"/>
        <color rgb="FF000000"/>
        <rFont val="Calibri"/>
      </rPr>
      <t xml:space="preserve">
</t>
    </r>
    <r>
      <rPr>
        <sz val="11"/>
        <color rgb="FF000000"/>
        <rFont val="Calibri"/>
      </rPr>
      <t>6. Click "Update".</t>
    </r>
  </si>
  <si>
    <r>
      <rPr>
        <sz val="11"/>
        <color rgb="FF000000"/>
        <rFont val="Calibri"/>
      </rPr>
      <t>Use of weak or untested encryption algorithms undermines the purposes of using encryption to protect data. The VPN gateway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NIST cryptographic algorithms approved by NSA to protect NSS. Based on an analysis of the impact of quantum computing, cryptographic algorithms specified by CNSSP-15 and approved for use in products in the CSfC program, the approved algorithms have been changed to more stringent protocols configure with increased bit sizes and other secure characteristics to protect against quantum computing threats. The Commercial National Security Algorithm Suite (CNSA Suite) replaces Suite B.</t>
    </r>
  </si>
  <si>
    <r>
      <rPr>
        <sz val="11"/>
        <color rgb="FF000000"/>
        <rFont val="Calibri"/>
      </rPr>
      <t>From the BIG-IP GUI:</t>
    </r>
    <r>
      <rPr>
        <sz val="11"/>
        <color rgb="FF000000"/>
        <rFont val="Calibri"/>
      </rPr>
      <t xml:space="preserve">
</t>
    </r>
    <r>
      <rPr>
        <sz val="11"/>
        <color rgb="FF000000"/>
        <rFont val="Calibri"/>
      </rPr>
      <t>1. Network.</t>
    </r>
    <r>
      <rPr>
        <sz val="11"/>
        <color rgb="FF000000"/>
        <rFont val="Calibri"/>
      </rPr>
      <t xml:space="preserve">
</t>
    </r>
    <r>
      <rPr>
        <sz val="11"/>
        <color rgb="FF000000"/>
        <rFont val="Calibri"/>
      </rPr>
      <t>2. IPsec.</t>
    </r>
    <r>
      <rPr>
        <sz val="11"/>
        <color rgb="FF000000"/>
        <rFont val="Calibri"/>
      </rPr>
      <t xml:space="preserve">
</t>
    </r>
    <r>
      <rPr>
        <sz val="11"/>
        <color rgb="FF000000"/>
        <rFont val="Calibri"/>
      </rPr>
      <t>3. IKE Peers.</t>
    </r>
    <r>
      <rPr>
        <sz val="11"/>
        <color rgb="FF000000"/>
        <rFont val="Calibri"/>
      </rPr>
      <t xml:space="preserve">
</t>
    </r>
    <r>
      <rPr>
        <sz val="11"/>
        <color rgb="FF000000"/>
        <rFont val="Calibri"/>
      </rPr>
      <t>4. Click on the name of the IKE peer.</t>
    </r>
    <r>
      <rPr>
        <sz val="11"/>
        <color rgb="FF000000"/>
        <rFont val="Calibri"/>
      </rPr>
      <t xml:space="preserve">
</t>
    </r>
    <r>
      <rPr>
        <sz val="11"/>
        <color rgb="FF000000"/>
        <rFont val="Calibri"/>
      </rPr>
      <t>5. Verify that "IKE Phase 1 Algorithms" use cryptographic algorithms approved by NSA to protect NSS when transporting classified traffic across an unclassified network.</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Network.</t>
    </r>
    <r>
      <rPr>
        <sz val="11"/>
        <color rgb="FF000000"/>
        <rFont val="Calibri"/>
      </rPr>
      <t xml:space="preserve">
</t>
    </r>
    <r>
      <rPr>
        <sz val="11"/>
        <color rgb="FF000000"/>
        <rFont val="Calibri"/>
      </rPr>
      <t>2. IPsec.</t>
    </r>
    <r>
      <rPr>
        <sz val="11"/>
        <color rgb="FF000000"/>
        <rFont val="Calibri"/>
      </rPr>
      <t xml:space="preserve">
</t>
    </r>
    <r>
      <rPr>
        <sz val="11"/>
        <color rgb="FF000000"/>
        <rFont val="Calibri"/>
      </rPr>
      <t>3. IPsec Policies.</t>
    </r>
    <r>
      <rPr>
        <sz val="11"/>
        <color rgb="FF000000"/>
        <rFont val="Calibri"/>
      </rPr>
      <t xml:space="preserve">
</t>
    </r>
    <r>
      <rPr>
        <sz val="11"/>
        <color rgb="FF000000"/>
        <rFont val="Calibri"/>
      </rPr>
      <t>4. Click on the name of the IPsec Policy.</t>
    </r>
    <r>
      <rPr>
        <sz val="11"/>
        <color rgb="FF000000"/>
        <rFont val="Calibri"/>
      </rPr>
      <t xml:space="preserve">
</t>
    </r>
    <r>
      <rPr>
        <sz val="11"/>
        <color rgb="FF000000"/>
        <rFont val="Calibri"/>
      </rPr>
      <t>5. Verify that "IKE Phase 2" use cryptographic algorithms approved by NSA to protect NSS when transporting classified traffic across an unclassified network.</t>
    </r>
    <r>
      <rPr>
        <sz val="11"/>
        <color rgb="FF000000"/>
        <rFont val="Calibri"/>
      </rPr>
      <t xml:space="preserve">
</t>
    </r>
    <r>
      <rPr>
        <sz val="11"/>
        <color rgb="FF000000"/>
        <rFont val="Calibri"/>
      </rPr>
      <t>If the BIG-IP appliance is not configured to use cryptographic algorithms approved by NSA to protect NSS when transporting classified traffic across an unclassified network, this is a finding.</t>
    </r>
  </si>
  <si>
    <t>V-266287</t>
  </si>
  <si>
    <r>
      <rPr>
        <sz val="11"/>
        <rFont val="Calibri"/>
      </rPr>
      <t>The F5 BIG-IP appliance IPsec VPN must be configured to use FIPS-validated SHA-2 or higher for Internet Key Exchange (IKE).</t>
    </r>
  </si>
  <si>
    <r>
      <rPr>
        <sz val="11"/>
        <color rgb="FF000000"/>
        <rFont val="Calibri"/>
      </rPr>
      <t>From the BIG-IP GUI:</t>
    </r>
    <r>
      <rPr>
        <sz val="11"/>
        <color rgb="FF000000"/>
        <rFont val="Calibri"/>
      </rPr>
      <t xml:space="preserve">
</t>
    </r>
    <r>
      <rPr>
        <sz val="11"/>
        <color rgb="FF000000"/>
        <rFont val="Calibri"/>
      </rPr>
      <t>1. Network.</t>
    </r>
    <r>
      <rPr>
        <sz val="11"/>
        <color rgb="FF000000"/>
        <rFont val="Calibri"/>
      </rPr>
      <t xml:space="preserve">
</t>
    </r>
    <r>
      <rPr>
        <sz val="11"/>
        <color rgb="FF000000"/>
        <rFont val="Calibri"/>
      </rPr>
      <t>2. IPsec.</t>
    </r>
    <r>
      <rPr>
        <sz val="11"/>
        <color rgb="FF000000"/>
        <rFont val="Calibri"/>
      </rPr>
      <t xml:space="preserve">
</t>
    </r>
    <r>
      <rPr>
        <sz val="11"/>
        <color rgb="FF000000"/>
        <rFont val="Calibri"/>
      </rPr>
      <t>3. IKE Peers.</t>
    </r>
    <r>
      <rPr>
        <sz val="11"/>
        <color rgb="FF000000"/>
        <rFont val="Calibri"/>
      </rPr>
      <t xml:space="preserve">
</t>
    </r>
    <r>
      <rPr>
        <sz val="11"/>
        <color rgb="FF000000"/>
        <rFont val="Calibri"/>
      </rPr>
      <t>4. Click on the name of the IKE peer.</t>
    </r>
    <r>
      <rPr>
        <sz val="11"/>
        <color rgb="FF000000"/>
        <rFont val="Calibri"/>
      </rPr>
      <t xml:space="preserve">
</t>
    </r>
    <r>
      <rPr>
        <sz val="11"/>
        <color rgb="FF000000"/>
        <rFont val="Calibri"/>
      </rPr>
      <t>5. Configure SHA-2 or higher for the following:</t>
    </r>
    <r>
      <rPr>
        <sz val="11"/>
        <color rgb="FF000000"/>
        <rFont val="Calibri"/>
      </rPr>
      <t xml:space="preserve">
</t>
    </r>
    <r>
      <rPr>
        <sz val="11"/>
        <color rgb="FF000000"/>
        <rFont val="Calibri"/>
      </rPr>
      <t>IKE Phase 1 Algorithms &gt;&gt; Authentication Algorithm</t>
    </r>
    <r>
      <rPr>
        <sz val="11"/>
        <color rgb="FF000000"/>
        <rFont val="Calibri"/>
      </rPr>
      <t xml:space="preserve">
</t>
    </r>
    <r>
      <rPr>
        <sz val="11"/>
        <color rgb="FF000000"/>
        <rFont val="Calibri"/>
      </rPr>
      <t>IKE Phase 1 Algorithms &gt;&gt; Pseudo-Random Function</t>
    </r>
    <r>
      <rPr>
        <sz val="11"/>
        <color rgb="FF000000"/>
        <rFont val="Calibri"/>
      </rPr>
      <t xml:space="preserve">
</t>
    </r>
    <r>
      <rPr>
        <sz val="11"/>
        <color rgb="FF000000"/>
        <rFont val="Calibri"/>
      </rPr>
      <t>6. Click "Update".</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Network.</t>
    </r>
    <r>
      <rPr>
        <sz val="11"/>
        <color rgb="FF000000"/>
        <rFont val="Calibri"/>
      </rPr>
      <t xml:space="preserve">
</t>
    </r>
    <r>
      <rPr>
        <sz val="11"/>
        <color rgb="FF000000"/>
        <rFont val="Calibri"/>
      </rPr>
      <t>2. IPsec.</t>
    </r>
    <r>
      <rPr>
        <sz val="11"/>
        <color rgb="FF000000"/>
        <rFont val="Calibri"/>
      </rPr>
      <t xml:space="preserve">
</t>
    </r>
    <r>
      <rPr>
        <sz val="11"/>
        <color rgb="FF000000"/>
        <rFont val="Calibri"/>
      </rPr>
      <t>3. IPsec Policies.</t>
    </r>
    <r>
      <rPr>
        <sz val="11"/>
        <color rgb="FF000000"/>
        <rFont val="Calibri"/>
      </rPr>
      <t xml:space="preserve">
</t>
    </r>
    <r>
      <rPr>
        <sz val="11"/>
        <color rgb="FF000000"/>
        <rFont val="Calibri"/>
      </rPr>
      <t>4. Click the name of the IPsec Policy.</t>
    </r>
    <r>
      <rPr>
        <sz val="11"/>
        <color rgb="FF000000"/>
        <rFont val="Calibri"/>
      </rPr>
      <t xml:space="preserve">
</t>
    </r>
    <r>
      <rPr>
        <sz val="11"/>
        <color rgb="FF000000"/>
        <rFont val="Calibri"/>
      </rPr>
      <t>5. Configure SHA-2 or higher for the following:</t>
    </r>
    <r>
      <rPr>
        <sz val="11"/>
        <color rgb="FF000000"/>
        <rFont val="Calibri"/>
      </rPr>
      <t xml:space="preserve">
</t>
    </r>
    <r>
      <rPr>
        <sz val="11"/>
        <color rgb="FF000000"/>
        <rFont val="Calibri"/>
      </rPr>
      <t>IKE Phase 2 &gt;&gt; Authentication Algorithm</t>
    </r>
    <r>
      <rPr>
        <sz val="11"/>
        <color rgb="FF000000"/>
        <rFont val="Calibri"/>
      </rPr>
      <t xml:space="preserve">
</t>
    </r>
    <r>
      <rPr>
        <sz val="11"/>
        <color rgb="FF000000"/>
        <rFont val="Calibri"/>
      </rPr>
      <t>6. Click "Update".</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</si>
  <si>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Although allowed by SP800-131Ar2 for some applications, SHA-1 is considered a compromised hashing standard and is being phased out of use by industry and government standards. Unless required for legacy use, DOD systems must not be configured to use SHA-2 for integrity of remote access sessions.</t>
    </r>
    <r>
      <rPr>
        <sz val="11"/>
        <color rgb="FF000000"/>
        <rFont val="Calibri"/>
      </rPr>
      <t xml:space="preserve">
</t>
    </r>
    <r>
      <rPr>
        <sz val="11"/>
        <color rgb="FF000000"/>
        <rFont val="Calibri"/>
      </rPr>
      <t>This requirement is applicable to the configuration of IKE Phase 1 and Phase 2.</t>
    </r>
  </si>
  <si>
    <r>
      <rPr>
        <sz val="11"/>
        <color rgb="FF000000"/>
        <rFont val="Calibri"/>
      </rPr>
      <t>From the BIG-IP GUI:</t>
    </r>
    <r>
      <rPr>
        <sz val="11"/>
        <color rgb="FF000000"/>
        <rFont val="Calibri"/>
      </rPr>
      <t xml:space="preserve">
</t>
    </r>
    <r>
      <rPr>
        <sz val="11"/>
        <color rgb="FF000000"/>
        <rFont val="Calibri"/>
      </rPr>
      <t>1. Network.</t>
    </r>
    <r>
      <rPr>
        <sz val="11"/>
        <color rgb="FF000000"/>
        <rFont val="Calibri"/>
      </rPr>
      <t xml:space="preserve">
</t>
    </r>
    <r>
      <rPr>
        <sz val="11"/>
        <color rgb="FF000000"/>
        <rFont val="Calibri"/>
      </rPr>
      <t>2. IPsec.</t>
    </r>
    <r>
      <rPr>
        <sz val="11"/>
        <color rgb="FF000000"/>
        <rFont val="Calibri"/>
      </rPr>
      <t xml:space="preserve">
</t>
    </r>
    <r>
      <rPr>
        <sz val="11"/>
        <color rgb="FF000000"/>
        <rFont val="Calibri"/>
      </rPr>
      <t>3. IKE Peers.</t>
    </r>
    <r>
      <rPr>
        <sz val="11"/>
        <color rgb="FF000000"/>
        <rFont val="Calibri"/>
      </rPr>
      <t xml:space="preserve">
</t>
    </r>
    <r>
      <rPr>
        <sz val="11"/>
        <color rgb="FF000000"/>
        <rFont val="Calibri"/>
      </rPr>
      <t>4. Click on the name of the IKE peer.</t>
    </r>
    <r>
      <rPr>
        <sz val="11"/>
        <color rgb="FF000000"/>
        <rFont val="Calibri"/>
      </rPr>
      <t xml:space="preserve">
</t>
    </r>
    <r>
      <rPr>
        <sz val="11"/>
        <color rgb="FF000000"/>
        <rFont val="Calibri"/>
      </rPr>
      <t>5. Verify "SHA-1" or "MD5" is not selected for the following:</t>
    </r>
    <r>
      <rPr>
        <sz val="11"/>
        <color rgb="FF000000"/>
        <rFont val="Calibri"/>
      </rPr>
      <t xml:space="preserve">
</t>
    </r>
    <r>
      <rPr>
        <sz val="11"/>
        <color rgb="FF000000"/>
        <rFont val="Calibri"/>
      </rPr>
      <t>IKE Phase 1 Algorithms &gt;&gt; Authentication Algorithm</t>
    </r>
    <r>
      <rPr>
        <sz val="11"/>
        <color rgb="FF000000"/>
        <rFont val="Calibri"/>
      </rPr>
      <t xml:space="preserve">
</t>
    </r>
    <r>
      <rPr>
        <sz val="11"/>
        <color rgb="FF000000"/>
        <rFont val="Calibri"/>
      </rPr>
      <t>IKE Phase 1 Algorithms &gt;&gt; Pseudo-Random Function</t>
    </r>
    <r>
      <rPr>
        <sz val="11"/>
        <color rgb="FF000000"/>
        <rFont val="Calibri"/>
      </rPr>
      <t xml:space="preserve">
</t>
    </r>
    <r>
      <rPr>
        <sz val="11"/>
        <color rgb="FF000000"/>
        <rFont val="Calibri"/>
      </rPr>
      <t>From the BIG-IP GUI:</t>
    </r>
    <r>
      <rPr>
        <sz val="11"/>
        <color rgb="FF000000"/>
        <rFont val="Calibri"/>
      </rPr>
      <t xml:space="preserve">
</t>
    </r>
    <r>
      <rPr>
        <sz val="11"/>
        <color rgb="FF000000"/>
        <rFont val="Calibri"/>
      </rPr>
      <t>1. Network.</t>
    </r>
    <r>
      <rPr>
        <sz val="11"/>
        <color rgb="FF000000"/>
        <rFont val="Calibri"/>
      </rPr>
      <t xml:space="preserve">
</t>
    </r>
    <r>
      <rPr>
        <sz val="11"/>
        <color rgb="FF000000"/>
        <rFont val="Calibri"/>
      </rPr>
      <t>2. IPsec.</t>
    </r>
    <r>
      <rPr>
        <sz val="11"/>
        <color rgb="FF000000"/>
        <rFont val="Calibri"/>
      </rPr>
      <t xml:space="preserve">
</t>
    </r>
    <r>
      <rPr>
        <sz val="11"/>
        <color rgb="FF000000"/>
        <rFont val="Calibri"/>
      </rPr>
      <t>3. IPsec Policies.</t>
    </r>
    <r>
      <rPr>
        <sz val="11"/>
        <color rgb="FF000000"/>
        <rFont val="Calibri"/>
      </rPr>
      <t xml:space="preserve">
</t>
    </r>
    <r>
      <rPr>
        <sz val="11"/>
        <color rgb="FF000000"/>
        <rFont val="Calibri"/>
      </rPr>
      <t>4. Click the name of the IPsec Policy.</t>
    </r>
    <r>
      <rPr>
        <sz val="11"/>
        <color rgb="FF000000"/>
        <rFont val="Calibri"/>
      </rPr>
      <t xml:space="preserve">
</t>
    </r>
    <r>
      <rPr>
        <sz val="11"/>
        <color rgb="FF000000"/>
        <rFont val="Calibri"/>
      </rPr>
      <t>5. Verify "SHA-1" is not selected for the following:</t>
    </r>
    <r>
      <rPr>
        <sz val="11"/>
        <color rgb="FF000000"/>
        <rFont val="Calibri"/>
      </rPr>
      <t xml:space="preserve">
</t>
    </r>
    <r>
      <rPr>
        <sz val="11"/>
        <color rgb="FF000000"/>
        <rFont val="Calibri"/>
      </rPr>
      <t>IKE Phase 2 &gt;&gt; Authentication Algorithm</t>
    </r>
    <r>
      <rPr>
        <sz val="11"/>
        <color rgb="FF000000"/>
        <rFont val="Calibri"/>
      </rPr>
      <t xml:space="preserve">
</t>
    </r>
    <r>
      <rPr>
        <sz val="11"/>
        <color rgb="FF000000"/>
        <rFont val="Calibri"/>
      </rPr>
      <t>If the BIG-IP appliance is not configured to use FIPS-validated SHA-2 or higher for IKE, this is a finding.</t>
    </r>
  </si>
  <si>
    <t>V-266288</t>
  </si>
  <si>
    <r>
      <rPr>
        <sz val="11"/>
        <rFont val="Calibri"/>
      </rPr>
      <t>The F5 BIG-IP appliance IPsec VPN Gateway must specify Perfect Forward Secrecy (PFS) during Internet Key Exchange (IKE) negotiation.</t>
    </r>
  </si>
  <si>
    <r>
      <rPr>
        <sz val="11"/>
        <color rgb="FF000000"/>
        <rFont val="Calibri"/>
      </rPr>
      <t>From the BIG-IP GUI:</t>
    </r>
    <r>
      <rPr>
        <sz val="11"/>
        <color rgb="FF000000"/>
        <rFont val="Calibri"/>
      </rPr>
      <t xml:space="preserve">
</t>
    </r>
    <r>
      <rPr>
        <sz val="11"/>
        <color rgb="FF000000"/>
        <rFont val="Calibri"/>
      </rPr>
      <t>1. Network</t>
    </r>
    <r>
      <rPr>
        <sz val="11"/>
        <color rgb="FF000000"/>
        <rFont val="Calibri"/>
      </rPr>
      <t xml:space="preserve">
</t>
    </r>
    <r>
      <rPr>
        <sz val="11"/>
        <color rgb="FF000000"/>
        <rFont val="Calibri"/>
      </rPr>
      <t>2. IPsec.</t>
    </r>
    <r>
      <rPr>
        <sz val="11"/>
        <color rgb="FF000000"/>
        <rFont val="Calibri"/>
      </rPr>
      <t xml:space="preserve">
</t>
    </r>
    <r>
      <rPr>
        <sz val="11"/>
        <color rgb="FF000000"/>
        <rFont val="Calibri"/>
      </rPr>
      <t>3. IPsec Policies.</t>
    </r>
    <r>
      <rPr>
        <sz val="11"/>
        <color rgb="FF000000"/>
        <rFont val="Calibri"/>
      </rPr>
      <t xml:space="preserve">
</t>
    </r>
    <r>
      <rPr>
        <sz val="11"/>
        <color rgb="FF000000"/>
        <rFont val="Calibri"/>
      </rPr>
      <t>4. Click on the name of the IPsec Policy.</t>
    </r>
    <r>
      <rPr>
        <sz val="11"/>
        <color rgb="FF000000"/>
        <rFont val="Calibri"/>
      </rPr>
      <t xml:space="preserve">
</t>
    </r>
    <r>
      <rPr>
        <sz val="11"/>
        <color rgb="FF000000"/>
        <rFont val="Calibri"/>
      </rPr>
      <t>5. Select any value other than "NONE" in "IKE Phase 2 &gt;&gt; Perfect Forward Secrecy".</t>
    </r>
    <r>
      <rPr>
        <sz val="11"/>
        <color rgb="FF000000"/>
        <rFont val="Calibri"/>
      </rPr>
      <t xml:space="preserve">
</t>
    </r>
    <r>
      <rPr>
        <sz val="11"/>
        <color rgb="FF000000"/>
        <rFont val="Calibri"/>
      </rPr>
      <t>6. Click "Update".</t>
    </r>
  </si>
  <si>
    <r>
      <rPr>
        <sz val="11"/>
        <color rgb="FF000000"/>
        <rFont val="Calibri"/>
      </rPr>
      <t>PFS generates each new encryption key independently from the previous key. Without PFS, compromise of one key will compromise all communications.</t>
    </r>
    <r>
      <rPr>
        <sz val="11"/>
        <color rgb="FF000000"/>
        <rFont val="Calibri"/>
      </rPr>
      <t xml:space="preserve">
</t>
    </r>
    <r>
      <rPr>
        <sz val="11"/>
        <color rgb="FF000000"/>
        <rFont val="Calibri"/>
      </rPr>
      <t>The phase 2 (Quick Mode) Security Association (SA) is used to create an IPsec session key. Hence, its rekey or key regeneration procedure is very important. The phase 2 rekey can be performed with or without PFS. With PFS, every time a new IPsec Security Association is negotiated during the Quick Mode, a new Diffie-Hellman (DH) exchange occurs. The new DH shared secret will be included with original keying material (SYKEID_d, initiator nonce, and responder nonce) from phase 1 for generating a new IPsec session key. If PFS is not used, the IPsec session key will always be completely dependent on the original keying material from the Phase-1. Hence, if an older key is compromised at any time, it is possible that all new keys may be compromised.</t>
    </r>
    <r>
      <rPr>
        <sz val="11"/>
        <color rgb="FF000000"/>
        <rFont val="Calibri"/>
      </rPr>
      <t xml:space="preserve">
</t>
    </r>
    <r>
      <rPr>
        <sz val="11"/>
        <color rgb="FF000000"/>
        <rFont val="Calibri"/>
      </rPr>
      <t>The DH exchange is performed in the same manner as was done in phase 1 (Main or Aggressive Mode). However, the phase 2 exchange is protected by encrypting the phase 2 packets with the key derived from the phase 1 negotiation. Because DH negotiations during phase 2 are encrypted, the new IPsec session key has an added element of secrecy.</t>
    </r>
  </si>
  <si>
    <r>
      <rPr>
        <sz val="11"/>
        <color rgb="FF000000"/>
        <rFont val="Calibri"/>
      </rPr>
      <t>From the BIG-IP GUI:</t>
    </r>
    <r>
      <rPr>
        <sz val="11"/>
        <color rgb="FF000000"/>
        <rFont val="Calibri"/>
      </rPr>
      <t xml:space="preserve">
</t>
    </r>
    <r>
      <rPr>
        <sz val="11"/>
        <color rgb="FF000000"/>
        <rFont val="Calibri"/>
      </rPr>
      <t>1. Network.</t>
    </r>
    <r>
      <rPr>
        <sz val="11"/>
        <color rgb="FF000000"/>
        <rFont val="Calibri"/>
      </rPr>
      <t xml:space="preserve">
</t>
    </r>
    <r>
      <rPr>
        <sz val="11"/>
        <color rgb="FF000000"/>
        <rFont val="Calibri"/>
      </rPr>
      <t>2. IPsec.</t>
    </r>
    <r>
      <rPr>
        <sz val="11"/>
        <color rgb="FF000000"/>
        <rFont val="Calibri"/>
      </rPr>
      <t xml:space="preserve">
</t>
    </r>
    <r>
      <rPr>
        <sz val="11"/>
        <color rgb="FF000000"/>
        <rFont val="Calibri"/>
      </rPr>
      <t>3. IPsec Policies.</t>
    </r>
    <r>
      <rPr>
        <sz val="11"/>
        <color rgb="FF000000"/>
        <rFont val="Calibri"/>
      </rPr>
      <t xml:space="preserve">
</t>
    </r>
    <r>
      <rPr>
        <sz val="11"/>
        <color rgb="FF000000"/>
        <rFont val="Calibri"/>
      </rPr>
      <t>4. Click on the name of the IPsec Policy.</t>
    </r>
    <r>
      <rPr>
        <sz val="11"/>
        <color rgb="FF000000"/>
        <rFont val="Calibri"/>
      </rPr>
      <t xml:space="preserve">
</t>
    </r>
    <r>
      <rPr>
        <sz val="11"/>
        <color rgb="FF000000"/>
        <rFont val="Calibri"/>
      </rPr>
      <t>5. Verify "NONE" is not selected in "IKE Phase 2 &gt;&gt; Perfect Forward Secrecy".</t>
    </r>
    <r>
      <rPr>
        <sz val="11"/>
        <color rgb="FF000000"/>
        <rFont val="Calibri"/>
      </rPr>
      <t xml:space="preserve">
</t>
    </r>
    <r>
      <rPr>
        <sz val="11"/>
        <color rgb="FF000000"/>
        <rFont val="Calibri"/>
      </rPr>
      <t>If the BIG-IP appliance is not configured to specify PFS during IKE negotiation,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</si>
  <si>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</si>
  <si>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</si>
  <si>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</si>
  <si>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</si>
  <si>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</si>
  <si>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</si>
  <si>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</si>
  <si>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</si>
  <si>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</si>
  <si>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</si>
  <si>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</si>
  <si>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</si>
  <si>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</si>
  <si>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</si>
  <si>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</si>
  <si>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</si>
  <si>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</si>
  <si>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</si>
  <si>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</si>
  <si>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</si>
  <si>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</si>
  <si>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</si>
  <si>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</si>
  <si>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</si>
  <si>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</si>
  <si>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</si>
  <si>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</si>
  <si>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</si>
  <si>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</si>
  <si>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F5 BIG-IP TMOS Security Technical Implementation Guide Y25M07</t>
  </si>
  <si>
    <t>Developed By:</t>
  </si>
  <si>
    <t>F5 and Defense Information Systems Agency (DISA) for the US DoD</t>
  </si>
  <si>
    <t>Release Information:</t>
  </si>
  <si>
    <r>
      <rPr>
        <b/>
        <sz val="11"/>
        <color rgb="FF000000"/>
        <rFont val="Calibri"/>
      </rPr>
      <t>Version:</t>
    </r>
    <r>
      <rPr>
        <sz val="11"/>
        <color rgb="FF000000"/>
        <rFont val="Calibri"/>
      </rPr>
      <t xml:space="preserve"> Y25M07    </t>
    </r>
    <r>
      <rPr>
        <b/>
        <sz val="11"/>
        <color rgb="FF000000"/>
        <rFont val="Calibri"/>
      </rPr>
      <t>Date:</t>
    </r>
    <r>
      <rPr>
        <sz val="11"/>
        <color rgb="FF000000"/>
        <rFont val="Calibri"/>
      </rPr>
      <t xml:space="preserve"> 02 July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104</t>
    </r>
  </si>
  <si>
    <t>Download Url:</t>
  </si>
  <si>
    <t>https://www.cyber.mil/stigs</t>
  </si>
  <si>
    <t>Guide Overview:</t>
  </si>
  <si>
    <r>
      <rPr>
        <sz val="11"/>
        <color rgb="FF000000"/>
        <rFont val="Calibri"/>
      </rPr>
      <t>The F5 BIG-IP Security Technical Implementation Guide (STIG) provides security policy and technical configuration requirements for deploying the appliance in the Department of Defense (DOD) networking environment. The BIG-IP appliance provides integrated application delivery services that work together on the same hardware. These services include load balancing, application delivery, SSL off-loading, access control, firewall, virtual private network (VPN), and name resolution services.</t>
    </r>
    <r>
      <rPr>
        <sz val="11"/>
        <color rgb="FF000000"/>
        <rFont val="Calibri"/>
      </rPr>
      <t xml:space="preserve">
</t>
    </r>
    <r>
      <rPr>
        <sz val="11"/>
        <color rgb="FF000000"/>
        <rFont val="Calibri"/>
      </rPr>
      <t>The F5 BIG-IP STIG includes the following: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BIG-IP Network Device Management (NDM)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BIG-IP Advanced Firewall Manager (AFM)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BIG-IP Application Layer Gateway (ALG)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BIG-IP Virtual Private Network (VPN)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BIG-IP Domain Name System (DNS) STIG.</t>
    </r>
    <r>
      <rPr>
        <sz val="11"/>
        <color rgb="FF000000"/>
        <rFont val="Calibri"/>
      </rPr>
      <t xml:space="preserve">
</t>
    </r>
    <r>
      <rPr>
        <sz val="11"/>
        <color rgb="FF000000"/>
        <rFont val="Calibri"/>
      </rPr>
      <t>The core technology for the BIG-IP appliance is the Traffic Management Operating System (TMOS) and logical software modules run within TMOS. Modules within the scope of this STIG include the Local Traffic Manager (LTM), Access Policy Manager (APM), AFM, Advanced Web Application Firewall (AWAF), and DNS.</t>
    </r>
    <r>
      <rPr>
        <sz val="11"/>
        <color rgb="FF000000"/>
        <rFont val="Calibri"/>
      </rPr>
      <t xml:space="preserve">
</t>
    </r>
    <r>
      <rPr>
        <sz val="11"/>
        <color rgb="FF000000"/>
        <rFont val="Calibri"/>
      </rPr>
      <t>The BIG-IP LTM provides traffic management for rapid deployment, optimization, load balancing, and off-loading of sessions between users and application servers. This module is the core for all BIG-IP deployments, and all other modules are used to define profiles and policies that are applied to virtual servers defined in the LTM.</t>
    </r>
    <r>
      <rPr>
        <sz val="11"/>
        <color rgb="FF000000"/>
        <rFont val="Calibri"/>
      </rPr>
      <t xml:space="preserve">
</t>
    </r>
    <r>
      <rPr>
        <sz val="11"/>
        <color rgb="FF000000"/>
        <rFont val="Calibri"/>
      </rPr>
      <t>The BIG-IP APM protects public-facing application by providing secure, policy-based, and contextaware access control. It centralizes and simplifies authentication, authorization, and accounting (AAA) management and covers the Authentication Gateway Service (AGS) requirements to support Federated Single Sign-On (SSO).</t>
    </r>
    <r>
      <rPr>
        <sz val="11"/>
        <color rgb="FF000000"/>
        <rFont val="Calibri"/>
      </rPr>
      <t xml:space="preserve">
</t>
    </r>
    <r>
      <rPr>
        <sz val="11"/>
        <color rgb="FF000000"/>
        <rFont val="Calibri"/>
      </rPr>
      <t>The BIG-IP AFM is a stateful, full-proxy network firewall designed to guard data centers against incoming threats that enter the network. The STIG security requirements ensure firewall policies are implemented to monitor and secure the applications they are configured to protect. Depending on the organization’s needs, users may prefer to put all active rules in a single policy applied at the global context or apply firewall policies for specific virtual servers. The latter allows for applicationspecific policies to be developed and applied only where required. When processing policies and rules on a virtual server, only those specific to the application are processed.</t>
    </r>
    <r>
      <rPr>
        <sz val="11"/>
        <color rgb="FF000000"/>
        <rFont val="Calibri"/>
      </rPr>
      <t xml:space="preserve">
</t>
    </r>
    <r>
      <rPr>
        <sz val="11"/>
        <color rgb="FF000000"/>
        <rFont val="Calibri"/>
      </rPr>
      <t>The BIG-IP AWAF is a web application firewall that protects critical applications and their data by defending against application-specific attacks that bypass conventional firewalls. It protects applications with comprehensive, policy-based web application security that blocks attacks and scales to ensure performance.</t>
    </r>
    <r>
      <rPr>
        <sz val="11"/>
        <color rgb="FF000000"/>
        <rFont val="Calibri"/>
      </rPr>
      <t xml:space="preserve">
</t>
    </r>
    <r>
      <rPr>
        <sz val="11"/>
        <color rgb="FF000000"/>
        <rFont val="Calibri"/>
      </rPr>
      <t>UNCLASSIFIED F5 BIG-IP TMOS STIG Overview DISA 02 July 2025 Developed by F5 and DISA for the DOD</t>
    </r>
    <r>
      <rPr>
        <sz val="11"/>
        <color rgb="FF000000"/>
        <rFont val="Calibri"/>
      </rPr>
      <t xml:space="preserve">
</t>
    </r>
    <r>
      <rPr>
        <sz val="11"/>
        <color rgb="FF000000"/>
        <rFont val="Calibri"/>
      </rPr>
      <t>2 UNCLASSIFIED</t>
    </r>
  </si>
  <si>
    <t>Components:</t>
  </si>
  <si>
    <r>
      <rPr>
        <i/>
        <sz val="11"/>
        <color rgb="FF000000"/>
        <rFont val="Calibri"/>
      </rPr>
      <t>Title:</t>
    </r>
    <r>
      <rPr>
        <sz val="11"/>
        <color rgb="FF000000"/>
        <rFont val="Calibri"/>
      </rPr>
      <t xml:space="preserve"> F5 BIG-IP TMOS DNS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26 September 2024     </t>
    </r>
    <r>
      <rPr>
        <i/>
        <sz val="11"/>
        <color rgb="FF000000"/>
        <rFont val="Calibri"/>
      </rPr>
      <t>Recommendation Count:</t>
    </r>
    <r>
      <rPr>
        <sz val="11"/>
        <color rgb="FF000000"/>
        <rFont val="Calibri"/>
      </rPr>
      <t xml:space="preserve"> 12</t>
    </r>
  </si>
  <si>
    <r>
      <rPr>
        <i/>
        <sz val="11"/>
        <color rgb="FF000000"/>
        <rFont val="Calibri"/>
      </rPr>
      <t>Title:</t>
    </r>
    <r>
      <rPr>
        <sz val="11"/>
        <color rgb="FF000000"/>
        <rFont val="Calibri"/>
      </rPr>
      <t xml:space="preserve"> F5 BIG-IP TMOS NDM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02 July 2025     </t>
    </r>
    <r>
      <rPr>
        <i/>
        <sz val="11"/>
        <color rgb="FF000000"/>
        <rFont val="Calibri"/>
      </rPr>
      <t>Recommendation Count:</t>
    </r>
    <r>
      <rPr>
        <sz val="11"/>
        <color rgb="FF000000"/>
        <rFont val="Calibri"/>
      </rPr>
      <t xml:space="preserve"> 29</t>
    </r>
  </si>
  <si>
    <r>
      <rPr>
        <i/>
        <sz val="11"/>
        <color rgb="FF000000"/>
        <rFont val="Calibri"/>
      </rPr>
      <t>Title:</t>
    </r>
    <r>
      <rPr>
        <sz val="11"/>
        <color rgb="FF000000"/>
        <rFont val="Calibri"/>
      </rPr>
      <t xml:space="preserve"> F5 BIG-IP TMOS ALG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02 July 2025     </t>
    </r>
    <r>
      <rPr>
        <i/>
        <sz val="11"/>
        <color rgb="FF000000"/>
        <rFont val="Calibri"/>
      </rPr>
      <t>Recommendation Count:</t>
    </r>
    <r>
      <rPr>
        <sz val="11"/>
        <color rgb="FF000000"/>
        <rFont val="Calibri"/>
      </rPr>
      <t xml:space="preserve"> 37</t>
    </r>
  </si>
  <si>
    <r>
      <rPr>
        <i/>
        <sz val="11"/>
        <color rgb="FF000000"/>
        <rFont val="Calibri"/>
      </rPr>
      <t>Title:</t>
    </r>
    <r>
      <rPr>
        <sz val="11"/>
        <color rgb="FF000000"/>
        <rFont val="Calibri"/>
      </rPr>
      <t xml:space="preserve"> F5 BIG-IP TMOS Firewall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26 September 2024     </t>
    </r>
    <r>
      <rPr>
        <i/>
        <sz val="11"/>
        <color rgb="FF000000"/>
        <rFont val="Calibri"/>
      </rPr>
      <t>Recommendation Count:</t>
    </r>
    <r>
      <rPr>
        <sz val="11"/>
        <color rgb="FF000000"/>
        <rFont val="Calibri"/>
      </rPr>
      <t xml:space="preserve"> 14</t>
    </r>
  </si>
  <si>
    <r>
      <rPr>
        <i/>
        <sz val="11"/>
        <color rgb="FF000000"/>
        <rFont val="Calibri"/>
      </rPr>
      <t>Title:</t>
    </r>
    <r>
      <rPr>
        <sz val="11"/>
        <color rgb="FF000000"/>
        <rFont val="Calibri"/>
      </rPr>
      <t xml:space="preserve"> F5 BIG-IP TMOS VPN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26 September 2024     </t>
    </r>
    <r>
      <rPr>
        <i/>
        <sz val="11"/>
        <color rgb="FF000000"/>
        <rFont val="Calibri"/>
      </rPr>
      <t>Recommendation Count:</t>
    </r>
    <r>
      <rPr>
        <sz val="11"/>
        <color rgb="FF000000"/>
        <rFont val="Calibri"/>
      </rPr>
      <t xml:space="preserve"> 12</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</si>
  <si>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</si>
  <si>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</si>
  <si>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</si>
  <si>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</si>
  <si>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</si>
  <si>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</si>
  <si>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</si>
  <si>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</si>
  <si>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</si>
  <si>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</si>
  <si>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</si>
  <si>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</si>
  <si>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</si>
  <si>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</si>
  <si>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</si>
  <si>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</si>
  <si>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</si>
  <si>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</si>
  <si>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</si>
  <si>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</si>
  <si>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</si>
  <si>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</si>
  <si>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</si>
  <si>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</si>
  <si>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</si>
  <si>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</si>
  <si>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</si>
  <si>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</si>
  <si>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</si>
  <si>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</si>
  <si>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</si>
  <si>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</si>
  <si>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</si>
  <si>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</si>
  <si>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</si>
  <si>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</si>
  <si>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</si>
  <si>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</si>
  <si>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</si>
  <si>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</si>
  <si>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</si>
  <si>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</si>
  <si>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</si>
  <si>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</si>
  <si>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</si>
  <si>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</si>
  <si>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</si>
  <si>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F5 BIG-IP TMOS Security Technical Implementation Guide Y25M07</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</si>
  <si>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</si>
  <si>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</si>
  <si>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</si>
  <si>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</si>
  <si>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</si>
  <si>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</si>
  <si>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</si>
  <si>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</si>
  <si>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</si>
  <si>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</si>
  <si>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</si>
  <si>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</si>
  <si>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</si>
  <si>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</si>
  <si>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</si>
  <si>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</si>
  <si>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</si>
  <si>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</si>
  <si>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</si>
  <si>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</si>
  <si>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</si>
  <si>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</si>
  <si>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</si>
  <si>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</si>
  <si>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</si>
  <si>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</si>
  <si>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</si>
  <si>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</si>
  <si>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</si>
  <si>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</si>
  <si>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</si>
  <si>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</si>
  <si>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</si>
  <si>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</si>
  <si>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</si>
  <si>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</si>
  <si>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</si>
  <si>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</si>
  <si>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</si>
  <si>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</si>
  <si>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</si>
  <si>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</si>
  <si>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</si>
  <si>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</si>
  <si>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</si>
  <si>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</si>
  <si>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</si>
  <si>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(C90)</t>
  </si>
  <si>
    <t>% Must</t>
  </si>
  <si>
    <t>Should Count (C91)</t>
  </si>
  <si>
    <t>% Should</t>
  </si>
  <si>
    <t>Could Count (C92)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</si>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</sst>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DB74-49D5-ACB9-3C108B23862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DB74-49D5-ACB9-3C108B23862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104</c:v>
                </c:pt>
              </c:numCache>
            </c:numRef>
          </c:val>
          <c:extLst>
            <c:ext xmlns:c16="http://schemas.microsoft.com/office/drawing/2014/chart" uri="{C3380CC4-5D6E-409C-BE32-E72D297353CC}">
              <c16:uniqueId val="{00000002-DB74-49D5-ACB9-3C108B238626}"/>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Dashboard!$B$29:$B$33</c:f>
              <c:strCache>
                <c:ptCount val="5"/>
                <c:pt idx="0">
                  <c:v>ALG</c:v>
                </c:pt>
                <c:pt idx="1">
                  <c:v>DNS</c:v>
                </c:pt>
                <c:pt idx="2">
                  <c:v>Firewall</c:v>
                </c:pt>
                <c:pt idx="3">
                  <c:v>NDM</c:v>
                </c:pt>
                <c:pt idx="4">
                  <c:v>VPN</c:v>
                </c:pt>
              </c:strCache>
            </c:strRef>
          </c:cat>
          <c:val>
            <c:numRef>
              <c:f>Dashboard!$C$29:$C$33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D78-4F00-AE6C-40138266918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Dashboard!$B$29:$B$33</c:f>
              <c:strCache>
                <c:ptCount val="5"/>
                <c:pt idx="0">
                  <c:v>ALG</c:v>
                </c:pt>
                <c:pt idx="1">
                  <c:v>DNS</c:v>
                </c:pt>
                <c:pt idx="2">
                  <c:v>Firewall</c:v>
                </c:pt>
                <c:pt idx="3">
                  <c:v>NDM</c:v>
                </c:pt>
                <c:pt idx="4">
                  <c:v>VPN</c:v>
                </c:pt>
              </c:strCache>
            </c:strRef>
          </c:cat>
          <c:val>
            <c:numRef>
              <c:f>Dashboard!$D$29:$D$33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D78-4F00-AE6C-40138266918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Dashboard!$B$29:$B$33</c:f>
              <c:strCache>
                <c:ptCount val="5"/>
                <c:pt idx="0">
                  <c:v>ALG</c:v>
                </c:pt>
                <c:pt idx="1">
                  <c:v>DNS</c:v>
                </c:pt>
                <c:pt idx="2">
                  <c:v>Firewall</c:v>
                </c:pt>
                <c:pt idx="3">
                  <c:v>NDM</c:v>
                </c:pt>
                <c:pt idx="4">
                  <c:v>VPN</c:v>
                </c:pt>
              </c:strCache>
            </c:strRef>
          </c:cat>
          <c:val>
            <c:numRef>
              <c:f>Dashboard!$E$29:$E$33</c:f>
              <c:numCache>
                <c:formatCode>General</c:formatCode>
                <c:ptCount val="5"/>
                <c:pt idx="0">
                  <c:v>37</c:v>
                </c:pt>
                <c:pt idx="1">
                  <c:v>12</c:v>
                </c:pt>
                <c:pt idx="2">
                  <c:v>14</c:v>
                </c:pt>
                <c:pt idx="3">
                  <c:v>29</c:v>
                </c:pt>
                <c:pt idx="4">
                  <c:v>12</c:v>
                </c:pt>
              </c:numCache>
            </c:numRef>
          </c:val>
          <c:extLst>
            <c:ext xmlns:c16="http://schemas.microsoft.com/office/drawing/2014/chart" uri="{C3380CC4-5D6E-409C-BE32-E72D297353CC}">
              <c16:uniqueId val="{00000002-5D78-4F00-AE6C-40138266918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Dashboard!$B$50:$B$55</c:f>
              <c:strCache>
                <c:ptCount val="6"/>
                <c:pt idx="0">
                  <c:v>Phase1</c:v>
                </c:pt>
                <c:pt idx="1">
                  <c:v>Phase2</c:v>
                </c:pt>
                <c:pt idx="2">
                  <c:v>Phase3</c:v>
                </c:pt>
                <c:pt idx="3">
                  <c:v>Phase4</c:v>
                </c:pt>
                <c:pt idx="4">
                  <c:v>Phase5</c:v>
                </c:pt>
                <c:pt idx="5">
                  <c:v>Pending</c:v>
                </c:pt>
              </c:strCache>
            </c:strRef>
          </c:cat>
          <c:val>
            <c:numRef>
              <c:f>Dashboard!$C$50:$C$55</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91A-4432-A2EE-5EDA8ACF97D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Dashboard!$B$50:$B$55</c:f>
              <c:strCache>
                <c:ptCount val="6"/>
                <c:pt idx="0">
                  <c:v>Phase1</c:v>
                </c:pt>
                <c:pt idx="1">
                  <c:v>Phase2</c:v>
                </c:pt>
                <c:pt idx="2">
                  <c:v>Phase3</c:v>
                </c:pt>
                <c:pt idx="3">
                  <c:v>Phase4</c:v>
                </c:pt>
                <c:pt idx="4">
                  <c:v>Phase5</c:v>
                </c:pt>
                <c:pt idx="5">
                  <c:v>Pending</c:v>
                </c:pt>
              </c:strCache>
            </c:strRef>
          </c:cat>
          <c:val>
            <c:numRef>
              <c:f>Dashboard!$D$50:$D$55</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91A-4432-A2EE-5EDA8ACF97D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Dashboard!$B$50:$B$55</c:f>
              <c:strCache>
                <c:ptCount val="6"/>
                <c:pt idx="0">
                  <c:v>Phase1</c:v>
                </c:pt>
                <c:pt idx="1">
                  <c:v>Phase2</c:v>
                </c:pt>
                <c:pt idx="2">
                  <c:v>Phase3</c:v>
                </c:pt>
                <c:pt idx="3">
                  <c:v>Phase4</c:v>
                </c:pt>
                <c:pt idx="4">
                  <c:v>Phase5</c:v>
                </c:pt>
                <c:pt idx="5">
                  <c:v>Pending</c:v>
                </c:pt>
              </c:strCache>
            </c:strRef>
          </c:cat>
          <c:val>
            <c:numRef>
              <c:f>Dashboard!$E$50:$E$55</c:f>
              <c:numCache>
                <c:formatCode>General</c:formatCode>
                <c:ptCount val="6"/>
                <c:pt idx="0">
                  <c:v>0</c:v>
                </c:pt>
                <c:pt idx="1">
                  <c:v>0</c:v>
                </c:pt>
                <c:pt idx="2">
                  <c:v>0</c:v>
                </c:pt>
                <c:pt idx="3">
                  <c:v>0</c:v>
                </c:pt>
                <c:pt idx="4">
                  <c:v>0</c:v>
                </c:pt>
                <c:pt idx="5">
                  <c:v>104</c:v>
                </c:pt>
              </c:numCache>
            </c:numRef>
          </c:val>
          <c:extLst>
            <c:ext xmlns:c16="http://schemas.microsoft.com/office/drawing/2014/chart" uri="{C3380CC4-5D6E-409C-BE32-E72D297353CC}">
              <c16:uniqueId val="{00000002-491A-4432-A2EE-5EDA8ACF97D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Dashboard!$B$73:$B$75</c:f>
              <c:strCache>
                <c:ptCount val="3"/>
                <c:pt idx="0">
                  <c:v>CAT I (High)</c:v>
                </c:pt>
                <c:pt idx="1">
                  <c:v>CAT II (Medium)</c:v>
                </c:pt>
                <c:pt idx="2">
                  <c:v>CAT III (Low)</c:v>
                </c:pt>
              </c:strCache>
            </c:strRef>
          </c:cat>
          <c:val>
            <c:numRef>
              <c:f>Dashboard!$C$73:$C$75</c:f>
              <c:numCache>
                <c:formatCode>General</c:formatCode>
                <c:ptCount val="3"/>
                <c:pt idx="0">
                  <c:v>0</c:v>
                </c:pt>
                <c:pt idx="1">
                  <c:v>0</c:v>
                </c:pt>
                <c:pt idx="2">
                  <c:v>0</c:v>
                </c:pt>
              </c:numCache>
            </c:numRef>
          </c:val>
          <c:extLst>
            <c:ext xmlns:c16="http://schemas.microsoft.com/office/drawing/2014/chart" uri="{C3380CC4-5D6E-409C-BE32-E72D297353CC}">
              <c16:uniqueId val="{00000000-9F14-4E6B-A937-31D4AD07177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Dashboard!$B$73:$B$75</c:f>
              <c:strCache>
                <c:ptCount val="3"/>
                <c:pt idx="0">
                  <c:v>CAT I (High)</c:v>
                </c:pt>
                <c:pt idx="1">
                  <c:v>CAT II (Medium)</c:v>
                </c:pt>
                <c:pt idx="2">
                  <c:v>CAT III (Low)</c:v>
                </c:pt>
              </c:strCache>
            </c:strRef>
          </c:cat>
          <c:val>
            <c:numRef>
              <c:f>Dashboard!$D$73:$D$75</c:f>
              <c:numCache>
                <c:formatCode>General</c:formatCode>
                <c:ptCount val="3"/>
                <c:pt idx="0">
                  <c:v>0</c:v>
                </c:pt>
                <c:pt idx="1">
                  <c:v>0</c:v>
                </c:pt>
                <c:pt idx="2">
                  <c:v>0</c:v>
                </c:pt>
              </c:numCache>
            </c:numRef>
          </c:val>
          <c:extLst>
            <c:ext xmlns:c16="http://schemas.microsoft.com/office/drawing/2014/chart" uri="{C3380CC4-5D6E-409C-BE32-E72D297353CC}">
              <c16:uniqueId val="{00000001-9F14-4E6B-A937-31D4AD07177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Dashboard!$B$73:$B$75</c:f>
              <c:strCache>
                <c:ptCount val="3"/>
                <c:pt idx="0">
                  <c:v>CAT I (High)</c:v>
                </c:pt>
                <c:pt idx="1">
                  <c:v>CAT II (Medium)</c:v>
                </c:pt>
                <c:pt idx="2">
                  <c:v>CAT III (Low)</c:v>
                </c:pt>
              </c:strCache>
            </c:strRef>
          </c:cat>
          <c:val>
            <c:numRef>
              <c:f>Dashboard!$E$73:$E$75</c:f>
              <c:numCache>
                <c:formatCode>General</c:formatCode>
                <c:ptCount val="3"/>
                <c:pt idx="0">
                  <c:v>30</c:v>
                </c:pt>
                <c:pt idx="1">
                  <c:v>66</c:v>
                </c:pt>
                <c:pt idx="2">
                  <c:v>8</c:v>
                </c:pt>
              </c:numCache>
            </c:numRef>
          </c:val>
          <c:extLst>
            <c:ext xmlns:c16="http://schemas.microsoft.com/office/drawing/2014/chart" uri="{C3380CC4-5D6E-409C-BE32-E72D297353CC}">
              <c16:uniqueId val="{00000002-9F14-4E6B-A937-31D4AD07177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Dashboard!$B$90:$B$94</c:f>
              <c:strCache>
                <c:ptCount val="5"/>
                <c:pt idx="0">
                  <c:v>Must</c:v>
                </c:pt>
                <c:pt idx="1">
                  <c:v>Should</c:v>
                </c:pt>
                <c:pt idx="2">
                  <c:v>Could</c:v>
                </c:pt>
                <c:pt idx="3">
                  <c:v>Won't</c:v>
                </c:pt>
                <c:pt idx="4">
                  <c:v>Unassigned</c:v>
                </c:pt>
              </c:strCache>
            </c:strRef>
          </c:cat>
          <c:val>
            <c:numRef>
              <c:f>Dashboard!$C$90:$C$94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CFC-4A93-BBAB-62022457B26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Dashboard!$B$90:$B$94</c:f>
              <c:strCache>
                <c:ptCount val="5"/>
                <c:pt idx="0">
                  <c:v>Must</c:v>
                </c:pt>
                <c:pt idx="1">
                  <c:v>Should</c:v>
                </c:pt>
                <c:pt idx="2">
                  <c:v>Could</c:v>
                </c:pt>
                <c:pt idx="3">
                  <c:v>Won't</c:v>
                </c:pt>
                <c:pt idx="4">
                  <c:v>Unassigned</c:v>
                </c:pt>
              </c:strCache>
            </c:strRef>
          </c:cat>
          <c:val>
            <c:numRef>
              <c:f>Dashboard!$D$90:$D$94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0CFC-4A93-BBAB-62022457B26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Dashboard!$B$90:$B$94</c:f>
              <c:strCache>
                <c:ptCount val="5"/>
                <c:pt idx="0">
                  <c:v>Must</c:v>
                </c:pt>
                <c:pt idx="1">
                  <c:v>Should</c:v>
                </c:pt>
                <c:pt idx="2">
                  <c:v>Could</c:v>
                </c:pt>
                <c:pt idx="3">
                  <c:v>Won't</c:v>
                </c:pt>
                <c:pt idx="4">
                  <c:v>Unassigned</c:v>
                </c:pt>
              </c:strCache>
            </c:strRef>
          </c:cat>
          <c:val>
            <c:numRef>
              <c:f>Dashboard!$E$90:$E$94</c:f>
              <c:numCache>
                <c:formatCode>General</c:formatCode>
                <c:ptCount val="5"/>
                <c:pt idx="0">
                  <c:v>0</c:v>
                </c:pt>
                <c:pt idx="1">
                  <c:v>0</c:v>
                </c:pt>
                <c:pt idx="2">
                  <c:v>0</c:v>
                </c:pt>
                <c:pt idx="3">
                  <c:v>0</c:v>
                </c:pt>
                <c:pt idx="4">
                  <c:v>104</c:v>
                </c:pt>
              </c:numCache>
            </c:numRef>
          </c:val>
          <c:extLst>
            <c:ext xmlns:c16="http://schemas.microsoft.com/office/drawing/2014/chart" uri="{C3380CC4-5D6E-409C-BE32-E72D297353CC}">
              <c16:uniqueId val="{00000002-0CFC-4A93-BBAB-62022457B26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Dashboard!$B$111:$B$114</c:f>
              <c:strCache>
                <c:ptCount val="4"/>
                <c:pt idx="0">
                  <c:v>Low</c:v>
                </c:pt>
                <c:pt idx="1">
                  <c:v>Medium</c:v>
                </c:pt>
                <c:pt idx="2">
                  <c:v>High</c:v>
                </c:pt>
                <c:pt idx="3">
                  <c:v>Unassessed</c:v>
                </c:pt>
              </c:strCache>
            </c:strRef>
          </c:cat>
          <c:val>
            <c:numRef>
              <c:f>Dashboard!$C$111:$C$114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CFE-4B1E-9E8E-77F2E44B264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Dashboard!$B$111:$B$114</c:f>
              <c:strCache>
                <c:ptCount val="4"/>
                <c:pt idx="0">
                  <c:v>Low</c:v>
                </c:pt>
                <c:pt idx="1">
                  <c:v>Medium</c:v>
                </c:pt>
                <c:pt idx="2">
                  <c:v>High</c:v>
                </c:pt>
                <c:pt idx="3">
                  <c:v>Unassessed</c:v>
                </c:pt>
              </c:strCache>
            </c:strRef>
          </c:cat>
          <c:val>
            <c:numRef>
              <c:f>Dashboard!$D$111:$D$114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CFE-4B1E-9E8E-77F2E44B264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Dashboard!$B$111:$B$114</c:f>
              <c:strCache>
                <c:ptCount val="4"/>
                <c:pt idx="0">
                  <c:v>Low</c:v>
                </c:pt>
                <c:pt idx="1">
                  <c:v>Medium</c:v>
                </c:pt>
                <c:pt idx="2">
                  <c:v>High</c:v>
                </c:pt>
                <c:pt idx="3">
                  <c:v>Unassessed</c:v>
                </c:pt>
              </c:strCache>
            </c:strRef>
          </c:cat>
          <c:val>
            <c:numRef>
              <c:f>Dashboard!$E$111:$E$114</c:f>
              <c:numCache>
                <c:formatCode>General</c:formatCode>
                <c:ptCount val="4"/>
                <c:pt idx="0">
                  <c:v>0</c:v>
                </c:pt>
                <c:pt idx="1">
                  <c:v>0</c:v>
                </c:pt>
                <c:pt idx="2">
                  <c:v>0</c:v>
                </c:pt>
                <c:pt idx="3">
                  <c:v>104</c:v>
                </c:pt>
              </c:numCache>
            </c:numRef>
          </c:val>
          <c:extLst>
            <c:ext xmlns:c16="http://schemas.microsoft.com/office/drawing/2014/chart" uri="{C3380CC4-5D6E-409C-BE32-E72D297353CC}">
              <c16:uniqueId val="{00000002-BCFE-4B1E-9E8E-77F2E44B264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Dashboard!$P$147:$P$176</c:f>
              <c:numCache>
                <c:formatCode>yyyy\-mm\-dd</c:formatCode>
                <c:ptCount val="30"/>
              </c:numCache>
            </c:numRef>
          </c:cat>
          <c:val>
            <c:numRef>
              <c:f>Dashboard!$R$147:$R$176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A1DC-4304-81A9-23704B59EE73}"/>
            </c:ext>
          </c:extLst>
        </c:ser>
        <c:ser>
          <c:idx val="1"/>
          <c:order val="1"/>
          <c:tx>
            <c:v>Must % Resolved</c:v>
          </c:tx>
          <c:spPr>
            <a:ln w="22225" cap="rnd">
              <a:solidFill>
                <a:schemeClr val="accent2"/>
              </a:solidFill>
              <a:round/>
            </a:ln>
            <a:effectLst/>
          </c:spPr>
          <c:marker>
            <c:symbol val="none"/>
          </c:marker>
          <c:cat>
            <c:numRef>
              <c:f>Dashboard!$P$147:$P$176</c:f>
              <c:numCache>
                <c:formatCode>yyyy\-mm\-dd</c:formatCode>
                <c:ptCount val="30"/>
              </c:numCache>
            </c:numRef>
          </c:cat>
          <c:val>
            <c:numRef>
              <c:f>Dashboard!$T$147:$T$176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A1DC-4304-81A9-23704B59EE73}"/>
            </c:ext>
          </c:extLst>
        </c:ser>
        <c:ser>
          <c:idx val="2"/>
          <c:order val="2"/>
          <c:tx>
            <c:v>Should % Resolved</c:v>
          </c:tx>
          <c:spPr>
            <a:ln w="22225" cap="rnd">
              <a:solidFill>
                <a:schemeClr val="accent3"/>
              </a:solidFill>
              <a:round/>
            </a:ln>
            <a:effectLst/>
          </c:spPr>
          <c:marker>
            <c:symbol val="none"/>
          </c:marker>
          <c:cat>
            <c:numRef>
              <c:f>Dashboard!$P$147:$P$176</c:f>
              <c:numCache>
                <c:formatCode>yyyy\-mm\-dd</c:formatCode>
                <c:ptCount val="30"/>
              </c:numCache>
            </c:numRef>
          </c:cat>
          <c:val>
            <c:numRef>
              <c:f>Dashboard!$V$147:$V$176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A1DC-4304-81A9-23704B59EE73}"/>
            </c:ext>
          </c:extLst>
        </c:ser>
        <c:ser>
          <c:idx val="3"/>
          <c:order val="3"/>
          <c:tx>
            <c:v>Could % Resolved</c:v>
          </c:tx>
          <c:spPr>
            <a:ln w="22225" cap="rnd">
              <a:solidFill>
                <a:schemeClr val="accent4"/>
              </a:solidFill>
              <a:round/>
            </a:ln>
            <a:effectLst/>
          </c:spPr>
          <c:marker>
            <c:symbol val="none"/>
          </c:marker>
          <c:cat>
            <c:numRef>
              <c:f>Dashboard!$P$147:$P$176</c:f>
              <c:numCache>
                <c:formatCode>yyyy\-mm\-dd</c:formatCode>
                <c:ptCount val="30"/>
              </c:numCache>
            </c:numRef>
          </c:cat>
          <c:val>
            <c:numRef>
              <c:f>Dashboard!$X$147:$X$176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A1DC-4304-81A9-23704B59EE7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Dashboard!$P$189:$P$208</c:f>
              <c:numCache>
                <c:formatCode>yyyy\-mm\-dd</c:formatCode>
                <c:ptCount val="20"/>
              </c:numCache>
            </c:numRef>
          </c:cat>
          <c:val>
            <c:numRef>
              <c:f>Dashboard!$R$189:$R$208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DF2-49EC-9DA6-565D69EF4C6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mpswei">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wpgzja">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47</xdr:row>
      <xdr:rowOff>95250</xdr:rowOff>
    </xdr:from>
    <xdr:to>
      <xdr:col>15</xdr:col>
      <xdr:colOff>28575</xdr:colOff>
      <xdr:row>64</xdr:row>
      <xdr:rowOff>0</xdr:rowOff>
    </xdr:to>
    <xdr:graphicFrame macro="">
      <xdr:nvGraphicFramePr>
        <xdr:cNvPr id="4" name="Chartt0pxau">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67</xdr:row>
      <xdr:rowOff>95250</xdr:rowOff>
    </xdr:from>
    <xdr:to>
      <xdr:col>15</xdr:col>
      <xdr:colOff>28575</xdr:colOff>
      <xdr:row>82</xdr:row>
      <xdr:rowOff>47625</xdr:rowOff>
    </xdr:to>
    <xdr:graphicFrame macro="">
      <xdr:nvGraphicFramePr>
        <xdr:cNvPr id="5" name="Chartwe4rfe">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86</xdr:row>
      <xdr:rowOff>95250</xdr:rowOff>
    </xdr:from>
    <xdr:to>
      <xdr:col>15</xdr:col>
      <xdr:colOff>28575</xdr:colOff>
      <xdr:row>102</xdr:row>
      <xdr:rowOff>0</xdr:rowOff>
    </xdr:to>
    <xdr:graphicFrame macro="">
      <xdr:nvGraphicFramePr>
        <xdr:cNvPr id="6" name="Chartjihjus">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105</xdr:row>
      <xdr:rowOff>95250</xdr:rowOff>
    </xdr:from>
    <xdr:to>
      <xdr:col>15</xdr:col>
      <xdr:colOff>28575</xdr:colOff>
      <xdr:row>120</xdr:row>
      <xdr:rowOff>142875</xdr:rowOff>
    </xdr:to>
    <xdr:graphicFrame macro="">
      <xdr:nvGraphicFramePr>
        <xdr:cNvPr id="7" name="Chartgvi0wc">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142</xdr:row>
      <xdr:rowOff>95250</xdr:rowOff>
    </xdr:from>
    <xdr:to>
      <xdr:col>14</xdr:col>
      <xdr:colOff>0</xdr:colOff>
      <xdr:row>165</xdr:row>
      <xdr:rowOff>38100</xdr:rowOff>
    </xdr:to>
    <xdr:graphicFrame macro="">
      <xdr:nvGraphicFramePr>
        <xdr:cNvPr id="8" name="Chartyvelrr">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183</xdr:row>
      <xdr:rowOff>95250</xdr:rowOff>
    </xdr:from>
    <xdr:to>
      <xdr:col>14</xdr:col>
      <xdr:colOff>0</xdr:colOff>
      <xdr:row>201</xdr:row>
      <xdr:rowOff>123825</xdr:rowOff>
    </xdr:to>
    <xdr:graphicFrame macro="">
      <xdr:nvGraphicFramePr>
        <xdr:cNvPr id="9" name="Chartr0gv0x">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105">
  <autoFilter ref="A1:N105"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21"/>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540</v>
      </c>
    </row>
    <row r="3" spans="2:3" ht="15" customHeight="1" x14ac:dyDescent="0.35"/>
    <row r="4" spans="2:3" ht="58" x14ac:dyDescent="0.35">
      <c r="B4" s="20" t="s">
        <v>541</v>
      </c>
      <c r="C4" s="21" t="s">
        <v>542</v>
      </c>
    </row>
    <row r="5" spans="2:3" x14ac:dyDescent="0.35">
      <c r="C5" s="21" t="s">
        <v>543</v>
      </c>
    </row>
    <row r="6" spans="2:3" x14ac:dyDescent="0.35">
      <c r="C6" s="18" t="s">
        <v>544</v>
      </c>
    </row>
    <row r="7" spans="2:3" ht="10" customHeight="1" x14ac:dyDescent="0.35"/>
    <row r="8" spans="2:3" ht="232" x14ac:dyDescent="0.35">
      <c r="B8" s="22" t="s">
        <v>545</v>
      </c>
      <c r="C8" s="21" t="s">
        <v>546</v>
      </c>
    </row>
    <row r="9" spans="2:3" ht="10" customHeight="1" x14ac:dyDescent="0.35"/>
    <row r="10" spans="2:3" ht="35" customHeight="1" x14ac:dyDescent="0.35">
      <c r="B10" s="22" t="s">
        <v>547</v>
      </c>
      <c r="C10" s="21" t="s">
        <v>548</v>
      </c>
    </row>
    <row r="11" spans="2:3" ht="75" customHeight="1" x14ac:dyDescent="0.35">
      <c r="B11" s="18" t="s">
        <v>21</v>
      </c>
      <c r="C11" s="21" t="s">
        <v>549</v>
      </c>
    </row>
    <row r="12" spans="2:3" ht="47" customHeight="1" x14ac:dyDescent="0.35">
      <c r="B12" s="18" t="s">
        <v>21</v>
      </c>
      <c r="C12" s="21" t="s">
        <v>550</v>
      </c>
    </row>
    <row r="13" spans="2:3" ht="35" customHeight="1" x14ac:dyDescent="0.35">
      <c r="B13" s="18" t="s">
        <v>21</v>
      </c>
      <c r="C13" s="21" t="s">
        <v>551</v>
      </c>
    </row>
    <row r="14" spans="2:3" ht="32" customHeight="1" x14ac:dyDescent="0.35">
      <c r="B14" s="18" t="s">
        <v>21</v>
      </c>
      <c r="C14" s="21" t="s">
        <v>552</v>
      </c>
    </row>
    <row r="15" spans="2:3" ht="30" customHeight="1" x14ac:dyDescent="0.35">
      <c r="B15" s="18" t="s">
        <v>21</v>
      </c>
      <c r="C15" s="21" t="s">
        <v>553</v>
      </c>
    </row>
    <row r="16" spans="2:3" ht="10" customHeight="1" x14ac:dyDescent="0.35"/>
    <row r="17" spans="1:3" ht="145" customHeight="1" x14ac:dyDescent="0.35">
      <c r="B17" s="22" t="s">
        <v>554</v>
      </c>
      <c r="C17" s="21" t="s">
        <v>555</v>
      </c>
    </row>
    <row r="18" spans="1:3" ht="10" customHeight="1" x14ac:dyDescent="0.35"/>
    <row r="19" spans="1:3" ht="3" customHeight="1" x14ac:dyDescent="0.35">
      <c r="B19" s="23"/>
      <c r="C19" s="23"/>
    </row>
    <row r="20" spans="1:3" ht="12" customHeight="1" x14ac:dyDescent="0.35"/>
    <row r="21" spans="1:3" ht="35" customHeight="1" x14ac:dyDescent="0.35">
      <c r="A21" s="25"/>
      <c r="B21" s="26" t="s">
        <v>556</v>
      </c>
      <c r="C21" s="27" t="s">
        <v>557</v>
      </c>
    </row>
    <row r="22" spans="1:3" ht="18" customHeight="1" x14ac:dyDescent="0.35">
      <c r="A22" s="25"/>
      <c r="B22" s="25" t="s">
        <v>21</v>
      </c>
      <c r="C22" s="27" t="s">
        <v>558</v>
      </c>
    </row>
    <row r="23" spans="1:3" ht="18" customHeight="1" x14ac:dyDescent="0.35">
      <c r="A23" s="25"/>
      <c r="B23" s="25" t="s">
        <v>21</v>
      </c>
      <c r="C23" s="27" t="s">
        <v>559</v>
      </c>
    </row>
    <row r="24" spans="1:3" ht="18" customHeight="1" x14ac:dyDescent="0.35">
      <c r="A24" s="25"/>
      <c r="B24" s="25" t="s">
        <v>21</v>
      </c>
      <c r="C24" s="27" t="s">
        <v>560</v>
      </c>
    </row>
    <row r="25" spans="1:3" ht="18" customHeight="1" x14ac:dyDescent="0.35">
      <c r="A25" s="25"/>
      <c r="B25" s="25" t="s">
        <v>21</v>
      </c>
      <c r="C25" s="27" t="s">
        <v>561</v>
      </c>
    </row>
    <row r="26" spans="1:3" ht="18" customHeight="1" x14ac:dyDescent="0.35">
      <c r="A26" s="25"/>
      <c r="B26" s="25" t="s">
        <v>21</v>
      </c>
      <c r="C26" s="27" t="s">
        <v>562</v>
      </c>
    </row>
    <row r="27" spans="1:3" ht="18" customHeight="1" x14ac:dyDescent="0.35">
      <c r="A27" s="25"/>
      <c r="B27" s="25" t="s">
        <v>21</v>
      </c>
      <c r="C27" s="27" t="s">
        <v>563</v>
      </c>
    </row>
    <row r="28" spans="1:3" ht="18" customHeight="1" x14ac:dyDescent="0.35">
      <c r="A28" s="25"/>
      <c r="B28" s="25" t="s">
        <v>21</v>
      </c>
      <c r="C28" s="27" t="s">
        <v>564</v>
      </c>
    </row>
    <row r="29" spans="1:3" ht="18" customHeight="1" x14ac:dyDescent="0.35">
      <c r="A29" s="25"/>
      <c r="B29" s="25" t="s">
        <v>21</v>
      </c>
      <c r="C29" s="27" t="s">
        <v>565</v>
      </c>
    </row>
    <row r="30" spans="1:3" ht="44" customHeight="1" x14ac:dyDescent="0.35">
      <c r="A30" s="25"/>
      <c r="B30" s="25" t="s">
        <v>21</v>
      </c>
      <c r="C30" s="28" t="s">
        <v>566</v>
      </c>
    </row>
    <row r="31" spans="1:3" ht="10" customHeight="1" x14ac:dyDescent="0.35"/>
    <row r="32" spans="1:3" ht="3" customHeight="1" x14ac:dyDescent="0.35">
      <c r="B32" s="23"/>
      <c r="C32" s="23"/>
    </row>
    <row r="33" spans="2:3" ht="12" customHeight="1" x14ac:dyDescent="0.35"/>
    <row r="34" spans="2:3" ht="24" customHeight="1" x14ac:dyDescent="0.35">
      <c r="B34" s="29" t="s">
        <v>567</v>
      </c>
      <c r="C34" s="30" t="s">
        <v>568</v>
      </c>
    </row>
    <row r="35" spans="2:3" ht="18.5" x14ac:dyDescent="0.35">
      <c r="B35" s="29" t="s">
        <v>569</v>
      </c>
      <c r="C35" s="31" t="s">
        <v>570</v>
      </c>
    </row>
    <row r="36" spans="2:3" ht="27" customHeight="1" x14ac:dyDescent="0.35">
      <c r="B36" s="32" t="s">
        <v>571</v>
      </c>
      <c r="C36" s="24" t="s">
        <v>572</v>
      </c>
    </row>
    <row r="37" spans="2:3" x14ac:dyDescent="0.35">
      <c r="B37" s="29" t="s">
        <v>573</v>
      </c>
      <c r="C37" s="33" t="s">
        <v>574</v>
      </c>
    </row>
    <row r="38" spans="2:3" ht="10" customHeight="1" x14ac:dyDescent="0.35"/>
    <row r="39" spans="2:3" ht="220" customHeight="1" x14ac:dyDescent="0.35">
      <c r="B39" s="29" t="s">
        <v>575</v>
      </c>
      <c r="C39" s="34" t="s">
        <v>576</v>
      </c>
    </row>
    <row r="40" spans="2:3" ht="10" customHeight="1" x14ac:dyDescent="0.35"/>
    <row r="41" spans="2:3" ht="20" customHeight="1" x14ac:dyDescent="0.35">
      <c r="B41" s="29" t="s">
        <v>577</v>
      </c>
      <c r="C41" s="35" t="s">
        <v>17</v>
      </c>
    </row>
    <row r="42" spans="2:3" ht="29" x14ac:dyDescent="0.35">
      <c r="C42" s="21" t="s">
        <v>578</v>
      </c>
    </row>
    <row r="43" spans="2:3" ht="10" customHeight="1" x14ac:dyDescent="0.35"/>
    <row r="44" spans="2:3" ht="20" customHeight="1" x14ac:dyDescent="0.35">
      <c r="C44" s="35" t="s">
        <v>83</v>
      </c>
    </row>
    <row r="45" spans="2:3" ht="29" x14ac:dyDescent="0.35">
      <c r="C45" s="21" t="s">
        <v>579</v>
      </c>
    </row>
    <row r="46" spans="2:3" ht="10" customHeight="1" x14ac:dyDescent="0.35"/>
    <row r="47" spans="2:3" ht="20" customHeight="1" x14ac:dyDescent="0.35">
      <c r="C47" s="35" t="s">
        <v>227</v>
      </c>
    </row>
    <row r="48" spans="2:3" ht="29" x14ac:dyDescent="0.35">
      <c r="C48" s="21" t="s">
        <v>580</v>
      </c>
    </row>
    <row r="49" spans="2:3" ht="10" customHeight="1" x14ac:dyDescent="0.35"/>
    <row r="50" spans="2:3" ht="20" customHeight="1" x14ac:dyDescent="0.35">
      <c r="C50" s="35" t="s">
        <v>409</v>
      </c>
    </row>
    <row r="51" spans="2:3" ht="29" x14ac:dyDescent="0.35">
      <c r="C51" s="21" t="s">
        <v>581</v>
      </c>
    </row>
    <row r="52" spans="2:3" ht="10" customHeight="1" x14ac:dyDescent="0.35"/>
    <row r="53" spans="2:3" ht="20" customHeight="1" x14ac:dyDescent="0.35">
      <c r="C53" s="35" t="s">
        <v>480</v>
      </c>
    </row>
    <row r="54" spans="2:3" ht="29" x14ac:dyDescent="0.35">
      <c r="C54" s="21" t="s">
        <v>582</v>
      </c>
    </row>
    <row r="55" spans="2:3" ht="10" customHeight="1" x14ac:dyDescent="0.35"/>
    <row r="56" spans="2:3" ht="43.5" x14ac:dyDescent="0.35">
      <c r="B56" s="29" t="s">
        <v>583</v>
      </c>
      <c r="C56" s="21" t="s">
        <v>584</v>
      </c>
    </row>
    <row r="57" spans="2:3" ht="10" customHeight="1" x14ac:dyDescent="0.35"/>
    <row r="58" spans="2:3" ht="15.5" x14ac:dyDescent="0.35">
      <c r="C58" s="36" t="s">
        <v>52</v>
      </c>
    </row>
    <row r="59" spans="2:3" ht="29" x14ac:dyDescent="0.35">
      <c r="C59" s="21" t="s">
        <v>585</v>
      </c>
    </row>
    <row r="60" spans="2:3" ht="10" customHeight="1" x14ac:dyDescent="0.35"/>
    <row r="61" spans="2:3" ht="15.5" x14ac:dyDescent="0.35">
      <c r="C61" s="37" t="s">
        <v>16</v>
      </c>
    </row>
    <row r="62" spans="2:3" ht="29" x14ac:dyDescent="0.35">
      <c r="C62" s="21" t="s">
        <v>586</v>
      </c>
    </row>
    <row r="63" spans="2:3" ht="10" customHeight="1" x14ac:dyDescent="0.35"/>
    <row r="64" spans="2:3" ht="15.5" x14ac:dyDescent="0.35">
      <c r="C64" s="38" t="s">
        <v>119</v>
      </c>
    </row>
    <row r="65" spans="2:3" ht="29" x14ac:dyDescent="0.35">
      <c r="C65" s="21" t="s">
        <v>587</v>
      </c>
    </row>
    <row r="66" spans="2:3" ht="10" customHeight="1" x14ac:dyDescent="0.35"/>
    <row r="67" spans="2:3" ht="3" customHeight="1" x14ac:dyDescent="0.35">
      <c r="B67" s="23"/>
      <c r="C67" s="23"/>
    </row>
    <row r="68" spans="2:3" ht="12" customHeight="1" x14ac:dyDescent="0.35"/>
    <row r="69" spans="2:3" ht="130.5" x14ac:dyDescent="0.35">
      <c r="B69" s="20" t="s">
        <v>588</v>
      </c>
      <c r="C69" s="21" t="s">
        <v>589</v>
      </c>
    </row>
    <row r="70" spans="2:3" ht="6" customHeight="1" x14ac:dyDescent="0.35"/>
    <row r="71" spans="2:3" ht="217.5" x14ac:dyDescent="0.35">
      <c r="C71" s="21" t="s">
        <v>590</v>
      </c>
    </row>
    <row r="72" spans="2:3" ht="6" customHeight="1" x14ac:dyDescent="0.35"/>
    <row r="73" spans="2:3" ht="43.5" x14ac:dyDescent="0.35">
      <c r="C73" s="21" t="s">
        <v>591</v>
      </c>
    </row>
    <row r="74" spans="2:3" ht="10" customHeight="1" x14ac:dyDescent="0.35"/>
    <row r="75" spans="2:3" ht="3" customHeight="1" x14ac:dyDescent="0.35">
      <c r="B75" s="23"/>
      <c r="C75" s="23"/>
    </row>
    <row r="76" spans="2:3" ht="12" customHeight="1" x14ac:dyDescent="0.35"/>
    <row r="77" spans="2:3" ht="145" x14ac:dyDescent="0.35">
      <c r="B77" s="20" t="s">
        <v>592</v>
      </c>
      <c r="C77" s="21" t="s">
        <v>593</v>
      </c>
    </row>
    <row r="78" spans="2:3" ht="6" customHeight="1" x14ac:dyDescent="0.35"/>
    <row r="79" spans="2:3" ht="203" x14ac:dyDescent="0.35">
      <c r="C79" s="21" t="s">
        <v>594</v>
      </c>
    </row>
    <row r="80" spans="2:3" ht="6" customHeight="1" x14ac:dyDescent="0.35"/>
    <row r="81" spans="2:3" ht="43.5" x14ac:dyDescent="0.35">
      <c r="C81" s="21" t="s">
        <v>595</v>
      </c>
    </row>
    <row r="82" spans="2:3" ht="10" customHeight="1" x14ac:dyDescent="0.35"/>
    <row r="83" spans="2:3" ht="3" customHeight="1" x14ac:dyDescent="0.35">
      <c r="B83" s="23"/>
      <c r="C83" s="23"/>
    </row>
    <row r="84" spans="2:3" ht="12" customHeight="1" x14ac:dyDescent="0.35"/>
    <row r="85" spans="2:3" ht="101.5" x14ac:dyDescent="0.35">
      <c r="B85" s="20" t="s">
        <v>596</v>
      </c>
      <c r="C85" s="21" t="s">
        <v>597</v>
      </c>
    </row>
    <row r="86" spans="2:3" ht="6" customHeight="1" x14ac:dyDescent="0.35"/>
    <row r="87" spans="2:3" ht="145" x14ac:dyDescent="0.35">
      <c r="C87" s="21" t="s">
        <v>598</v>
      </c>
    </row>
    <row r="88" spans="2:3" ht="6" customHeight="1" x14ac:dyDescent="0.35"/>
    <row r="89" spans="2:3" ht="43.5" x14ac:dyDescent="0.35">
      <c r="C89" s="21" t="s">
        <v>599</v>
      </c>
    </row>
    <row r="90" spans="2:3" ht="10" customHeight="1" x14ac:dyDescent="0.35"/>
    <row r="91" spans="2:3" ht="3" customHeight="1" x14ac:dyDescent="0.35">
      <c r="B91" s="23"/>
      <c r="C91" s="23"/>
    </row>
    <row r="92" spans="2:3" ht="12" customHeight="1" x14ac:dyDescent="0.35"/>
    <row r="93" spans="2:3" ht="26" customHeight="1" x14ac:dyDescent="0.35">
      <c r="B93" s="39" t="s">
        <v>600</v>
      </c>
    </row>
    <row r="94" spans="2:3" ht="8" customHeight="1" x14ac:dyDescent="0.35"/>
    <row r="95" spans="2:3" ht="20" customHeight="1" x14ac:dyDescent="0.35">
      <c r="B95" s="29" t="s">
        <v>601</v>
      </c>
      <c r="C95" s="40" t="s">
        <v>602</v>
      </c>
    </row>
    <row r="96" spans="2:3" ht="116" x14ac:dyDescent="0.35">
      <c r="C96" s="21" t="s">
        <v>603</v>
      </c>
    </row>
    <row r="97" spans="2:3" ht="10" customHeight="1" x14ac:dyDescent="0.35"/>
    <row r="98" spans="2:3" ht="20" customHeight="1" x14ac:dyDescent="0.35">
      <c r="B98" s="29" t="s">
        <v>604</v>
      </c>
      <c r="C98" s="40" t="s">
        <v>605</v>
      </c>
    </row>
    <row r="99" spans="2:3" ht="116" x14ac:dyDescent="0.35">
      <c r="C99" s="21" t="s">
        <v>606</v>
      </c>
    </row>
    <row r="100" spans="2:3" ht="10" customHeight="1" x14ac:dyDescent="0.35"/>
    <row r="101" spans="2:3" ht="20" customHeight="1" x14ac:dyDescent="0.35">
      <c r="B101" s="29" t="s">
        <v>607</v>
      </c>
      <c r="C101" s="40" t="s">
        <v>608</v>
      </c>
    </row>
    <row r="102" spans="2:3" ht="130.5" x14ac:dyDescent="0.35">
      <c r="C102" s="21" t="s">
        <v>609</v>
      </c>
    </row>
    <row r="103" spans="2:3" ht="10" customHeight="1" x14ac:dyDescent="0.35"/>
    <row r="104" spans="2:3" ht="20" customHeight="1" x14ac:dyDescent="0.35">
      <c r="B104" s="29" t="s">
        <v>610</v>
      </c>
      <c r="C104" s="40" t="s">
        <v>611</v>
      </c>
    </row>
    <row r="105" spans="2:3" ht="130.5" x14ac:dyDescent="0.35">
      <c r="C105" s="21" t="s">
        <v>612</v>
      </c>
    </row>
    <row r="106" spans="2:3" ht="10" customHeight="1" x14ac:dyDescent="0.35"/>
    <row r="107" spans="2:3" ht="20" customHeight="1" x14ac:dyDescent="0.35">
      <c r="B107" s="29" t="s">
        <v>613</v>
      </c>
      <c r="C107" s="40" t="s">
        <v>614</v>
      </c>
    </row>
    <row r="108" spans="2:3" ht="116" x14ac:dyDescent="0.35">
      <c r="C108" s="21" t="s">
        <v>615</v>
      </c>
    </row>
    <row r="109" spans="2:3" ht="10" customHeight="1" x14ac:dyDescent="0.35"/>
    <row r="110" spans="2:3" ht="20" customHeight="1" x14ac:dyDescent="0.35">
      <c r="B110" s="29" t="s">
        <v>616</v>
      </c>
      <c r="C110" s="40" t="s">
        <v>617</v>
      </c>
    </row>
    <row r="111" spans="2:3" ht="116" x14ac:dyDescent="0.35">
      <c r="C111" s="21" t="s">
        <v>618</v>
      </c>
    </row>
    <row r="112" spans="2:3" ht="10" customHeight="1" x14ac:dyDescent="0.35"/>
    <row r="113" spans="2:3" ht="20" customHeight="1" x14ac:dyDescent="0.35">
      <c r="B113" s="29" t="s">
        <v>619</v>
      </c>
      <c r="C113" s="40" t="s">
        <v>620</v>
      </c>
    </row>
    <row r="114" spans="2:3" ht="130.5" x14ac:dyDescent="0.35">
      <c r="C114" s="21" t="s">
        <v>621</v>
      </c>
    </row>
    <row r="115" spans="2:3" ht="10" customHeight="1" x14ac:dyDescent="0.35"/>
    <row r="116" spans="2:3" ht="20" customHeight="1" x14ac:dyDescent="0.35">
      <c r="B116" s="29" t="s">
        <v>622</v>
      </c>
      <c r="C116" s="40" t="s">
        <v>623</v>
      </c>
    </row>
    <row r="117" spans="2:3" ht="203" x14ac:dyDescent="0.35">
      <c r="C117" s="21" t="s">
        <v>624</v>
      </c>
    </row>
    <row r="118" spans="2:3" ht="10" customHeight="1" x14ac:dyDescent="0.35"/>
    <row r="121" spans="2:3" ht="32" customHeight="1" x14ac:dyDescent="0.35">
      <c r="B121" s="291" t="s">
        <v>539</v>
      </c>
      <c r="C121" s="291"/>
    </row>
  </sheetData>
  <sheetProtection password="90EA" sheet="1"/>
  <mergeCells count="1">
    <mergeCell ref="B121:C121"/>
  </mergeCells>
  <hyperlinks>
    <hyperlink ref="C5" r:id="rId1" xr:uid="{00000000-0004-0000-0000-000000000000}"/>
    <hyperlink ref="C6" r:id="rId2" xr:uid="{00000000-0004-0000-0000-000001000000}"/>
    <hyperlink ref="C37" r:id="rId3" xr:uid="{00000000-0004-0000-0000-000002000000}"/>
    <hyperlink ref="B121"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3308</v>
      </c>
      <c r="B1" s="233" t="s">
        <v>0</v>
      </c>
      <c r="C1" s="233" t="s">
        <v>785</v>
      </c>
      <c r="D1" s="233" t="s">
        <v>786</v>
      </c>
      <c r="E1" s="233" t="s">
        <v>791</v>
      </c>
      <c r="F1" s="233" t="s">
        <v>792</v>
      </c>
      <c r="G1" s="233" t="s">
        <v>793</v>
      </c>
      <c r="H1" s="233" t="s">
        <v>794</v>
      </c>
      <c r="I1" s="233" t="s">
        <v>795</v>
      </c>
      <c r="J1" s="233" t="s">
        <v>796</v>
      </c>
      <c r="K1" s="233" t="s">
        <v>797</v>
      </c>
      <c r="L1" s="233" t="s">
        <v>798</v>
      </c>
      <c r="M1" s="233" t="s">
        <v>799</v>
      </c>
      <c r="N1" s="233" t="s">
        <v>800</v>
      </c>
      <c r="O1" s="233" t="s">
        <v>801</v>
      </c>
      <c r="P1" s="233" t="s">
        <v>802</v>
      </c>
      <c r="Q1" s="233" t="s">
        <v>803</v>
      </c>
      <c r="R1" s="233" t="s">
        <v>804</v>
      </c>
      <c r="S1" s="233" t="s">
        <v>805</v>
      </c>
      <c r="T1" s="233" t="s">
        <v>806</v>
      </c>
      <c r="U1" s="233" t="s">
        <v>807</v>
      </c>
      <c r="V1" s="233" t="s">
        <v>808</v>
      </c>
      <c r="W1" s="233" t="s">
        <v>809</v>
      </c>
      <c r="X1" s="233" t="s">
        <v>810</v>
      </c>
      <c r="Y1" s="233" t="s">
        <v>811</v>
      </c>
      <c r="Z1" s="233" t="s">
        <v>812</v>
      </c>
      <c r="AA1" s="233" t="s">
        <v>813</v>
      </c>
      <c r="AB1" s="233" t="s">
        <v>814</v>
      </c>
      <c r="AC1" s="233" t="s">
        <v>815</v>
      </c>
      <c r="AD1" s="233" t="s">
        <v>816</v>
      </c>
      <c r="AE1" s="233" t="s">
        <v>817</v>
      </c>
      <c r="AF1" s="233" t="s">
        <v>818</v>
      </c>
      <c r="AG1" s="233" t="s">
        <v>819</v>
      </c>
      <c r="AH1" s="233" t="s">
        <v>820</v>
      </c>
      <c r="AI1" s="233" t="s">
        <v>821</v>
      </c>
      <c r="AJ1" s="233" t="s">
        <v>822</v>
      </c>
      <c r="AK1" s="233" t="s">
        <v>823</v>
      </c>
      <c r="AL1" s="233" t="s">
        <v>824</v>
      </c>
      <c r="AM1" s="233" t="s">
        <v>825</v>
      </c>
      <c r="AN1" s="233" t="s">
        <v>826</v>
      </c>
      <c r="AO1" s="233" t="s">
        <v>827</v>
      </c>
      <c r="AP1" s="233" t="s">
        <v>828</v>
      </c>
      <c r="AQ1" s="233" t="s">
        <v>829</v>
      </c>
      <c r="AR1" s="233" t="s">
        <v>830</v>
      </c>
      <c r="AS1" s="234" t="s">
        <v>831</v>
      </c>
    </row>
    <row r="2" spans="1:45" ht="60" customHeight="1" outlineLevel="1" x14ac:dyDescent="0.35">
      <c r="A2" s="226" t="s">
        <v>3309</v>
      </c>
      <c r="B2" s="213" t="s">
        <v>3310</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3309</v>
      </c>
      <c r="B3" s="214" t="s">
        <v>3311</v>
      </c>
      <c r="C3" s="215" t="s">
        <v>3312</v>
      </c>
      <c r="D3" s="217" t="s">
        <v>3313</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3309</v>
      </c>
      <c r="B4" s="214" t="s">
        <v>3314</v>
      </c>
      <c r="C4" s="215" t="s">
        <v>3315</v>
      </c>
      <c r="D4" s="217" t="s">
        <v>3316</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3309</v>
      </c>
      <c r="B5" s="214" t="s">
        <v>3317</v>
      </c>
      <c r="C5" s="215" t="s">
        <v>3318</v>
      </c>
      <c r="D5" s="217" t="s">
        <v>3319</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3309</v>
      </c>
      <c r="B6" s="214" t="s">
        <v>3320</v>
      </c>
      <c r="C6" s="215" t="s">
        <v>3321</v>
      </c>
      <c r="D6" s="217" t="s">
        <v>3322</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3309</v>
      </c>
      <c r="B7" s="214" t="s">
        <v>3323</v>
      </c>
      <c r="C7" s="215" t="s">
        <v>3324</v>
      </c>
      <c r="D7" s="217" t="s">
        <v>3325</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3309</v>
      </c>
      <c r="B8" s="214" t="s">
        <v>3326</v>
      </c>
      <c r="C8" s="215" t="s">
        <v>3327</v>
      </c>
      <c r="D8" s="217" t="s">
        <v>3328</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3309</v>
      </c>
      <c r="B9" s="214" t="s">
        <v>3329</v>
      </c>
      <c r="C9" s="215" t="s">
        <v>3330</v>
      </c>
      <c r="D9" s="217" t="s">
        <v>3331</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3309</v>
      </c>
      <c r="B10" s="214" t="s">
        <v>3332</v>
      </c>
      <c r="C10" s="215" t="s">
        <v>3333</v>
      </c>
      <c r="D10" s="217" t="s">
        <v>3334</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3309</v>
      </c>
      <c r="B11" s="214" t="s">
        <v>3335</v>
      </c>
      <c r="C11" s="215" t="s">
        <v>3336</v>
      </c>
      <c r="D11" s="217" t="s">
        <v>3337</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3309</v>
      </c>
      <c r="B12" s="214" t="s">
        <v>3338</v>
      </c>
      <c r="C12" s="215" t="s">
        <v>3339</v>
      </c>
      <c r="D12" s="217" t="s">
        <v>3340</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3309</v>
      </c>
      <c r="B13" s="214" t="s">
        <v>3341</v>
      </c>
      <c r="C13" s="215" t="s">
        <v>3342</v>
      </c>
      <c r="D13" s="217" t="s">
        <v>3343</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3309</v>
      </c>
      <c r="B14" s="214" t="s">
        <v>3344</v>
      </c>
      <c r="C14" s="215" t="s">
        <v>3345</v>
      </c>
      <c r="D14" s="217" t="s">
        <v>3346</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3309</v>
      </c>
      <c r="B15" s="214" t="s">
        <v>3347</v>
      </c>
      <c r="C15" s="215" t="s">
        <v>3348</v>
      </c>
      <c r="D15" s="217" t="s">
        <v>3349</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3309</v>
      </c>
      <c r="B16" s="214" t="s">
        <v>3350</v>
      </c>
      <c r="C16" s="215" t="s">
        <v>3351</v>
      </c>
      <c r="D16" s="217" t="s">
        <v>3352</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3309</v>
      </c>
      <c r="B17" s="214" t="s">
        <v>3353</v>
      </c>
      <c r="C17" s="215" t="s">
        <v>3354</v>
      </c>
      <c r="D17" s="217" t="s">
        <v>3355</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3309</v>
      </c>
      <c r="B18" s="214" t="s">
        <v>3356</v>
      </c>
      <c r="C18" s="215" t="s">
        <v>3357</v>
      </c>
      <c r="D18" s="217" t="s">
        <v>3358</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3309</v>
      </c>
      <c r="B19" s="214" t="s">
        <v>3359</v>
      </c>
      <c r="C19" s="215" t="s">
        <v>3360</v>
      </c>
      <c r="D19" s="217" t="s">
        <v>3361</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3309</v>
      </c>
      <c r="B20" s="214" t="s">
        <v>3362</v>
      </c>
      <c r="C20" s="215" t="s">
        <v>3363</v>
      </c>
      <c r="D20" s="217" t="s">
        <v>3364</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3309</v>
      </c>
      <c r="B21" s="214" t="s">
        <v>3365</v>
      </c>
      <c r="C21" s="215" t="s">
        <v>3366</v>
      </c>
      <c r="D21" s="217" t="s">
        <v>3367</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3309</v>
      </c>
      <c r="B22" s="214" t="s">
        <v>3368</v>
      </c>
      <c r="C22" s="215" t="s">
        <v>3369</v>
      </c>
      <c r="D22" s="217" t="s">
        <v>3370</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3309</v>
      </c>
      <c r="B23" s="214" t="s">
        <v>3371</v>
      </c>
      <c r="C23" s="215" t="s">
        <v>3372</v>
      </c>
      <c r="D23" s="217" t="s">
        <v>3373</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3309</v>
      </c>
      <c r="B24" s="214" t="s">
        <v>3374</v>
      </c>
      <c r="C24" s="215" t="s">
        <v>3375</v>
      </c>
      <c r="D24" s="217" t="s">
        <v>3376</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3309</v>
      </c>
      <c r="B25" s="214" t="s">
        <v>3377</v>
      </c>
      <c r="C25" s="215" t="s">
        <v>3378</v>
      </c>
      <c r="D25" s="217" t="s">
        <v>3379</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3309</v>
      </c>
      <c r="B26" s="214" t="s">
        <v>3380</v>
      </c>
      <c r="C26" s="215" t="s">
        <v>3381</v>
      </c>
      <c r="D26" s="217" t="s">
        <v>3382</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3309</v>
      </c>
      <c r="B27" s="214" t="s">
        <v>3383</v>
      </c>
      <c r="C27" s="215" t="s">
        <v>3384</v>
      </c>
      <c r="D27" s="217" t="s">
        <v>3385</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3309</v>
      </c>
      <c r="B28" s="214" t="s">
        <v>3386</v>
      </c>
      <c r="C28" s="215" t="s">
        <v>3387</v>
      </c>
      <c r="D28" s="217" t="s">
        <v>3388</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3309</v>
      </c>
      <c r="B29" s="214" t="s">
        <v>3389</v>
      </c>
      <c r="C29" s="215" t="s">
        <v>3390</v>
      </c>
      <c r="D29" s="217" t="s">
        <v>3391</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3309</v>
      </c>
      <c r="B30" s="214" t="s">
        <v>3392</v>
      </c>
      <c r="C30" s="215" t="s">
        <v>3393</v>
      </c>
      <c r="D30" s="217" t="s">
        <v>3394</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3309</v>
      </c>
      <c r="B31" s="214" t="s">
        <v>3395</v>
      </c>
      <c r="C31" s="215" t="s">
        <v>3396</v>
      </c>
      <c r="D31" s="217" t="s">
        <v>3397</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3309</v>
      </c>
      <c r="B32" s="214" t="s">
        <v>3398</v>
      </c>
      <c r="C32" s="215" t="s">
        <v>3399</v>
      </c>
      <c r="D32" s="217" t="s">
        <v>3400</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3309</v>
      </c>
      <c r="B33" s="214" t="s">
        <v>3401</v>
      </c>
      <c r="C33" s="215" t="s">
        <v>3402</v>
      </c>
      <c r="D33" s="217" t="s">
        <v>3403</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3309</v>
      </c>
      <c r="B34" s="214" t="s">
        <v>3404</v>
      </c>
      <c r="C34" s="215" t="s">
        <v>3405</v>
      </c>
      <c r="D34" s="217" t="s">
        <v>3406</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3309</v>
      </c>
      <c r="B35" s="214" t="s">
        <v>3407</v>
      </c>
      <c r="C35" s="215" t="s">
        <v>3408</v>
      </c>
      <c r="D35" s="217" t="s">
        <v>3409</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3309</v>
      </c>
      <c r="B36" s="214" t="s">
        <v>3410</v>
      </c>
      <c r="C36" s="215" t="s">
        <v>3411</v>
      </c>
      <c r="D36" s="217" t="s">
        <v>3412</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3309</v>
      </c>
      <c r="B37" s="214" t="s">
        <v>3413</v>
      </c>
      <c r="C37" s="215" t="s">
        <v>3414</v>
      </c>
      <c r="D37" s="217" t="s">
        <v>3415</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3309</v>
      </c>
      <c r="B38" s="214" t="s">
        <v>3416</v>
      </c>
      <c r="C38" s="215" t="s">
        <v>3417</v>
      </c>
      <c r="D38" s="217" t="s">
        <v>3418</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3309</v>
      </c>
      <c r="B39" s="214" t="s">
        <v>3419</v>
      </c>
      <c r="C39" s="215" t="s">
        <v>3420</v>
      </c>
      <c r="D39" s="217" t="s">
        <v>3421</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3422</v>
      </c>
      <c r="B40" s="213" t="s">
        <v>3423</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3422</v>
      </c>
      <c r="B41" s="214" t="s">
        <v>3424</v>
      </c>
      <c r="C41" s="215" t="s">
        <v>3425</v>
      </c>
      <c r="D41" s="217" t="s">
        <v>3426</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3422</v>
      </c>
      <c r="B42" s="214" t="s">
        <v>3427</v>
      </c>
      <c r="C42" s="215" t="s">
        <v>3428</v>
      </c>
      <c r="D42" s="217" t="s">
        <v>3429</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3422</v>
      </c>
      <c r="B43" s="214" t="s">
        <v>3430</v>
      </c>
      <c r="C43" s="215" t="s">
        <v>3431</v>
      </c>
      <c r="D43" s="217" t="s">
        <v>3432</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3422</v>
      </c>
      <c r="B44" s="214" t="s">
        <v>3433</v>
      </c>
      <c r="C44" s="215" t="s">
        <v>3434</v>
      </c>
      <c r="D44" s="217" t="s">
        <v>3435</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3422</v>
      </c>
      <c r="B45" s="214" t="s">
        <v>3436</v>
      </c>
      <c r="C45" s="215" t="s">
        <v>3437</v>
      </c>
      <c r="D45" s="217" t="s">
        <v>3438</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3422</v>
      </c>
      <c r="B46" s="214" t="s">
        <v>3439</v>
      </c>
      <c r="C46" s="215" t="s">
        <v>3440</v>
      </c>
      <c r="D46" s="217" t="s">
        <v>3441</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3422</v>
      </c>
      <c r="B47" s="214" t="s">
        <v>3442</v>
      </c>
      <c r="C47" s="215" t="s">
        <v>3443</v>
      </c>
      <c r="D47" s="217" t="s">
        <v>3444</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3422</v>
      </c>
      <c r="B48" s="214" t="s">
        <v>3445</v>
      </c>
      <c r="C48" s="215" t="s">
        <v>3446</v>
      </c>
      <c r="D48" s="217" t="s">
        <v>3447</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3448</v>
      </c>
      <c r="B49" s="213" t="s">
        <v>3449</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3448</v>
      </c>
      <c r="B50" s="214" t="s">
        <v>3450</v>
      </c>
      <c r="C50" s="215" t="s">
        <v>3451</v>
      </c>
      <c r="D50" s="217" t="s">
        <v>3452</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3448</v>
      </c>
      <c r="B51" s="214" t="s">
        <v>3453</v>
      </c>
      <c r="C51" s="215" t="s">
        <v>3454</v>
      </c>
      <c r="D51" s="217" t="s">
        <v>3455</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3448</v>
      </c>
      <c r="B52" s="214" t="s">
        <v>3456</v>
      </c>
      <c r="C52" s="215" t="s">
        <v>3457</v>
      </c>
      <c r="D52" s="217" t="s">
        <v>3458</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3448</v>
      </c>
      <c r="B53" s="214" t="s">
        <v>3459</v>
      </c>
      <c r="C53" s="215" t="s">
        <v>3460</v>
      </c>
      <c r="D53" s="217" t="s">
        <v>3461</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3448</v>
      </c>
      <c r="B54" s="214" t="s">
        <v>3462</v>
      </c>
      <c r="C54" s="215" t="s">
        <v>3463</v>
      </c>
      <c r="D54" s="217" t="s">
        <v>3464</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3448</v>
      </c>
      <c r="B55" s="214" t="s">
        <v>3465</v>
      </c>
      <c r="C55" s="215" t="s">
        <v>3466</v>
      </c>
      <c r="D55" s="217" t="s">
        <v>3467</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3448</v>
      </c>
      <c r="B56" s="214" t="s">
        <v>3468</v>
      </c>
      <c r="C56" s="215" t="s">
        <v>3469</v>
      </c>
      <c r="D56" s="217" t="s">
        <v>3470</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3448</v>
      </c>
      <c r="B57" s="214" t="s">
        <v>3471</v>
      </c>
      <c r="C57" s="215" t="s">
        <v>3472</v>
      </c>
      <c r="D57" s="217" t="s">
        <v>3473</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3448</v>
      </c>
      <c r="B58" s="214" t="s">
        <v>3474</v>
      </c>
      <c r="C58" s="215" t="s">
        <v>3475</v>
      </c>
      <c r="D58" s="217" t="s">
        <v>3476</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3448</v>
      </c>
      <c r="B59" s="214" t="s">
        <v>3477</v>
      </c>
      <c r="C59" s="215" t="s">
        <v>3478</v>
      </c>
      <c r="D59" s="217" t="s">
        <v>3479</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3448</v>
      </c>
      <c r="B60" s="214" t="s">
        <v>3480</v>
      </c>
      <c r="C60" s="215" t="s">
        <v>3481</v>
      </c>
      <c r="D60" s="217" t="s">
        <v>3482</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3448</v>
      </c>
      <c r="B61" s="214" t="s">
        <v>3483</v>
      </c>
      <c r="C61" s="215" t="s">
        <v>3484</v>
      </c>
      <c r="D61" s="217" t="s">
        <v>3485</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3448</v>
      </c>
      <c r="B62" s="214" t="s">
        <v>3486</v>
      </c>
      <c r="C62" s="215" t="s">
        <v>3487</v>
      </c>
      <c r="D62" s="217" t="s">
        <v>3488</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3448</v>
      </c>
      <c r="B63" s="214" t="s">
        <v>3489</v>
      </c>
      <c r="C63" s="215" t="s">
        <v>3490</v>
      </c>
      <c r="D63" s="217" t="s">
        <v>3491</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3492</v>
      </c>
      <c r="B64" s="213" t="s">
        <v>3493</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3492</v>
      </c>
      <c r="B65" s="214" t="s">
        <v>3494</v>
      </c>
      <c r="C65" s="215" t="s">
        <v>3495</v>
      </c>
      <c r="D65" s="217" t="s">
        <v>3496</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3492</v>
      </c>
      <c r="B66" s="214" t="s">
        <v>3497</v>
      </c>
      <c r="C66" s="215" t="s">
        <v>3498</v>
      </c>
      <c r="D66" s="217" t="s">
        <v>3499</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3492</v>
      </c>
      <c r="B67" s="214" t="s">
        <v>3500</v>
      </c>
      <c r="C67" s="215" t="s">
        <v>3501</v>
      </c>
      <c r="D67" s="217" t="s">
        <v>3502</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3492</v>
      </c>
      <c r="B68" s="214" t="s">
        <v>3503</v>
      </c>
      <c r="C68" s="215" t="s">
        <v>3504</v>
      </c>
      <c r="D68" s="217" t="s">
        <v>3505</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3492</v>
      </c>
      <c r="B69" s="214" t="s">
        <v>3506</v>
      </c>
      <c r="C69" s="215" t="s">
        <v>3507</v>
      </c>
      <c r="D69" s="217" t="s">
        <v>3508</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3492</v>
      </c>
      <c r="B70" s="214" t="s">
        <v>3509</v>
      </c>
      <c r="C70" s="215" t="s">
        <v>3510</v>
      </c>
      <c r="D70" s="217" t="s">
        <v>3511</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3492</v>
      </c>
      <c r="B71" s="214" t="s">
        <v>3512</v>
      </c>
      <c r="C71" s="215" t="s">
        <v>3513</v>
      </c>
      <c r="D71" s="217" t="s">
        <v>3514</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3492</v>
      </c>
      <c r="B72" s="214" t="s">
        <v>3515</v>
      </c>
      <c r="C72" s="215" t="s">
        <v>3516</v>
      </c>
      <c r="D72" s="217" t="s">
        <v>3517</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3492</v>
      </c>
      <c r="B73" s="214" t="s">
        <v>3518</v>
      </c>
      <c r="C73" s="215" t="s">
        <v>3519</v>
      </c>
      <c r="D73" s="217" t="s">
        <v>3520</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3492</v>
      </c>
      <c r="B74" s="214" t="s">
        <v>3521</v>
      </c>
      <c r="C74" s="215" t="s">
        <v>3522</v>
      </c>
      <c r="D74" s="217" t="s">
        <v>3523</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3492</v>
      </c>
      <c r="B75" s="214" t="s">
        <v>3524</v>
      </c>
      <c r="C75" s="215" t="s">
        <v>3525</v>
      </c>
      <c r="D75" s="217" t="s">
        <v>3526</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3492</v>
      </c>
      <c r="B76" s="214" t="s">
        <v>3527</v>
      </c>
      <c r="C76" s="215" t="s">
        <v>3528</v>
      </c>
      <c r="D76" s="217" t="s">
        <v>3529</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3492</v>
      </c>
      <c r="B77" s="214" t="s">
        <v>3530</v>
      </c>
      <c r="C77" s="215" t="s">
        <v>3531</v>
      </c>
      <c r="D77" s="217" t="s">
        <v>3532</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3492</v>
      </c>
      <c r="B78" s="214" t="s">
        <v>3533</v>
      </c>
      <c r="C78" s="215" t="s">
        <v>3534</v>
      </c>
      <c r="D78" s="217" t="s">
        <v>3535</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3492</v>
      </c>
      <c r="B79" s="214" t="s">
        <v>3536</v>
      </c>
      <c r="C79" s="215" t="s">
        <v>3537</v>
      </c>
      <c r="D79" s="217" t="s">
        <v>3538</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3492</v>
      </c>
      <c r="B80" s="214" t="s">
        <v>3539</v>
      </c>
      <c r="C80" s="215" t="s">
        <v>3540</v>
      </c>
      <c r="D80" s="217" t="s">
        <v>3541</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3492</v>
      </c>
      <c r="B81" s="214" t="s">
        <v>3542</v>
      </c>
      <c r="C81" s="215" t="s">
        <v>3543</v>
      </c>
      <c r="D81" s="217" t="s">
        <v>3544</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3492</v>
      </c>
      <c r="B82" s="214" t="s">
        <v>3545</v>
      </c>
      <c r="C82" s="215" t="s">
        <v>3546</v>
      </c>
      <c r="D82" s="217" t="s">
        <v>3547</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3492</v>
      </c>
      <c r="B83" s="214" t="s">
        <v>3548</v>
      </c>
      <c r="C83" s="215" t="s">
        <v>3549</v>
      </c>
      <c r="D83" s="217" t="s">
        <v>3550</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3492</v>
      </c>
      <c r="B84" s="214" t="s">
        <v>3551</v>
      </c>
      <c r="C84" s="215" t="s">
        <v>3552</v>
      </c>
      <c r="D84" s="217" t="s">
        <v>3553</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3492</v>
      </c>
      <c r="B85" s="214" t="s">
        <v>3554</v>
      </c>
      <c r="C85" s="215" t="s">
        <v>3555</v>
      </c>
      <c r="D85" s="217" t="s">
        <v>3556</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3492</v>
      </c>
      <c r="B86" s="214" t="s">
        <v>3557</v>
      </c>
      <c r="C86" s="215" t="s">
        <v>3558</v>
      </c>
      <c r="D86" s="217" t="s">
        <v>3559</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3492</v>
      </c>
      <c r="B87" s="214" t="s">
        <v>3560</v>
      </c>
      <c r="C87" s="215" t="s">
        <v>3561</v>
      </c>
      <c r="D87" s="217" t="s">
        <v>3562</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3492</v>
      </c>
      <c r="B88" s="214" t="s">
        <v>3563</v>
      </c>
      <c r="C88" s="215" t="s">
        <v>3564</v>
      </c>
      <c r="D88" s="217" t="s">
        <v>3565</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3492</v>
      </c>
      <c r="B89" s="214" t="s">
        <v>3566</v>
      </c>
      <c r="C89" s="215" t="s">
        <v>3567</v>
      </c>
      <c r="D89" s="217" t="s">
        <v>3568</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3492</v>
      </c>
      <c r="B90" s="214" t="s">
        <v>3569</v>
      </c>
      <c r="C90" s="215" t="s">
        <v>3570</v>
      </c>
      <c r="D90" s="217" t="s">
        <v>3571</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3492</v>
      </c>
      <c r="B91" s="214" t="s">
        <v>3572</v>
      </c>
      <c r="C91" s="215" t="s">
        <v>3573</v>
      </c>
      <c r="D91" s="217" t="s">
        <v>3574</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3492</v>
      </c>
      <c r="B92" s="214" t="s">
        <v>3575</v>
      </c>
      <c r="C92" s="215" t="s">
        <v>3576</v>
      </c>
      <c r="D92" s="217" t="s">
        <v>3577</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3492</v>
      </c>
      <c r="B93" s="214" t="s">
        <v>3578</v>
      </c>
      <c r="C93" s="215" t="s">
        <v>3579</v>
      </c>
      <c r="D93" s="217" t="s">
        <v>3580</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3492</v>
      </c>
      <c r="B94" s="214" t="s">
        <v>3581</v>
      </c>
      <c r="C94" s="215" t="s">
        <v>3582</v>
      </c>
      <c r="D94" s="217" t="s">
        <v>3583</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3492</v>
      </c>
      <c r="B95" s="214" t="s">
        <v>3584</v>
      </c>
      <c r="C95" s="215" t="s">
        <v>3585</v>
      </c>
      <c r="D95" s="217" t="s">
        <v>3586</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3492</v>
      </c>
      <c r="B96" s="214" t="s">
        <v>3587</v>
      </c>
      <c r="C96" s="215" t="s">
        <v>3588</v>
      </c>
      <c r="D96" s="217" t="s">
        <v>3589</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3492</v>
      </c>
      <c r="B97" s="214" t="s">
        <v>3590</v>
      </c>
      <c r="C97" s="215" t="s">
        <v>3591</v>
      </c>
      <c r="D97" s="217" t="s">
        <v>3592</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3492</v>
      </c>
      <c r="B98" s="221" t="s">
        <v>3593</v>
      </c>
      <c r="C98" s="222" t="s">
        <v>3594</v>
      </c>
      <c r="D98" s="223" t="s">
        <v>3595</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539</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IFERROR(INDEX('Recommendations'!$H$2:$H$105, MATCH(F2,'Recommendations'!$A$2:$A$105,0))="Implemented", FALSE))</xm:f>
            <x14:dxf>
              <font>
                <color rgb="FF000000"/>
              </font>
              <fill>
                <patternFill>
                  <bgColor rgb="FF3C7D22"/>
                </patternFill>
              </fill>
            </x14:dxf>
          </x14:cfRule>
          <x14:cfRule type="expression" priority="2" id="{00000000-000E-0000-0900-000002000000}">
            <xm:f>AND(F2&lt;&gt;"", IFERROR(INDEX('Recommendations'!$H$2:$H$105, MATCH(F2,'Recommendations'!$A$2:$A$105,0))="Compensated", FALSE))</xm:f>
            <x14:dxf>
              <font>
                <color rgb="FF000000"/>
              </font>
              <fill>
                <patternFill>
                  <bgColor rgb="FFC6E0B4"/>
                </patternFill>
              </fill>
            </x14:dxf>
          </x14:cfRule>
          <x14:cfRule type="expression" priority="3" id="{00000000-000E-0000-0900-000003000000}">
            <xm:f>AND(F2&lt;&gt;"", IFERROR(INDEX('Recommendations'!$H$2:$H$105, MATCH(F2,'Recommendations'!$A$2:$A$105,0))="Testing", FALSE))</xm:f>
            <x14:dxf>
              <font>
                <color rgb="FF000000"/>
              </font>
              <fill>
                <patternFill>
                  <bgColor rgb="FFFFC000"/>
                </patternFill>
              </fill>
            </x14:dxf>
          </x14:cfRule>
          <x14:cfRule type="expression" priority="4" id="{00000000-000E-0000-0900-000004000000}">
            <xm:f>AND(F2&lt;&gt;"", IFERROR(INDEX('Recommendations'!$H$2:$H$105, MATCH(F2,'Recommendations'!$A$2:$A$105,0))="Failed", FALSE))</xm:f>
            <x14:dxf>
              <font>
                <color rgb="FF000000"/>
              </font>
              <fill>
                <patternFill>
                  <bgColor rgb="FFD82891"/>
                </patternFill>
              </fill>
            </x14:dxf>
          </x14:cfRule>
          <x14:cfRule type="expression" priority="5" id="{00000000-000E-0000-0900-000005000000}">
            <xm:f>AND(F2&lt;&gt;"", IFERROR(INDEX('Recommendations'!$H$2:$H$105, MATCH(F2,'Recommendations'!$A$2:$A$105,0))="Risk Accepted", FALSE))</xm:f>
            <x14:dxf>
              <font>
                <color rgb="FF000000"/>
              </font>
              <fill>
                <patternFill>
                  <bgColor rgb="FFD9D9D9"/>
                </patternFill>
              </fill>
            </x14:dxf>
          </x14:cfRule>
          <x14:cfRule type="expression" priority="6" id="{00000000-000E-0000-0900-000006000000}">
            <xm:f>AND(F2&lt;&gt;"", IFERROR(INDEX('Recommendations'!$H$2:$H$105, MATCH(F2,'Recommendations'!$A$2:$A$105,0))="N/A",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3596</v>
      </c>
      <c r="C1" s="256" t="s">
        <v>3597</v>
      </c>
      <c r="D1" s="256" t="s">
        <v>3598</v>
      </c>
      <c r="E1" s="256" t="s">
        <v>3599</v>
      </c>
      <c r="F1" s="256" t="s">
        <v>2425</v>
      </c>
      <c r="G1" s="256" t="s">
        <v>3600</v>
      </c>
      <c r="H1" s="256" t="s">
        <v>3601</v>
      </c>
      <c r="I1" s="256" t="s">
        <v>3602</v>
      </c>
      <c r="J1" s="256" t="s">
        <v>11</v>
      </c>
      <c r="K1" s="256" t="s">
        <v>791</v>
      </c>
      <c r="L1" s="256" t="s">
        <v>792</v>
      </c>
      <c r="M1" s="256" t="s">
        <v>793</v>
      </c>
      <c r="N1" s="256" t="s">
        <v>794</v>
      </c>
      <c r="O1" s="256" t="s">
        <v>795</v>
      </c>
      <c r="P1" s="256" t="s">
        <v>796</v>
      </c>
      <c r="Q1" s="256" t="s">
        <v>797</v>
      </c>
      <c r="R1" s="256" t="s">
        <v>798</v>
      </c>
      <c r="S1" s="256" t="s">
        <v>799</v>
      </c>
      <c r="T1" s="256" t="s">
        <v>800</v>
      </c>
      <c r="U1" s="256" t="s">
        <v>801</v>
      </c>
      <c r="V1" s="256" t="s">
        <v>802</v>
      </c>
      <c r="W1" s="256" t="s">
        <v>803</v>
      </c>
      <c r="X1" s="256" t="s">
        <v>804</v>
      </c>
      <c r="Y1" s="256" t="s">
        <v>805</v>
      </c>
      <c r="Z1" s="256" t="s">
        <v>806</v>
      </c>
      <c r="AA1" s="256" t="s">
        <v>807</v>
      </c>
      <c r="AB1" s="256" t="s">
        <v>808</v>
      </c>
      <c r="AC1" s="256" t="s">
        <v>809</v>
      </c>
      <c r="AD1" s="256" t="s">
        <v>810</v>
      </c>
      <c r="AE1" s="256" t="s">
        <v>811</v>
      </c>
      <c r="AF1" s="256" t="s">
        <v>812</v>
      </c>
      <c r="AG1" s="256" t="s">
        <v>813</v>
      </c>
      <c r="AH1" s="256" t="s">
        <v>814</v>
      </c>
      <c r="AI1" s="256" t="s">
        <v>815</v>
      </c>
      <c r="AJ1" s="256" t="s">
        <v>816</v>
      </c>
      <c r="AK1" s="256" t="s">
        <v>817</v>
      </c>
      <c r="AL1" s="256" t="s">
        <v>818</v>
      </c>
      <c r="AM1" s="256" t="s">
        <v>819</v>
      </c>
      <c r="AN1" s="256" t="s">
        <v>820</v>
      </c>
      <c r="AO1" s="256" t="s">
        <v>821</v>
      </c>
      <c r="AP1" s="256" t="s">
        <v>822</v>
      </c>
      <c r="AQ1" s="256" t="s">
        <v>823</v>
      </c>
      <c r="AR1" s="256" t="s">
        <v>824</v>
      </c>
      <c r="AS1" s="256" t="s">
        <v>825</v>
      </c>
      <c r="AT1" s="256" t="s">
        <v>826</v>
      </c>
      <c r="AU1" s="256" t="s">
        <v>827</v>
      </c>
      <c r="AV1" s="256" t="s">
        <v>828</v>
      </c>
      <c r="AW1" s="256" t="s">
        <v>829</v>
      </c>
      <c r="AX1" s="256" t="s">
        <v>830</v>
      </c>
      <c r="AY1" s="257" t="s">
        <v>831</v>
      </c>
    </row>
    <row r="2" spans="1:51" ht="60" customHeight="1" outlineLevel="1" x14ac:dyDescent="0.35">
      <c r="A2" s="247" t="s">
        <v>3603</v>
      </c>
      <c r="B2" s="235" t="s">
        <v>3604</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834</v>
      </c>
      <c r="B3" s="236" t="s">
        <v>3605</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3606</v>
      </c>
      <c r="B4" s="237" t="s">
        <v>3607</v>
      </c>
      <c r="C4" s="237" t="s">
        <v>3608</v>
      </c>
      <c r="D4" s="237" t="s">
        <v>3609</v>
      </c>
      <c r="E4" s="237" t="s">
        <v>3610</v>
      </c>
      <c r="F4" s="237" t="s">
        <v>21</v>
      </c>
      <c r="G4" s="237" t="s">
        <v>21</v>
      </c>
      <c r="H4" s="237" t="s">
        <v>3611</v>
      </c>
      <c r="I4" s="237" t="s">
        <v>21</v>
      </c>
      <c r="J4" s="237" t="s">
        <v>3612</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3613</v>
      </c>
      <c r="B5" s="237" t="s">
        <v>3614</v>
      </c>
      <c r="C5" s="237" t="s">
        <v>3615</v>
      </c>
      <c r="D5" s="237" t="s">
        <v>3616</v>
      </c>
      <c r="E5" s="237" t="s">
        <v>3617</v>
      </c>
      <c r="F5" s="237" t="s">
        <v>3618</v>
      </c>
      <c r="G5" s="237" t="s">
        <v>21</v>
      </c>
      <c r="H5" s="237" t="s">
        <v>3619</v>
      </c>
      <c r="I5" s="237" t="s">
        <v>21</v>
      </c>
      <c r="J5" s="237" t="s">
        <v>3620</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840</v>
      </c>
      <c r="B6" s="236" t="s">
        <v>3621</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3622</v>
      </c>
      <c r="B7" s="237" t="s">
        <v>3623</v>
      </c>
      <c r="C7" s="237" t="s">
        <v>3624</v>
      </c>
      <c r="D7" s="237" t="s">
        <v>3625</v>
      </c>
      <c r="E7" s="237" t="s">
        <v>3617</v>
      </c>
      <c r="F7" s="237" t="s">
        <v>3626</v>
      </c>
      <c r="G7" s="237" t="s">
        <v>21</v>
      </c>
      <c r="H7" s="237" t="s">
        <v>3627</v>
      </c>
      <c r="I7" s="237" t="s">
        <v>21</v>
      </c>
      <c r="J7" s="237" t="s">
        <v>3628</v>
      </c>
      <c r="K7" s="240" t="str">
        <f>IF(COUNTIF(L7:AY7,"&lt;&gt;")=0,"",SUMPRODUCT(((Recommendations[ImplStatus]="Implemented")+(Recommendations[ImplStatus]="Compensated"))*ISNUMBER(MATCH(Recommendations[Id],L7:AY7,0)))/COUNTIF(L7:AY7,"&lt;&gt;"))</f>
        <v/>
      </c>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3629</v>
      </c>
      <c r="B8" s="237" t="s">
        <v>3630</v>
      </c>
      <c r="C8" s="237" t="s">
        <v>3631</v>
      </c>
      <c r="D8" s="237" t="s">
        <v>3632</v>
      </c>
      <c r="E8" s="237" t="s">
        <v>21</v>
      </c>
      <c r="F8" s="237" t="s">
        <v>21</v>
      </c>
      <c r="G8" s="237" t="s">
        <v>21</v>
      </c>
      <c r="H8" s="237" t="s">
        <v>3633</v>
      </c>
      <c r="I8" s="237" t="s">
        <v>3634</v>
      </c>
      <c r="J8" s="237" t="s">
        <v>3635</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3636</v>
      </c>
      <c r="B9" s="237" t="s">
        <v>3637</v>
      </c>
      <c r="C9" s="237" t="s">
        <v>3638</v>
      </c>
      <c r="D9" s="237" t="s">
        <v>3639</v>
      </c>
      <c r="E9" s="237" t="s">
        <v>21</v>
      </c>
      <c r="F9" s="237" t="s">
        <v>21</v>
      </c>
      <c r="G9" s="237" t="s">
        <v>21</v>
      </c>
      <c r="H9" s="237" t="s">
        <v>3640</v>
      </c>
      <c r="I9" s="237" t="s">
        <v>3641</v>
      </c>
      <c r="J9" s="237" t="s">
        <v>3642</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3643</v>
      </c>
      <c r="B10" s="237" t="s">
        <v>3644</v>
      </c>
      <c r="C10" s="237" t="s">
        <v>3645</v>
      </c>
      <c r="D10" s="237" t="s">
        <v>3646</v>
      </c>
      <c r="E10" s="237" t="s">
        <v>21</v>
      </c>
      <c r="F10" s="237" t="s">
        <v>21</v>
      </c>
      <c r="G10" s="237" t="s">
        <v>21</v>
      </c>
      <c r="H10" s="237" t="s">
        <v>3647</v>
      </c>
      <c r="I10" s="237" t="s">
        <v>3648</v>
      </c>
      <c r="J10" s="237" t="s">
        <v>3649</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3650</v>
      </c>
      <c r="B11" s="237" t="s">
        <v>3651</v>
      </c>
      <c r="C11" s="237" t="s">
        <v>3652</v>
      </c>
      <c r="D11" s="237" t="s">
        <v>3653</v>
      </c>
      <c r="E11" s="237" t="s">
        <v>21</v>
      </c>
      <c r="F11" s="237" t="s">
        <v>21</v>
      </c>
      <c r="G11" s="237" t="s">
        <v>21</v>
      </c>
      <c r="H11" s="237" t="s">
        <v>3654</v>
      </c>
      <c r="I11" s="237" t="s">
        <v>21</v>
      </c>
      <c r="J11" s="237" t="s">
        <v>3655</v>
      </c>
      <c r="K11" s="240" t="str">
        <f>IF(COUNTIF(L11:AY11,"&lt;&gt;")=0,"",SUMPRODUCT(((Recommendations[ImplStatus]="Implemented")+(Recommendations[ImplStatus]="Compensated"))*ISNUMBER(MATCH(Recommendations[Id],L11:AY11,0)))/COUNTIF(L11:AY11,"&lt;&gt;"))</f>
        <v/>
      </c>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3656</v>
      </c>
      <c r="B12" s="237" t="s">
        <v>3657</v>
      </c>
      <c r="C12" s="237" t="s">
        <v>3658</v>
      </c>
      <c r="D12" s="237" t="s">
        <v>3659</v>
      </c>
      <c r="E12" s="237" t="s">
        <v>21</v>
      </c>
      <c r="F12" s="237" t="s">
        <v>21</v>
      </c>
      <c r="G12" s="237" t="s">
        <v>3660</v>
      </c>
      <c r="H12" s="237" t="s">
        <v>3661</v>
      </c>
      <c r="I12" s="237" t="s">
        <v>21</v>
      </c>
      <c r="J12" s="237" t="s">
        <v>3662</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3663</v>
      </c>
      <c r="B13" s="237" t="s">
        <v>3664</v>
      </c>
      <c r="C13" s="237" t="s">
        <v>3665</v>
      </c>
      <c r="D13" s="237" t="s">
        <v>3666</v>
      </c>
      <c r="E13" s="237" t="s">
        <v>21</v>
      </c>
      <c r="F13" s="237" t="s">
        <v>21</v>
      </c>
      <c r="G13" s="237" t="s">
        <v>21</v>
      </c>
      <c r="H13" s="237" t="s">
        <v>3667</v>
      </c>
      <c r="I13" s="237" t="s">
        <v>21</v>
      </c>
      <c r="J13" s="237" t="s">
        <v>3668</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3669</v>
      </c>
      <c r="B14" s="237" t="s">
        <v>3670</v>
      </c>
      <c r="C14" s="237" t="s">
        <v>3671</v>
      </c>
      <c r="D14" s="237" t="s">
        <v>3672</v>
      </c>
      <c r="E14" s="237" t="s">
        <v>21</v>
      </c>
      <c r="F14" s="237" t="s">
        <v>3673</v>
      </c>
      <c r="G14" s="237" t="s">
        <v>21</v>
      </c>
      <c r="H14" s="237" t="s">
        <v>3674</v>
      </c>
      <c r="I14" s="237" t="s">
        <v>3675</v>
      </c>
      <c r="J14" s="237" t="s">
        <v>3676</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845</v>
      </c>
      <c r="B15" s="236" t="s">
        <v>3677</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3678</v>
      </c>
      <c r="B16" s="237" t="s">
        <v>3679</v>
      </c>
      <c r="C16" s="237" t="s">
        <v>3680</v>
      </c>
      <c r="D16" s="237" t="s">
        <v>3672</v>
      </c>
      <c r="E16" s="237" t="s">
        <v>21</v>
      </c>
      <c r="F16" s="237" t="s">
        <v>3681</v>
      </c>
      <c r="G16" s="237" t="s">
        <v>21</v>
      </c>
      <c r="H16" s="237" t="s">
        <v>3682</v>
      </c>
      <c r="I16" s="237" t="s">
        <v>21</v>
      </c>
      <c r="J16" s="237" t="s">
        <v>3683</v>
      </c>
      <c r="K16" s="240">
        <f>IF(COUNTIF(L16:AY16,"&lt;&gt;")=0,"",SUMPRODUCT(((Recommendations[ImplStatus]="Implemented")+(Recommendations[ImplStatus]="Compensated"))*ISNUMBER(MATCH(Recommendations[Id],L16:AY16,0)))/COUNTIF(L16:AY16,"&lt;&gt;"))</f>
        <v>0</v>
      </c>
      <c r="L16" s="243" t="s">
        <v>220</v>
      </c>
      <c r="M16" s="243" t="s">
        <v>276</v>
      </c>
      <c r="N16" s="243" t="s">
        <v>281</v>
      </c>
      <c r="O16" s="243" t="s">
        <v>286</v>
      </c>
      <c r="P16" s="243" t="s">
        <v>368</v>
      </c>
      <c r="Q16" s="243" t="s">
        <v>407</v>
      </c>
      <c r="R16" s="243" t="s">
        <v>413</v>
      </c>
      <c r="S16" s="243" t="s">
        <v>453</v>
      </c>
      <c r="T16" s="243" t="s">
        <v>473</v>
      </c>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3684</v>
      </c>
      <c r="B17" s="237" t="s">
        <v>3685</v>
      </c>
      <c r="C17" s="237" t="s">
        <v>3686</v>
      </c>
      <c r="D17" s="237" t="s">
        <v>3687</v>
      </c>
      <c r="E17" s="237" t="s">
        <v>21</v>
      </c>
      <c r="F17" s="237" t="s">
        <v>3681</v>
      </c>
      <c r="G17" s="237" t="s">
        <v>21</v>
      </c>
      <c r="H17" s="237" t="s">
        <v>3688</v>
      </c>
      <c r="I17" s="237" t="s">
        <v>21</v>
      </c>
      <c r="J17" s="237" t="s">
        <v>3689</v>
      </c>
      <c r="K17" s="240">
        <f>IF(COUNTIF(L17:AY17,"&lt;&gt;")=0,"",SUMPRODUCT(((Recommendations[ImplStatus]="Implemented")+(Recommendations[ImplStatus]="Compensated"))*ISNUMBER(MATCH(Recommendations[Id],L17:AY17,0)))/COUNTIF(L17:AY17,"&lt;&gt;"))</f>
        <v>0</v>
      </c>
      <c r="L17" s="243" t="s">
        <v>407</v>
      </c>
      <c r="M17" s="243" t="s">
        <v>413</v>
      </c>
      <c r="N17" s="243" t="s">
        <v>453</v>
      </c>
      <c r="O17" s="243" t="s">
        <v>473</v>
      </c>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3690</v>
      </c>
      <c r="B18" s="237" t="s">
        <v>3691</v>
      </c>
      <c r="C18" s="237" t="s">
        <v>3692</v>
      </c>
      <c r="D18" s="237" t="s">
        <v>21</v>
      </c>
      <c r="E18" s="237" t="s">
        <v>21</v>
      </c>
      <c r="F18" s="237" t="s">
        <v>21</v>
      </c>
      <c r="G18" s="237" t="s">
        <v>21</v>
      </c>
      <c r="H18" s="237" t="s">
        <v>3693</v>
      </c>
      <c r="I18" s="237" t="s">
        <v>21</v>
      </c>
      <c r="J18" s="237" t="s">
        <v>3694</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850</v>
      </c>
      <c r="B19" s="236" t="s">
        <v>3695</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3696</v>
      </c>
      <c r="B20" s="237" t="s">
        <v>3697</v>
      </c>
      <c r="C20" s="237" t="s">
        <v>3698</v>
      </c>
      <c r="D20" s="237" t="s">
        <v>3699</v>
      </c>
      <c r="E20" s="237" t="s">
        <v>21</v>
      </c>
      <c r="F20" s="237" t="s">
        <v>3700</v>
      </c>
      <c r="G20" s="237" t="s">
        <v>21</v>
      </c>
      <c r="H20" s="237" t="s">
        <v>3701</v>
      </c>
      <c r="I20" s="237" t="s">
        <v>21</v>
      </c>
      <c r="J20" s="237" t="s">
        <v>3702</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3703</v>
      </c>
      <c r="B21" s="237" t="s">
        <v>3704</v>
      </c>
      <c r="C21" s="237" t="s">
        <v>3705</v>
      </c>
      <c r="D21" s="237" t="s">
        <v>3706</v>
      </c>
      <c r="E21" s="237" t="s">
        <v>3707</v>
      </c>
      <c r="F21" s="237" t="s">
        <v>21</v>
      </c>
      <c r="G21" s="237" t="s">
        <v>21</v>
      </c>
      <c r="H21" s="237" t="s">
        <v>3708</v>
      </c>
      <c r="I21" s="237" t="s">
        <v>3709</v>
      </c>
      <c r="J21" s="237" t="s">
        <v>3710</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3711</v>
      </c>
      <c r="B22" s="237" t="s">
        <v>3712</v>
      </c>
      <c r="C22" s="237" t="s">
        <v>3713</v>
      </c>
      <c r="D22" s="237" t="s">
        <v>3714</v>
      </c>
      <c r="E22" s="237" t="s">
        <v>21</v>
      </c>
      <c r="F22" s="237" t="s">
        <v>3715</v>
      </c>
      <c r="G22" s="237" t="s">
        <v>21</v>
      </c>
      <c r="H22" s="237" t="s">
        <v>3716</v>
      </c>
      <c r="I22" s="237" t="s">
        <v>21</v>
      </c>
      <c r="J22" s="237" t="s">
        <v>3717</v>
      </c>
      <c r="K22" s="240" t="str">
        <f>IF(COUNTIF(L22:AY22,"&lt;&gt;")=0,"",SUMPRODUCT(((Recommendations[ImplStatus]="Implemented")+(Recommendations[ImplStatus]="Compensated"))*ISNUMBER(MATCH(Recommendations[Id],L22:AY22,0)))/COUNTIF(L22:AY22,"&lt;&gt;"))</f>
        <v/>
      </c>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3718</v>
      </c>
      <c r="B23" s="237" t="s">
        <v>3719</v>
      </c>
      <c r="C23" s="237" t="s">
        <v>3720</v>
      </c>
      <c r="D23" s="237" t="s">
        <v>3721</v>
      </c>
      <c r="E23" s="237" t="s">
        <v>21</v>
      </c>
      <c r="F23" s="237" t="s">
        <v>21</v>
      </c>
      <c r="G23" s="237" t="s">
        <v>21</v>
      </c>
      <c r="H23" s="237" t="s">
        <v>3722</v>
      </c>
      <c r="I23" s="237" t="s">
        <v>3723</v>
      </c>
      <c r="J23" s="237" t="s">
        <v>3724</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3725</v>
      </c>
      <c r="B24" s="237" t="s">
        <v>3726</v>
      </c>
      <c r="C24" s="237" t="s">
        <v>3727</v>
      </c>
      <c r="D24" s="237" t="s">
        <v>3721</v>
      </c>
      <c r="E24" s="237" t="s">
        <v>21</v>
      </c>
      <c r="F24" s="237" t="s">
        <v>3728</v>
      </c>
      <c r="G24" s="237" t="s">
        <v>21</v>
      </c>
      <c r="H24" s="237" t="s">
        <v>3729</v>
      </c>
      <c r="I24" s="237" t="s">
        <v>21</v>
      </c>
      <c r="J24" s="237" t="s">
        <v>3730</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854</v>
      </c>
      <c r="B25" s="236" t="s">
        <v>3731</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3732</v>
      </c>
      <c r="B26" s="237" t="s">
        <v>3733</v>
      </c>
      <c r="C26" s="237" t="s">
        <v>3734</v>
      </c>
      <c r="D26" s="237" t="s">
        <v>3735</v>
      </c>
      <c r="E26" s="237" t="s">
        <v>21</v>
      </c>
      <c r="F26" s="237" t="s">
        <v>3736</v>
      </c>
      <c r="G26" s="237" t="s">
        <v>21</v>
      </c>
      <c r="H26" s="237" t="s">
        <v>3737</v>
      </c>
      <c r="I26" s="237" t="s">
        <v>21</v>
      </c>
      <c r="J26" s="237" t="s">
        <v>3738</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3739</v>
      </c>
      <c r="B27" s="235" t="s">
        <v>3740</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860</v>
      </c>
      <c r="B28" s="236" t="s">
        <v>3741</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3742</v>
      </c>
      <c r="B29" s="237" t="s">
        <v>3743</v>
      </c>
      <c r="C29" s="237" t="s">
        <v>3744</v>
      </c>
      <c r="D29" s="237" t="s">
        <v>3745</v>
      </c>
      <c r="E29" s="237" t="s">
        <v>3746</v>
      </c>
      <c r="F29" s="237" t="s">
        <v>21</v>
      </c>
      <c r="G29" s="237" t="s">
        <v>21</v>
      </c>
      <c r="H29" s="237" t="s">
        <v>3747</v>
      </c>
      <c r="I29" s="237" t="s">
        <v>21</v>
      </c>
      <c r="J29" s="237" t="s">
        <v>3748</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3749</v>
      </c>
      <c r="B30" s="237" t="s">
        <v>3750</v>
      </c>
      <c r="C30" s="237" t="s">
        <v>3615</v>
      </c>
      <c r="D30" s="237" t="s">
        <v>3616</v>
      </c>
      <c r="E30" s="237" t="s">
        <v>21</v>
      </c>
      <c r="F30" s="237" t="s">
        <v>3618</v>
      </c>
      <c r="G30" s="237" t="s">
        <v>21</v>
      </c>
      <c r="H30" s="237" t="s">
        <v>3751</v>
      </c>
      <c r="I30" s="237" t="s">
        <v>21</v>
      </c>
      <c r="J30" s="237" t="s">
        <v>3752</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865</v>
      </c>
      <c r="B31" s="236" t="s">
        <v>3753</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3754</v>
      </c>
      <c r="B32" s="237" t="s">
        <v>3755</v>
      </c>
      <c r="C32" s="237" t="s">
        <v>3756</v>
      </c>
      <c r="D32" s="237" t="s">
        <v>3757</v>
      </c>
      <c r="E32" s="237" t="s">
        <v>21</v>
      </c>
      <c r="F32" s="237" t="s">
        <v>21</v>
      </c>
      <c r="G32" s="237" t="s">
        <v>3758</v>
      </c>
      <c r="H32" s="237" t="s">
        <v>3759</v>
      </c>
      <c r="I32" s="237" t="s">
        <v>21</v>
      </c>
      <c r="J32" s="237" t="s">
        <v>3760</v>
      </c>
      <c r="K32" s="240" t="str">
        <f>IF(COUNTIF(L32:AY32,"&lt;&gt;")=0,"",SUMPRODUCT(((Recommendations[ImplStatus]="Implemented")+(Recommendations[ImplStatus]="Compensated"))*ISNUMBER(MATCH(Recommendations[Id],L32:AY32,0)))/COUNTIF(L32:AY32,"&lt;&gt;"))</f>
        <v/>
      </c>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3761</v>
      </c>
      <c r="B33" s="237" t="s">
        <v>3762</v>
      </c>
      <c r="C33" s="237" t="s">
        <v>3763</v>
      </c>
      <c r="D33" s="237" t="s">
        <v>3764</v>
      </c>
      <c r="E33" s="237" t="s">
        <v>21</v>
      </c>
      <c r="F33" s="237" t="s">
        <v>3765</v>
      </c>
      <c r="G33" s="237" t="s">
        <v>21</v>
      </c>
      <c r="H33" s="237" t="s">
        <v>3766</v>
      </c>
      <c r="I33" s="237" t="s">
        <v>3767</v>
      </c>
      <c r="J33" s="237" t="s">
        <v>3768</v>
      </c>
      <c r="K33" s="240" t="str">
        <f>IF(COUNTIF(L33:AY33,"&lt;&gt;")=0,"",SUMPRODUCT(((Recommendations[ImplStatus]="Implemented")+(Recommendations[ImplStatus]="Compensated"))*ISNUMBER(MATCH(Recommendations[Id],L33:AY33,0)))/COUNTIF(L33:AY33,"&lt;&gt;"))</f>
        <v/>
      </c>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3769</v>
      </c>
      <c r="B34" s="237" t="s">
        <v>3770</v>
      </c>
      <c r="C34" s="237" t="s">
        <v>3771</v>
      </c>
      <c r="D34" s="237" t="s">
        <v>3772</v>
      </c>
      <c r="E34" s="237" t="s">
        <v>21</v>
      </c>
      <c r="F34" s="237" t="s">
        <v>21</v>
      </c>
      <c r="G34" s="237" t="s">
        <v>21</v>
      </c>
      <c r="H34" s="237" t="s">
        <v>3773</v>
      </c>
      <c r="I34" s="237" t="s">
        <v>21</v>
      </c>
      <c r="J34" s="237" t="s">
        <v>3774</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3775</v>
      </c>
      <c r="B35" s="237" t="s">
        <v>3776</v>
      </c>
      <c r="C35" s="237" t="s">
        <v>3777</v>
      </c>
      <c r="D35" s="237" t="s">
        <v>3778</v>
      </c>
      <c r="E35" s="237" t="s">
        <v>21</v>
      </c>
      <c r="F35" s="237" t="s">
        <v>3779</v>
      </c>
      <c r="G35" s="237" t="s">
        <v>21</v>
      </c>
      <c r="H35" s="237" t="s">
        <v>3780</v>
      </c>
      <c r="I35" s="237" t="s">
        <v>21</v>
      </c>
      <c r="J35" s="237" t="s">
        <v>3781</v>
      </c>
      <c r="K35" s="240">
        <f>IF(COUNTIF(L35:AY35,"&lt;&gt;")=0,"",SUMPRODUCT(((Recommendations[ImplStatus]="Implemented")+(Recommendations[ImplStatus]="Compensated"))*ISNUMBER(MATCH(Recommendations[Id],L35:AY35,0)))/COUNTIF(L35:AY35,"&lt;&gt;"))</f>
        <v>0</v>
      </c>
      <c r="L35" s="243" t="s">
        <v>153</v>
      </c>
      <c r="M35" s="243" t="s">
        <v>291</v>
      </c>
      <c r="N35" s="243"/>
      <c r="O35" s="243"/>
      <c r="P35" s="243"/>
      <c r="Q35" s="243"/>
      <c r="R35" s="243"/>
      <c r="S35" s="243"/>
      <c r="T35" s="24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53"/>
    </row>
    <row r="36" spans="1:51" ht="60" customHeight="1" x14ac:dyDescent="0.35">
      <c r="A36" s="249" t="s">
        <v>3782</v>
      </c>
      <c r="B36" s="237" t="s">
        <v>3783</v>
      </c>
      <c r="C36" s="237" t="s">
        <v>3784</v>
      </c>
      <c r="D36" s="237" t="s">
        <v>3785</v>
      </c>
      <c r="E36" s="237" t="s">
        <v>21</v>
      </c>
      <c r="F36" s="237" t="s">
        <v>21</v>
      </c>
      <c r="G36" s="237" t="s">
        <v>3786</v>
      </c>
      <c r="H36" s="237" t="s">
        <v>3787</v>
      </c>
      <c r="I36" s="237" t="s">
        <v>21</v>
      </c>
      <c r="J36" s="237" t="s">
        <v>3788</v>
      </c>
      <c r="K36" s="240" t="str">
        <f>IF(COUNTIF(L36:AY36,"&lt;&gt;")=0,"",SUMPRODUCT(((Recommendations[ImplStatus]="Implemented")+(Recommendations[ImplStatus]="Compensated"))*ISNUMBER(MATCH(Recommendations[Id],L36:AY36,0)))/COUNTIF(L36:AY36,"&lt;&gt;"))</f>
        <v/>
      </c>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3789</v>
      </c>
      <c r="B37" s="237" t="s">
        <v>3790</v>
      </c>
      <c r="C37" s="237" t="s">
        <v>3791</v>
      </c>
      <c r="D37" s="237" t="s">
        <v>3792</v>
      </c>
      <c r="E37" s="237" t="s">
        <v>21</v>
      </c>
      <c r="F37" s="237" t="s">
        <v>3793</v>
      </c>
      <c r="G37" s="237" t="s">
        <v>3794</v>
      </c>
      <c r="H37" s="237" t="s">
        <v>3795</v>
      </c>
      <c r="I37" s="237" t="s">
        <v>21</v>
      </c>
      <c r="J37" s="237" t="s">
        <v>3796</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3797</v>
      </c>
      <c r="B38" s="237" t="s">
        <v>3798</v>
      </c>
      <c r="C38" s="237" t="s">
        <v>3799</v>
      </c>
      <c r="D38" s="237" t="s">
        <v>3800</v>
      </c>
      <c r="E38" s="237" t="s">
        <v>21</v>
      </c>
      <c r="F38" s="237" t="s">
        <v>3793</v>
      </c>
      <c r="G38" s="237" t="s">
        <v>3801</v>
      </c>
      <c r="H38" s="237" t="s">
        <v>3802</v>
      </c>
      <c r="I38" s="237" t="s">
        <v>3803</v>
      </c>
      <c r="J38" s="237" t="s">
        <v>3804</v>
      </c>
      <c r="K38" s="240">
        <f>IF(COUNTIF(L38:AY38,"&lt;&gt;")=0,"",SUMPRODUCT(((Recommendations[ImplStatus]="Implemented")+(Recommendations[ImplStatus]="Compensated"))*ISNUMBER(MATCH(Recommendations[Id],L38:AY38,0)))/COUNTIF(L38:AY38,"&lt;&gt;"))</f>
        <v>0</v>
      </c>
      <c r="L38" s="243" t="s">
        <v>236</v>
      </c>
      <c r="M38" s="243" t="s">
        <v>377</v>
      </c>
      <c r="N38" s="243" t="s">
        <v>489</v>
      </c>
      <c r="O38" s="243" t="s">
        <v>524</v>
      </c>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869</v>
      </c>
      <c r="B39" s="236" t="s">
        <v>3805</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3806</v>
      </c>
      <c r="B40" s="237" t="s">
        <v>3807</v>
      </c>
      <c r="C40" s="237" t="s">
        <v>3808</v>
      </c>
      <c r="D40" s="237" t="s">
        <v>3809</v>
      </c>
      <c r="E40" s="237" t="s">
        <v>21</v>
      </c>
      <c r="F40" s="237" t="s">
        <v>21</v>
      </c>
      <c r="G40" s="237" t="s">
        <v>21</v>
      </c>
      <c r="H40" s="237" t="s">
        <v>3810</v>
      </c>
      <c r="I40" s="237" t="s">
        <v>3811</v>
      </c>
      <c r="J40" s="237" t="s">
        <v>3812</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3813</v>
      </c>
      <c r="B41" s="237" t="s">
        <v>3814</v>
      </c>
      <c r="C41" s="237" t="s">
        <v>3815</v>
      </c>
      <c r="D41" s="237" t="s">
        <v>21</v>
      </c>
      <c r="E41" s="237" t="s">
        <v>21</v>
      </c>
      <c r="F41" s="237" t="s">
        <v>21</v>
      </c>
      <c r="G41" s="237" t="s">
        <v>21</v>
      </c>
      <c r="H41" s="237" t="s">
        <v>3816</v>
      </c>
      <c r="I41" s="237" t="s">
        <v>21</v>
      </c>
      <c r="J41" s="237" t="s">
        <v>3817</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3818</v>
      </c>
      <c r="B42" s="235" t="s">
        <v>3819</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892</v>
      </c>
      <c r="B43" s="236" t="s">
        <v>3820</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3821</v>
      </c>
      <c r="B44" s="237" t="s">
        <v>3822</v>
      </c>
      <c r="C44" s="237" t="s">
        <v>3823</v>
      </c>
      <c r="D44" s="237" t="s">
        <v>3824</v>
      </c>
      <c r="E44" s="237" t="s">
        <v>3610</v>
      </c>
      <c r="F44" s="237" t="s">
        <v>21</v>
      </c>
      <c r="G44" s="237" t="s">
        <v>21</v>
      </c>
      <c r="H44" s="237" t="s">
        <v>3825</v>
      </c>
      <c r="I44" s="237" t="s">
        <v>21</v>
      </c>
      <c r="J44" s="237" t="s">
        <v>3826</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3827</v>
      </c>
      <c r="B45" s="237" t="s">
        <v>3828</v>
      </c>
      <c r="C45" s="237" t="s">
        <v>3829</v>
      </c>
      <c r="D45" s="237" t="s">
        <v>3616</v>
      </c>
      <c r="E45" s="237" t="s">
        <v>21</v>
      </c>
      <c r="F45" s="237" t="s">
        <v>3618</v>
      </c>
      <c r="G45" s="237" t="s">
        <v>21</v>
      </c>
      <c r="H45" s="237" t="s">
        <v>3830</v>
      </c>
      <c r="I45" s="237" t="s">
        <v>21</v>
      </c>
      <c r="J45" s="237" t="s">
        <v>3831</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898</v>
      </c>
      <c r="B46" s="236" t="s">
        <v>3832</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3833</v>
      </c>
      <c r="B47" s="237" t="s">
        <v>3834</v>
      </c>
      <c r="C47" s="237" t="s">
        <v>3835</v>
      </c>
      <c r="D47" s="237" t="s">
        <v>3836</v>
      </c>
      <c r="E47" s="237" t="s">
        <v>21</v>
      </c>
      <c r="F47" s="237" t="s">
        <v>3837</v>
      </c>
      <c r="G47" s="237" t="s">
        <v>3838</v>
      </c>
      <c r="H47" s="237" t="s">
        <v>3839</v>
      </c>
      <c r="I47" s="237" t="s">
        <v>3840</v>
      </c>
      <c r="J47" s="237" t="s">
        <v>3841</v>
      </c>
      <c r="K47" s="240" t="str">
        <f>IF(COUNTIF(L47:AY47,"&lt;&gt;")=0,"",SUMPRODUCT(((Recommendations[ImplStatus]="Implemented")+(Recommendations[ImplStatus]="Compensated"))*ISNUMBER(MATCH(Recommendations[Id],L47:AY47,0)))/COUNTIF(L47:AY47,"&lt;&gt;"))</f>
        <v/>
      </c>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902</v>
      </c>
      <c r="B48" s="236" t="s">
        <v>3842</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3843</v>
      </c>
      <c r="B49" s="237" t="s">
        <v>3844</v>
      </c>
      <c r="C49" s="237" t="s">
        <v>3845</v>
      </c>
      <c r="D49" s="237" t="s">
        <v>3846</v>
      </c>
      <c r="E49" s="237" t="s">
        <v>3847</v>
      </c>
      <c r="F49" s="237" t="s">
        <v>21</v>
      </c>
      <c r="G49" s="237" t="s">
        <v>21</v>
      </c>
      <c r="H49" s="237" t="s">
        <v>3848</v>
      </c>
      <c r="I49" s="237" t="s">
        <v>3849</v>
      </c>
      <c r="J49" s="237" t="s">
        <v>3850</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3851</v>
      </c>
      <c r="B50" s="237" t="s">
        <v>3852</v>
      </c>
      <c r="C50" s="237" t="s">
        <v>3853</v>
      </c>
      <c r="D50" s="237" t="s">
        <v>21</v>
      </c>
      <c r="E50" s="237" t="s">
        <v>3854</v>
      </c>
      <c r="F50" s="237" t="s">
        <v>3855</v>
      </c>
      <c r="G50" s="237" t="s">
        <v>21</v>
      </c>
      <c r="H50" s="237" t="s">
        <v>3848</v>
      </c>
      <c r="I50" s="237" t="s">
        <v>3856</v>
      </c>
      <c r="J50" s="237" t="s">
        <v>3857</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3858</v>
      </c>
      <c r="B51" s="237" t="s">
        <v>3859</v>
      </c>
      <c r="C51" s="237" t="s">
        <v>3860</v>
      </c>
      <c r="D51" s="237" t="s">
        <v>21</v>
      </c>
      <c r="E51" s="237" t="s">
        <v>21</v>
      </c>
      <c r="F51" s="237" t="s">
        <v>3861</v>
      </c>
      <c r="G51" s="237" t="s">
        <v>21</v>
      </c>
      <c r="H51" s="237" t="s">
        <v>3848</v>
      </c>
      <c r="I51" s="237" t="s">
        <v>3862</v>
      </c>
      <c r="J51" s="237" t="s">
        <v>3863</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3864</v>
      </c>
      <c r="B52" s="237" t="s">
        <v>3865</v>
      </c>
      <c r="C52" s="237" t="s">
        <v>3866</v>
      </c>
      <c r="D52" s="237" t="s">
        <v>21</v>
      </c>
      <c r="E52" s="237" t="s">
        <v>21</v>
      </c>
      <c r="F52" s="237" t="s">
        <v>3867</v>
      </c>
      <c r="G52" s="237" t="s">
        <v>21</v>
      </c>
      <c r="H52" s="237" t="s">
        <v>3848</v>
      </c>
      <c r="I52" s="237" t="s">
        <v>3868</v>
      </c>
      <c r="J52" s="237" t="s">
        <v>3869</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3870</v>
      </c>
      <c r="B53" s="237" t="s">
        <v>3871</v>
      </c>
      <c r="C53" s="237" t="s">
        <v>3872</v>
      </c>
      <c r="D53" s="237" t="s">
        <v>3873</v>
      </c>
      <c r="E53" s="237" t="s">
        <v>3874</v>
      </c>
      <c r="F53" s="237" t="s">
        <v>21</v>
      </c>
      <c r="G53" s="237" t="s">
        <v>21</v>
      </c>
      <c r="H53" s="237" t="s">
        <v>3875</v>
      </c>
      <c r="I53" s="237" t="s">
        <v>21</v>
      </c>
      <c r="J53" s="237" t="s">
        <v>3876</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3877</v>
      </c>
      <c r="B54" s="237" t="s">
        <v>3878</v>
      </c>
      <c r="C54" s="237" t="s">
        <v>3872</v>
      </c>
      <c r="D54" s="237" t="s">
        <v>3873</v>
      </c>
      <c r="E54" s="237" t="s">
        <v>21</v>
      </c>
      <c r="F54" s="237" t="s">
        <v>21</v>
      </c>
      <c r="G54" s="237" t="s">
        <v>21</v>
      </c>
      <c r="H54" s="237" t="s">
        <v>3879</v>
      </c>
      <c r="I54" s="237" t="s">
        <v>3880</v>
      </c>
      <c r="J54" s="237" t="s">
        <v>3881</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906</v>
      </c>
      <c r="B55" s="236" t="s">
        <v>3882</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3883</v>
      </c>
      <c r="B56" s="237" t="s">
        <v>3884</v>
      </c>
      <c r="C56" s="237" t="s">
        <v>3885</v>
      </c>
      <c r="D56" s="237" t="s">
        <v>3886</v>
      </c>
      <c r="E56" s="237" t="s">
        <v>3887</v>
      </c>
      <c r="F56" s="237" t="s">
        <v>21</v>
      </c>
      <c r="G56" s="237" t="s">
        <v>3888</v>
      </c>
      <c r="H56" s="237" t="s">
        <v>21</v>
      </c>
      <c r="I56" s="237" t="s">
        <v>21</v>
      </c>
      <c r="J56" s="237" t="s">
        <v>3889</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3890</v>
      </c>
      <c r="B57" s="237" t="s">
        <v>3891</v>
      </c>
      <c r="C57" s="237" t="s">
        <v>3892</v>
      </c>
      <c r="D57" s="237" t="s">
        <v>3893</v>
      </c>
      <c r="E57" s="237" t="s">
        <v>3894</v>
      </c>
      <c r="F57" s="237" t="s">
        <v>21</v>
      </c>
      <c r="G57" s="237" t="s">
        <v>3895</v>
      </c>
      <c r="H57" s="237" t="s">
        <v>3896</v>
      </c>
      <c r="I57" s="237" t="s">
        <v>21</v>
      </c>
      <c r="J57" s="237" t="s">
        <v>3897</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910</v>
      </c>
      <c r="B58" s="236" t="s">
        <v>3898</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3899</v>
      </c>
      <c r="B59" s="237" t="s">
        <v>3900</v>
      </c>
      <c r="C59" s="237" t="s">
        <v>3901</v>
      </c>
      <c r="D59" s="237" t="s">
        <v>3902</v>
      </c>
      <c r="E59" s="237" t="s">
        <v>21</v>
      </c>
      <c r="F59" s="237" t="s">
        <v>21</v>
      </c>
      <c r="G59" s="237" t="s">
        <v>3903</v>
      </c>
      <c r="H59" s="237" t="s">
        <v>3904</v>
      </c>
      <c r="I59" s="237" t="s">
        <v>3905</v>
      </c>
      <c r="J59" s="237" t="s">
        <v>3906</v>
      </c>
      <c r="K59" s="240" t="str">
        <f>IF(COUNTIF(L59:AY59,"&lt;&gt;")=0,"",SUMPRODUCT(((Recommendations[ImplStatus]="Implemented")+(Recommendations[ImplStatus]="Compensated"))*ISNUMBER(MATCH(Recommendations[Id],L59:AY59,0)))/COUNTIF(L59:AY59,"&lt;&gt;"))</f>
        <v/>
      </c>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3907</v>
      </c>
      <c r="B60" s="237" t="s">
        <v>3908</v>
      </c>
      <c r="C60" s="237" t="s">
        <v>3909</v>
      </c>
      <c r="D60" s="237" t="s">
        <v>21</v>
      </c>
      <c r="E60" s="237" t="s">
        <v>3910</v>
      </c>
      <c r="F60" s="237" t="s">
        <v>3911</v>
      </c>
      <c r="G60" s="237" t="s">
        <v>21</v>
      </c>
      <c r="H60" s="237" t="s">
        <v>3912</v>
      </c>
      <c r="I60" s="237" t="s">
        <v>3913</v>
      </c>
      <c r="J60" s="237" t="s">
        <v>3914</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3915</v>
      </c>
      <c r="B61" s="237" t="s">
        <v>3916</v>
      </c>
      <c r="C61" s="237" t="s">
        <v>3917</v>
      </c>
      <c r="D61" s="237" t="s">
        <v>21</v>
      </c>
      <c r="E61" s="237" t="s">
        <v>21</v>
      </c>
      <c r="F61" s="237" t="s">
        <v>21</v>
      </c>
      <c r="G61" s="237" t="s">
        <v>3918</v>
      </c>
      <c r="H61" s="237" t="s">
        <v>3919</v>
      </c>
      <c r="I61" s="237" t="s">
        <v>3920</v>
      </c>
      <c r="J61" s="237" t="s">
        <v>3921</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3922</v>
      </c>
      <c r="B62" s="237" t="s">
        <v>3923</v>
      </c>
      <c r="C62" s="237" t="s">
        <v>3924</v>
      </c>
      <c r="D62" s="237" t="s">
        <v>3925</v>
      </c>
      <c r="E62" s="237" t="s">
        <v>21</v>
      </c>
      <c r="F62" s="237" t="s">
        <v>21</v>
      </c>
      <c r="G62" s="237" t="s">
        <v>21</v>
      </c>
      <c r="H62" s="237" t="s">
        <v>3926</v>
      </c>
      <c r="I62" s="237" t="s">
        <v>3927</v>
      </c>
      <c r="J62" s="237" t="s">
        <v>3928</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914</v>
      </c>
      <c r="B63" s="236" t="s">
        <v>3929</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3930</v>
      </c>
      <c r="B64" s="237" t="s">
        <v>3931</v>
      </c>
      <c r="C64" s="237" t="s">
        <v>3932</v>
      </c>
      <c r="D64" s="237" t="s">
        <v>3933</v>
      </c>
      <c r="E64" s="237" t="s">
        <v>21</v>
      </c>
      <c r="F64" s="237" t="s">
        <v>21</v>
      </c>
      <c r="G64" s="237" t="s">
        <v>3934</v>
      </c>
      <c r="H64" s="237" t="s">
        <v>3935</v>
      </c>
      <c r="I64" s="237" t="s">
        <v>3936</v>
      </c>
      <c r="J64" s="237" t="s">
        <v>3937</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3938</v>
      </c>
      <c r="B65" s="237" t="s">
        <v>3939</v>
      </c>
      <c r="C65" s="237" t="s">
        <v>3940</v>
      </c>
      <c r="D65" s="237" t="s">
        <v>3941</v>
      </c>
      <c r="E65" s="237" t="s">
        <v>21</v>
      </c>
      <c r="F65" s="237" t="s">
        <v>21</v>
      </c>
      <c r="G65" s="237" t="s">
        <v>21</v>
      </c>
      <c r="H65" s="237" t="s">
        <v>3942</v>
      </c>
      <c r="I65" s="237" t="s">
        <v>3943</v>
      </c>
      <c r="J65" s="237" t="s">
        <v>3944</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3945</v>
      </c>
      <c r="B66" s="237" t="s">
        <v>3946</v>
      </c>
      <c r="C66" s="237" t="s">
        <v>3947</v>
      </c>
      <c r="D66" s="237" t="s">
        <v>3948</v>
      </c>
      <c r="E66" s="237" t="s">
        <v>21</v>
      </c>
      <c r="F66" s="237" t="s">
        <v>21</v>
      </c>
      <c r="G66" s="237" t="s">
        <v>21</v>
      </c>
      <c r="H66" s="237" t="s">
        <v>3949</v>
      </c>
      <c r="I66" s="237" t="s">
        <v>3950</v>
      </c>
      <c r="J66" s="237" t="s">
        <v>3951</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3952</v>
      </c>
      <c r="B67" s="237" t="s">
        <v>3953</v>
      </c>
      <c r="C67" s="237" t="s">
        <v>3954</v>
      </c>
      <c r="D67" s="237" t="s">
        <v>3955</v>
      </c>
      <c r="E67" s="237" t="s">
        <v>21</v>
      </c>
      <c r="F67" s="237" t="s">
        <v>21</v>
      </c>
      <c r="G67" s="237" t="s">
        <v>21</v>
      </c>
      <c r="H67" s="237" t="s">
        <v>3956</v>
      </c>
      <c r="I67" s="237" t="s">
        <v>21</v>
      </c>
      <c r="J67" s="237" t="s">
        <v>3957</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3958</v>
      </c>
      <c r="B68" s="237" t="s">
        <v>3959</v>
      </c>
      <c r="C68" s="237" t="s">
        <v>3960</v>
      </c>
      <c r="D68" s="237" t="s">
        <v>21</v>
      </c>
      <c r="E68" s="237" t="s">
        <v>21</v>
      </c>
      <c r="F68" s="237" t="s">
        <v>21</v>
      </c>
      <c r="G68" s="237" t="s">
        <v>21</v>
      </c>
      <c r="H68" s="237" t="s">
        <v>3961</v>
      </c>
      <c r="I68" s="237" t="s">
        <v>21</v>
      </c>
      <c r="J68" s="237" t="s">
        <v>3962</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918</v>
      </c>
      <c r="B69" s="236" t="s">
        <v>3963</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3964</v>
      </c>
      <c r="B70" s="237" t="s">
        <v>3965</v>
      </c>
      <c r="C70" s="237" t="s">
        <v>3966</v>
      </c>
      <c r="D70" s="237" t="s">
        <v>21</v>
      </c>
      <c r="E70" s="237" t="s">
        <v>21</v>
      </c>
      <c r="F70" s="237" t="s">
        <v>21</v>
      </c>
      <c r="G70" s="237" t="s">
        <v>3967</v>
      </c>
      <c r="H70" s="237" t="s">
        <v>3968</v>
      </c>
      <c r="I70" s="237" t="s">
        <v>21</v>
      </c>
      <c r="J70" s="237" t="s">
        <v>3969</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3970</v>
      </c>
      <c r="B71" s="237" t="s">
        <v>3971</v>
      </c>
      <c r="C71" s="237" t="s">
        <v>3972</v>
      </c>
      <c r="D71" s="237" t="s">
        <v>21</v>
      </c>
      <c r="E71" s="237" t="s">
        <v>21</v>
      </c>
      <c r="F71" s="237" t="s">
        <v>21</v>
      </c>
      <c r="G71" s="237" t="s">
        <v>21</v>
      </c>
      <c r="H71" s="237" t="s">
        <v>3973</v>
      </c>
      <c r="I71" s="237" t="s">
        <v>21</v>
      </c>
      <c r="J71" s="237" t="s">
        <v>3974</v>
      </c>
      <c r="K71" s="240" t="str">
        <f>IF(COUNTIF(L71:AY71,"&lt;&gt;")=0,"",SUMPRODUCT(((Recommendations[ImplStatus]="Implemented")+(Recommendations[ImplStatus]="Compensated"))*ISNUMBER(MATCH(Recommendations[Id],L71:AY71,0)))/COUNTIF(L71:AY71,"&lt;&gt;"))</f>
        <v/>
      </c>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3975</v>
      </c>
      <c r="B72" s="237" t="s">
        <v>3976</v>
      </c>
      <c r="C72" s="237" t="s">
        <v>3977</v>
      </c>
      <c r="D72" s="237" t="s">
        <v>3978</v>
      </c>
      <c r="E72" s="237" t="s">
        <v>3979</v>
      </c>
      <c r="F72" s="237" t="s">
        <v>21</v>
      </c>
      <c r="G72" s="237" t="s">
        <v>21</v>
      </c>
      <c r="H72" s="237" t="s">
        <v>3980</v>
      </c>
      <c r="I72" s="237" t="s">
        <v>21</v>
      </c>
      <c r="J72" s="237" t="s">
        <v>3981</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3982</v>
      </c>
      <c r="B73" s="237" t="s">
        <v>3983</v>
      </c>
      <c r="C73" s="237" t="s">
        <v>3984</v>
      </c>
      <c r="D73" s="237" t="s">
        <v>3985</v>
      </c>
      <c r="E73" s="237" t="s">
        <v>3979</v>
      </c>
      <c r="F73" s="237" t="s">
        <v>21</v>
      </c>
      <c r="G73" s="237" t="s">
        <v>3986</v>
      </c>
      <c r="H73" s="237" t="s">
        <v>3987</v>
      </c>
      <c r="I73" s="237" t="s">
        <v>21</v>
      </c>
      <c r="J73" s="237" t="s">
        <v>3988</v>
      </c>
      <c r="K73" s="240" t="str">
        <f>IF(COUNTIF(L73:AY73,"&lt;&gt;")=0,"",SUMPRODUCT(((Recommendations[ImplStatus]="Implemented")+(Recommendations[ImplStatus]="Compensated"))*ISNUMBER(MATCH(Recommendations[Id],L73:AY73,0)))/COUNTIF(L73:AY73,"&lt;&gt;"))</f>
        <v/>
      </c>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3989</v>
      </c>
      <c r="B74" s="237" t="s">
        <v>3990</v>
      </c>
      <c r="C74" s="237" t="s">
        <v>3991</v>
      </c>
      <c r="D74" s="237" t="s">
        <v>3985</v>
      </c>
      <c r="E74" s="237" t="s">
        <v>3992</v>
      </c>
      <c r="F74" s="237" t="s">
        <v>21</v>
      </c>
      <c r="G74" s="237" t="s">
        <v>3993</v>
      </c>
      <c r="H74" s="237" t="s">
        <v>3994</v>
      </c>
      <c r="I74" s="237" t="s">
        <v>3995</v>
      </c>
      <c r="J74" s="237" t="s">
        <v>3996</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3997</v>
      </c>
      <c r="B75" s="237" t="s">
        <v>3998</v>
      </c>
      <c r="C75" s="237" t="s">
        <v>3999</v>
      </c>
      <c r="D75" s="237" t="s">
        <v>4000</v>
      </c>
      <c r="E75" s="237" t="s">
        <v>3992</v>
      </c>
      <c r="F75" s="237" t="s">
        <v>4001</v>
      </c>
      <c r="G75" s="237" t="s">
        <v>4002</v>
      </c>
      <c r="H75" s="237" t="s">
        <v>4003</v>
      </c>
      <c r="I75" s="237" t="s">
        <v>4004</v>
      </c>
      <c r="J75" s="237" t="s">
        <v>4005</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4006</v>
      </c>
      <c r="B76" s="237" t="s">
        <v>4007</v>
      </c>
      <c r="C76" s="237" t="s">
        <v>4008</v>
      </c>
      <c r="D76" s="237" t="s">
        <v>4009</v>
      </c>
      <c r="E76" s="237" t="s">
        <v>21</v>
      </c>
      <c r="F76" s="237" t="s">
        <v>21</v>
      </c>
      <c r="G76" s="237" t="s">
        <v>21</v>
      </c>
      <c r="H76" s="237" t="s">
        <v>4010</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4011</v>
      </c>
      <c r="B77" s="237" t="s">
        <v>4012</v>
      </c>
      <c r="C77" s="237" t="s">
        <v>4013</v>
      </c>
      <c r="D77" s="237" t="s">
        <v>21</v>
      </c>
      <c r="E77" s="237" t="s">
        <v>21</v>
      </c>
      <c r="F77" s="237" t="s">
        <v>21</v>
      </c>
      <c r="G77" s="237" t="s">
        <v>4014</v>
      </c>
      <c r="H77" s="237" t="s">
        <v>4015</v>
      </c>
      <c r="I77" s="237" t="s">
        <v>21</v>
      </c>
      <c r="J77" s="237" t="s">
        <v>4016</v>
      </c>
      <c r="K77" s="240" t="str">
        <f>IF(COUNTIF(L77:AY77,"&lt;&gt;")=0,"",SUMPRODUCT(((Recommendations[ImplStatus]="Implemented")+(Recommendations[ImplStatus]="Compensated"))*ISNUMBER(MATCH(Recommendations[Id],L77:AY77,0)))/COUNTIF(L77:AY77,"&lt;&gt;"))</f>
        <v/>
      </c>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4017</v>
      </c>
      <c r="B78" s="237" t="s">
        <v>4018</v>
      </c>
      <c r="C78" s="237" t="s">
        <v>4019</v>
      </c>
      <c r="D78" s="237" t="s">
        <v>21</v>
      </c>
      <c r="E78" s="237" t="s">
        <v>21</v>
      </c>
      <c r="F78" s="237" t="s">
        <v>21</v>
      </c>
      <c r="G78" s="237" t="s">
        <v>4020</v>
      </c>
      <c r="H78" s="237" t="s">
        <v>4021</v>
      </c>
      <c r="I78" s="237" t="s">
        <v>4022</v>
      </c>
      <c r="J78" s="237" t="s">
        <v>4023</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4024</v>
      </c>
      <c r="B79" s="235" t="s">
        <v>4025</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952</v>
      </c>
      <c r="B80" s="236" t="s">
        <v>4026</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4027</v>
      </c>
      <c r="B81" s="237" t="s">
        <v>4028</v>
      </c>
      <c r="C81" s="237" t="s">
        <v>4029</v>
      </c>
      <c r="D81" s="237" t="s">
        <v>3824</v>
      </c>
      <c r="E81" s="237" t="s">
        <v>4030</v>
      </c>
      <c r="F81" s="237" t="s">
        <v>21</v>
      </c>
      <c r="G81" s="237" t="s">
        <v>21</v>
      </c>
      <c r="H81" s="237" t="s">
        <v>4031</v>
      </c>
      <c r="I81" s="237" t="s">
        <v>21</v>
      </c>
      <c r="J81" s="237" t="s">
        <v>4032</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4033</v>
      </c>
      <c r="B82" s="237" t="s">
        <v>4034</v>
      </c>
      <c r="C82" s="237" t="s">
        <v>3615</v>
      </c>
      <c r="D82" s="237" t="s">
        <v>3616</v>
      </c>
      <c r="E82" s="237" t="s">
        <v>21</v>
      </c>
      <c r="F82" s="237" t="s">
        <v>3618</v>
      </c>
      <c r="G82" s="237" t="s">
        <v>21</v>
      </c>
      <c r="H82" s="237" t="s">
        <v>4035</v>
      </c>
      <c r="I82" s="237" t="s">
        <v>21</v>
      </c>
      <c r="J82" s="237" t="s">
        <v>4036</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957</v>
      </c>
      <c r="B83" s="236" t="s">
        <v>4037</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4038</v>
      </c>
      <c r="B84" s="237" t="s">
        <v>4039</v>
      </c>
      <c r="C84" s="237" t="s">
        <v>4040</v>
      </c>
      <c r="D84" s="237" t="s">
        <v>4041</v>
      </c>
      <c r="E84" s="237" t="s">
        <v>21</v>
      </c>
      <c r="F84" s="237" t="s">
        <v>4042</v>
      </c>
      <c r="G84" s="237" t="s">
        <v>4043</v>
      </c>
      <c r="H84" s="237" t="s">
        <v>4044</v>
      </c>
      <c r="I84" s="237" t="s">
        <v>4045</v>
      </c>
      <c r="J84" s="237" t="s">
        <v>4046</v>
      </c>
      <c r="K84" s="240">
        <f>IF(COUNTIF(L84:AY84,"&lt;&gt;")=0,"",SUMPRODUCT(((Recommendations[ImplStatus]="Implemented")+(Recommendations[ImplStatus]="Compensated"))*ISNUMBER(MATCH(Recommendations[Id],L84:AY84,0)))/COUNTIF(L84:AY84,"&lt;&gt;"))</f>
        <v>0</v>
      </c>
      <c r="L84" s="243" t="s">
        <v>25</v>
      </c>
      <c r="M84" s="243" t="s">
        <v>30</v>
      </c>
      <c r="N84" s="243" t="s">
        <v>40</v>
      </c>
      <c r="O84" s="243" t="s">
        <v>45</v>
      </c>
      <c r="P84" s="243" t="s">
        <v>50</v>
      </c>
      <c r="Q84" s="243" t="s">
        <v>61</v>
      </c>
      <c r="R84" s="243" t="s">
        <v>66</v>
      </c>
      <c r="S84" s="243" t="s">
        <v>148</v>
      </c>
      <c r="T84" s="243" t="s">
        <v>201</v>
      </c>
      <c r="U84" s="243" t="s">
        <v>236</v>
      </c>
      <c r="V84" s="243" t="s">
        <v>300</v>
      </c>
      <c r="W84" s="243" t="s">
        <v>305</v>
      </c>
      <c r="X84" s="243" t="s">
        <v>358</v>
      </c>
      <c r="Y84" s="243" t="s">
        <v>377</v>
      </c>
      <c r="Z84" s="243" t="s">
        <v>387</v>
      </c>
      <c r="AA84" s="243" t="s">
        <v>392</v>
      </c>
      <c r="AB84" s="243" t="s">
        <v>478</v>
      </c>
      <c r="AC84" s="243" t="s">
        <v>484</v>
      </c>
      <c r="AD84" s="243" t="s">
        <v>489</v>
      </c>
      <c r="AE84" s="243" t="s">
        <v>494</v>
      </c>
      <c r="AF84" s="243" t="s">
        <v>499</v>
      </c>
      <c r="AG84" s="243" t="s">
        <v>504</v>
      </c>
      <c r="AH84" s="243" t="s">
        <v>509</v>
      </c>
      <c r="AI84" s="243" t="s">
        <v>514</v>
      </c>
      <c r="AJ84" s="243" t="s">
        <v>519</v>
      </c>
      <c r="AK84" s="243" t="s">
        <v>524</v>
      </c>
      <c r="AL84" s="243" t="s">
        <v>529</v>
      </c>
      <c r="AM84" s="243" t="s">
        <v>534</v>
      </c>
      <c r="AN84" s="243"/>
      <c r="AO84" s="243"/>
      <c r="AP84" s="243"/>
      <c r="AQ84" s="243"/>
      <c r="AR84" s="243"/>
      <c r="AS84" s="243"/>
      <c r="AT84" s="243"/>
      <c r="AU84" s="243"/>
      <c r="AV84" s="243"/>
      <c r="AW84" s="243"/>
      <c r="AX84" s="243"/>
      <c r="AY84" s="253"/>
    </row>
    <row r="85" spans="1:51" ht="60" customHeight="1" x14ac:dyDescent="0.35">
      <c r="A85" s="249" t="s">
        <v>4047</v>
      </c>
      <c r="B85" s="237" t="s">
        <v>4048</v>
      </c>
      <c r="C85" s="237" t="s">
        <v>4049</v>
      </c>
      <c r="D85" s="237" t="s">
        <v>4050</v>
      </c>
      <c r="E85" s="237" t="s">
        <v>21</v>
      </c>
      <c r="F85" s="237" t="s">
        <v>21</v>
      </c>
      <c r="G85" s="237" t="s">
        <v>21</v>
      </c>
      <c r="H85" s="237" t="s">
        <v>4051</v>
      </c>
      <c r="I85" s="237" t="s">
        <v>4052</v>
      </c>
      <c r="J85" s="237" t="s">
        <v>4053</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4054</v>
      </c>
      <c r="B86" s="237" t="s">
        <v>4055</v>
      </c>
      <c r="C86" s="237" t="s">
        <v>4056</v>
      </c>
      <c r="D86" s="237" t="s">
        <v>4057</v>
      </c>
      <c r="E86" s="237" t="s">
        <v>21</v>
      </c>
      <c r="F86" s="237" t="s">
        <v>21</v>
      </c>
      <c r="G86" s="237" t="s">
        <v>4058</v>
      </c>
      <c r="H86" s="237" t="s">
        <v>4059</v>
      </c>
      <c r="I86" s="237" t="s">
        <v>21</v>
      </c>
      <c r="J86" s="237" t="s">
        <v>4060</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4061</v>
      </c>
      <c r="B87" s="237" t="s">
        <v>4062</v>
      </c>
      <c r="C87" s="237" t="s">
        <v>4063</v>
      </c>
      <c r="D87" s="237" t="s">
        <v>4064</v>
      </c>
      <c r="E87" s="237" t="s">
        <v>21</v>
      </c>
      <c r="F87" s="237" t="s">
        <v>4065</v>
      </c>
      <c r="G87" s="237" t="s">
        <v>21</v>
      </c>
      <c r="H87" s="237" t="s">
        <v>4066</v>
      </c>
      <c r="I87" s="237" t="s">
        <v>4067</v>
      </c>
      <c r="J87" s="237" t="s">
        <v>4068</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4069</v>
      </c>
      <c r="B88" s="235" t="s">
        <v>4070</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1004</v>
      </c>
      <c r="B89" s="236" t="s">
        <v>4071</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4072</v>
      </c>
      <c r="B90" s="237" t="s">
        <v>4073</v>
      </c>
      <c r="C90" s="237" t="s">
        <v>4074</v>
      </c>
      <c r="D90" s="237" t="s">
        <v>3824</v>
      </c>
      <c r="E90" s="237" t="s">
        <v>3610</v>
      </c>
      <c r="F90" s="237" t="s">
        <v>21</v>
      </c>
      <c r="G90" s="237" t="s">
        <v>21</v>
      </c>
      <c r="H90" s="237" t="s">
        <v>4075</v>
      </c>
      <c r="I90" s="237" t="s">
        <v>21</v>
      </c>
      <c r="J90" s="237" t="s">
        <v>4076</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4077</v>
      </c>
      <c r="B91" s="237" t="s">
        <v>4078</v>
      </c>
      <c r="C91" s="237" t="s">
        <v>4079</v>
      </c>
      <c r="D91" s="237" t="s">
        <v>3616</v>
      </c>
      <c r="E91" s="237" t="s">
        <v>21</v>
      </c>
      <c r="F91" s="237" t="s">
        <v>3618</v>
      </c>
      <c r="G91" s="237" t="s">
        <v>21</v>
      </c>
      <c r="H91" s="237" t="s">
        <v>4080</v>
      </c>
      <c r="I91" s="237" t="s">
        <v>21</v>
      </c>
      <c r="J91" s="237" t="s">
        <v>4081</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1008</v>
      </c>
      <c r="B92" s="236" t="s">
        <v>4082</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4083</v>
      </c>
      <c r="B93" s="237" t="s">
        <v>4084</v>
      </c>
      <c r="C93" s="237" t="s">
        <v>4085</v>
      </c>
      <c r="D93" s="237" t="s">
        <v>4086</v>
      </c>
      <c r="E93" s="237" t="s">
        <v>4087</v>
      </c>
      <c r="F93" s="237" t="s">
        <v>21</v>
      </c>
      <c r="G93" s="237" t="s">
        <v>21</v>
      </c>
      <c r="H93" s="237" t="s">
        <v>4088</v>
      </c>
      <c r="I93" s="237" t="s">
        <v>21</v>
      </c>
      <c r="J93" s="237" t="s">
        <v>4089</v>
      </c>
      <c r="K93" s="240" t="str">
        <f>IF(COUNTIF(L93:AY93,"&lt;&gt;")=0,"",SUMPRODUCT(((Recommendations[ImplStatus]="Implemented")+(Recommendations[ImplStatus]="Compensated"))*ISNUMBER(MATCH(Recommendations[Id],L93:AY93,0)))/COUNTIF(L93:AY93,"&lt;&gt;"))</f>
        <v/>
      </c>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4090</v>
      </c>
      <c r="B94" s="237" t="s">
        <v>4091</v>
      </c>
      <c r="C94" s="237" t="s">
        <v>4092</v>
      </c>
      <c r="D94" s="237" t="s">
        <v>4093</v>
      </c>
      <c r="E94" s="237" t="s">
        <v>21</v>
      </c>
      <c r="F94" s="237" t="s">
        <v>4094</v>
      </c>
      <c r="G94" s="237" t="s">
        <v>21</v>
      </c>
      <c r="H94" s="237" t="s">
        <v>4095</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4096</v>
      </c>
      <c r="B95" s="237" t="s">
        <v>4097</v>
      </c>
      <c r="C95" s="237" t="s">
        <v>4098</v>
      </c>
      <c r="D95" s="237" t="s">
        <v>4099</v>
      </c>
      <c r="E95" s="237" t="s">
        <v>21</v>
      </c>
      <c r="F95" s="237" t="s">
        <v>21</v>
      </c>
      <c r="G95" s="237" t="s">
        <v>21</v>
      </c>
      <c r="H95" s="237" t="s">
        <v>4100</v>
      </c>
      <c r="I95" s="237" t="s">
        <v>4101</v>
      </c>
      <c r="J95" s="237" t="s">
        <v>4102</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4103</v>
      </c>
      <c r="B96" s="237" t="s">
        <v>4104</v>
      </c>
      <c r="C96" s="237" t="s">
        <v>4105</v>
      </c>
      <c r="D96" s="237" t="s">
        <v>21</v>
      </c>
      <c r="E96" s="237" t="s">
        <v>21</v>
      </c>
      <c r="F96" s="237" t="s">
        <v>21</v>
      </c>
      <c r="G96" s="237" t="s">
        <v>21</v>
      </c>
      <c r="H96" s="237" t="s">
        <v>4106</v>
      </c>
      <c r="I96" s="237" t="s">
        <v>4052</v>
      </c>
      <c r="J96" s="237" t="s">
        <v>4107</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1012</v>
      </c>
      <c r="B97" s="236" t="s">
        <v>4108</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4109</v>
      </c>
      <c r="B98" s="237" t="s">
        <v>4110</v>
      </c>
      <c r="C98" s="237" t="s">
        <v>4111</v>
      </c>
      <c r="D98" s="237" t="s">
        <v>4112</v>
      </c>
      <c r="E98" s="237" t="s">
        <v>21</v>
      </c>
      <c r="F98" s="237" t="s">
        <v>21</v>
      </c>
      <c r="G98" s="237" t="s">
        <v>21</v>
      </c>
      <c r="H98" s="237" t="s">
        <v>4113</v>
      </c>
      <c r="I98" s="237" t="s">
        <v>21</v>
      </c>
      <c r="J98" s="237" t="s">
        <v>4114</v>
      </c>
      <c r="K98" s="240">
        <f>IF(COUNTIF(L98:AY98,"&lt;&gt;")=0,"",SUMPRODUCT(((Recommendations[ImplStatus]="Implemented")+(Recommendations[ImplStatus]="Compensated"))*ISNUMBER(MATCH(Recommendations[Id],L98:AY98,0)))/COUNTIF(L98:AY98,"&lt;&gt;"))</f>
        <v>0</v>
      </c>
      <c r="L98" s="243" t="s">
        <v>330</v>
      </c>
      <c r="M98" s="243" t="s">
        <v>335</v>
      </c>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4115</v>
      </c>
      <c r="B99" s="237" t="s">
        <v>4116</v>
      </c>
      <c r="C99" s="237" t="s">
        <v>4117</v>
      </c>
      <c r="D99" s="237" t="s">
        <v>4118</v>
      </c>
      <c r="E99" s="237" t="s">
        <v>4119</v>
      </c>
      <c r="F99" s="237" t="s">
        <v>21</v>
      </c>
      <c r="G99" s="237" t="s">
        <v>21</v>
      </c>
      <c r="H99" s="237" t="s">
        <v>4120</v>
      </c>
      <c r="I99" s="237" t="s">
        <v>21</v>
      </c>
      <c r="J99" s="237" t="s">
        <v>4121</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4122</v>
      </c>
      <c r="B100" s="237" t="s">
        <v>4123</v>
      </c>
      <c r="C100" s="237" t="s">
        <v>4124</v>
      </c>
      <c r="D100" s="237" t="s">
        <v>21</v>
      </c>
      <c r="E100" s="237" t="s">
        <v>21</v>
      </c>
      <c r="F100" s="237" t="s">
        <v>21</v>
      </c>
      <c r="G100" s="237" t="s">
        <v>21</v>
      </c>
      <c r="H100" s="237" t="s">
        <v>4125</v>
      </c>
      <c r="I100" s="237" t="s">
        <v>4126</v>
      </c>
      <c r="J100" s="237" t="s">
        <v>4127</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4128</v>
      </c>
      <c r="B101" s="237" t="s">
        <v>4129</v>
      </c>
      <c r="C101" s="237" t="s">
        <v>4130</v>
      </c>
      <c r="D101" s="237" t="s">
        <v>21</v>
      </c>
      <c r="E101" s="237" t="s">
        <v>21</v>
      </c>
      <c r="F101" s="237" t="s">
        <v>21</v>
      </c>
      <c r="G101" s="237" t="s">
        <v>21</v>
      </c>
      <c r="H101" s="237" t="s">
        <v>4131</v>
      </c>
      <c r="I101" s="237" t="s">
        <v>4052</v>
      </c>
      <c r="J101" s="237" t="s">
        <v>4132</v>
      </c>
      <c r="K101" s="240">
        <f>IF(COUNTIF(L101:AY101,"&lt;&gt;")=0,"",SUMPRODUCT(((Recommendations[ImplStatus]="Implemented")+(Recommendations[ImplStatus]="Compensated"))*ISNUMBER(MATCH(Recommendations[Id],L101:AY101,0)))/COUNTIF(L101:AY101,"&lt;&gt;"))</f>
        <v>0</v>
      </c>
      <c r="L101" s="243" t="s">
        <v>330</v>
      </c>
      <c r="M101" s="243" t="s">
        <v>335</v>
      </c>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4133</v>
      </c>
      <c r="B102" s="237" t="s">
        <v>4134</v>
      </c>
      <c r="C102" s="237" t="s">
        <v>4135</v>
      </c>
      <c r="D102" s="237" t="s">
        <v>4136</v>
      </c>
      <c r="E102" s="237" t="s">
        <v>21</v>
      </c>
      <c r="F102" s="237" t="s">
        <v>21</v>
      </c>
      <c r="G102" s="237" t="s">
        <v>21</v>
      </c>
      <c r="H102" s="237" t="s">
        <v>4137</v>
      </c>
      <c r="I102" s="237" t="s">
        <v>21</v>
      </c>
      <c r="J102" s="237" t="s">
        <v>4138</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4139</v>
      </c>
      <c r="B103" s="237" t="s">
        <v>4140</v>
      </c>
      <c r="C103" s="237" t="s">
        <v>4141</v>
      </c>
      <c r="D103" s="237" t="s">
        <v>4136</v>
      </c>
      <c r="E103" s="237" t="s">
        <v>21</v>
      </c>
      <c r="F103" s="237" t="s">
        <v>4142</v>
      </c>
      <c r="G103" s="237" t="s">
        <v>21</v>
      </c>
      <c r="H103" s="237" t="s">
        <v>4143</v>
      </c>
      <c r="I103" s="237" t="s">
        <v>4144</v>
      </c>
      <c r="J103" s="237" t="s">
        <v>4145</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1016</v>
      </c>
      <c r="B104" s="236" t="s">
        <v>4146</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4147</v>
      </c>
      <c r="B105" s="237" t="s">
        <v>4148</v>
      </c>
      <c r="C105" s="237" t="s">
        <v>4149</v>
      </c>
      <c r="D105" s="237" t="s">
        <v>4150</v>
      </c>
      <c r="E105" s="237" t="s">
        <v>4151</v>
      </c>
      <c r="F105" s="237" t="s">
        <v>21</v>
      </c>
      <c r="G105" s="237" t="s">
        <v>21</v>
      </c>
      <c r="H105" s="237" t="s">
        <v>4152</v>
      </c>
      <c r="I105" s="237" t="s">
        <v>4153</v>
      </c>
      <c r="J105" s="237" t="s">
        <v>4154</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4155</v>
      </c>
      <c r="B106" s="235" t="s">
        <v>4156</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1030</v>
      </c>
      <c r="B107" s="236" t="s">
        <v>4157</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4158</v>
      </c>
      <c r="B108" s="237" t="s">
        <v>4159</v>
      </c>
      <c r="C108" s="237" t="s">
        <v>4160</v>
      </c>
      <c r="D108" s="237" t="s">
        <v>3824</v>
      </c>
      <c r="E108" s="237" t="s">
        <v>3610</v>
      </c>
      <c r="F108" s="237" t="s">
        <v>21</v>
      </c>
      <c r="G108" s="237" t="s">
        <v>21</v>
      </c>
      <c r="H108" s="237" t="s">
        <v>4161</v>
      </c>
      <c r="I108" s="237" t="s">
        <v>21</v>
      </c>
      <c r="J108" s="237" t="s">
        <v>4162</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4163</v>
      </c>
      <c r="B109" s="237" t="s">
        <v>4164</v>
      </c>
      <c r="C109" s="237" t="s">
        <v>4165</v>
      </c>
      <c r="D109" s="237" t="s">
        <v>3616</v>
      </c>
      <c r="E109" s="237" t="s">
        <v>21</v>
      </c>
      <c r="F109" s="237" t="s">
        <v>3618</v>
      </c>
      <c r="G109" s="237" t="s">
        <v>21</v>
      </c>
      <c r="H109" s="237" t="s">
        <v>4166</v>
      </c>
      <c r="I109" s="237" t="s">
        <v>21</v>
      </c>
      <c r="J109" s="237" t="s">
        <v>4167</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1034</v>
      </c>
      <c r="B110" s="236" t="s">
        <v>4168</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4169</v>
      </c>
      <c r="B111" s="237" t="s">
        <v>4170</v>
      </c>
      <c r="C111" s="237" t="s">
        <v>4171</v>
      </c>
      <c r="D111" s="237" t="s">
        <v>4172</v>
      </c>
      <c r="E111" s="237" t="s">
        <v>21</v>
      </c>
      <c r="F111" s="237" t="s">
        <v>4173</v>
      </c>
      <c r="G111" s="237" t="s">
        <v>21</v>
      </c>
      <c r="H111" s="237" t="s">
        <v>4174</v>
      </c>
      <c r="I111" s="237" t="s">
        <v>4175</v>
      </c>
      <c r="J111" s="237" t="s">
        <v>4176</v>
      </c>
      <c r="K111" s="240">
        <f>IF(COUNTIF(L111:AY111,"&lt;&gt;")=0,"",SUMPRODUCT(((Recommendations[ImplStatus]="Implemented")+(Recommendations[ImplStatus]="Compensated"))*ISNUMBER(MATCH(Recommendations[Id],L111:AY111,0)))/COUNTIF(L111:AY111,"&lt;&gt;"))</f>
        <v>0</v>
      </c>
      <c r="L111" s="243" t="s">
        <v>133</v>
      </c>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4177</v>
      </c>
      <c r="B112" s="237" t="s">
        <v>4178</v>
      </c>
      <c r="C112" s="237" t="s">
        <v>4179</v>
      </c>
      <c r="D112" s="237" t="s">
        <v>4180</v>
      </c>
      <c r="E112" s="237" t="s">
        <v>21</v>
      </c>
      <c r="F112" s="237" t="s">
        <v>21</v>
      </c>
      <c r="G112" s="237" t="s">
        <v>21</v>
      </c>
      <c r="H112" s="237" t="s">
        <v>4181</v>
      </c>
      <c r="I112" s="237" t="s">
        <v>21</v>
      </c>
      <c r="J112" s="237" t="s">
        <v>4182</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4183</v>
      </c>
      <c r="B113" s="237" t="s">
        <v>4184</v>
      </c>
      <c r="C113" s="237" t="s">
        <v>4185</v>
      </c>
      <c r="D113" s="237" t="s">
        <v>4186</v>
      </c>
      <c r="E113" s="237" t="s">
        <v>21</v>
      </c>
      <c r="F113" s="237" t="s">
        <v>21</v>
      </c>
      <c r="G113" s="237" t="s">
        <v>21</v>
      </c>
      <c r="H113" s="237" t="s">
        <v>4187</v>
      </c>
      <c r="I113" s="237" t="s">
        <v>4188</v>
      </c>
      <c r="J113" s="237" t="s">
        <v>4189</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4190</v>
      </c>
      <c r="B114" s="237" t="s">
        <v>4191</v>
      </c>
      <c r="C114" s="237" t="s">
        <v>4192</v>
      </c>
      <c r="D114" s="237" t="s">
        <v>4193</v>
      </c>
      <c r="E114" s="237" t="s">
        <v>21</v>
      </c>
      <c r="F114" s="237" t="s">
        <v>21</v>
      </c>
      <c r="G114" s="237" t="s">
        <v>4194</v>
      </c>
      <c r="H114" s="237" t="s">
        <v>4195</v>
      </c>
      <c r="I114" s="237" t="s">
        <v>4196</v>
      </c>
      <c r="J114" s="237" t="s">
        <v>4197</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4198</v>
      </c>
      <c r="B115" s="237" t="s">
        <v>4199</v>
      </c>
      <c r="C115" s="237" t="s">
        <v>4200</v>
      </c>
      <c r="D115" s="237" t="s">
        <v>4201</v>
      </c>
      <c r="E115" s="237" t="s">
        <v>21</v>
      </c>
      <c r="F115" s="237" t="s">
        <v>4202</v>
      </c>
      <c r="G115" s="237" t="s">
        <v>21</v>
      </c>
      <c r="H115" s="237" t="s">
        <v>4203</v>
      </c>
      <c r="I115" s="237" t="s">
        <v>4203</v>
      </c>
      <c r="J115" s="237" t="s">
        <v>4204</v>
      </c>
      <c r="K115" s="240">
        <f>IF(COUNTIF(L115:AY115,"&lt;&gt;")=0,"",SUMPRODUCT(((Recommendations[ImplStatus]="Implemented")+(Recommendations[ImplStatus]="Compensated"))*ISNUMBER(MATCH(Recommendations[Id],L115:AY115,0)))/COUNTIF(L115:AY115,"&lt;&gt;"))</f>
        <v>0</v>
      </c>
      <c r="L115" s="243" t="s">
        <v>153</v>
      </c>
      <c r="M115" s="243" t="s">
        <v>291</v>
      </c>
      <c r="N115" s="243" t="s">
        <v>325</v>
      </c>
      <c r="O115" s="243" t="s">
        <v>348</v>
      </c>
      <c r="P115" s="243" t="s">
        <v>353</v>
      </c>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1038</v>
      </c>
      <c r="B116" s="236" t="s">
        <v>4205</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4206</v>
      </c>
      <c r="B117" s="237" t="s">
        <v>4207</v>
      </c>
      <c r="C117" s="237" t="s">
        <v>4208</v>
      </c>
      <c r="D117" s="237" t="s">
        <v>4209</v>
      </c>
      <c r="E117" s="237" t="s">
        <v>21</v>
      </c>
      <c r="F117" s="237" t="s">
        <v>4210</v>
      </c>
      <c r="G117" s="237" t="s">
        <v>4211</v>
      </c>
      <c r="H117" s="237" t="s">
        <v>4212</v>
      </c>
      <c r="I117" s="237" t="s">
        <v>4213</v>
      </c>
      <c r="J117" s="237" t="s">
        <v>4214</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4215</v>
      </c>
      <c r="B118" s="237" t="s">
        <v>4216</v>
      </c>
      <c r="C118" s="237" t="s">
        <v>4217</v>
      </c>
      <c r="D118" s="237" t="s">
        <v>4218</v>
      </c>
      <c r="E118" s="237" t="s">
        <v>21</v>
      </c>
      <c r="F118" s="237" t="s">
        <v>21</v>
      </c>
      <c r="G118" s="237" t="s">
        <v>21</v>
      </c>
      <c r="H118" s="237" t="s">
        <v>4219</v>
      </c>
      <c r="I118" s="237" t="s">
        <v>4052</v>
      </c>
      <c r="J118" s="237" t="s">
        <v>4220</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4221</v>
      </c>
      <c r="B119" s="237" t="s">
        <v>4222</v>
      </c>
      <c r="C119" s="237" t="s">
        <v>4223</v>
      </c>
      <c r="D119" s="237" t="s">
        <v>4224</v>
      </c>
      <c r="E119" s="237" t="s">
        <v>21</v>
      </c>
      <c r="F119" s="237" t="s">
        <v>4225</v>
      </c>
      <c r="G119" s="237" t="s">
        <v>21</v>
      </c>
      <c r="H119" s="237" t="s">
        <v>4226</v>
      </c>
      <c r="I119" s="237" t="s">
        <v>4227</v>
      </c>
      <c r="J119" s="237" t="s">
        <v>4228</v>
      </c>
      <c r="K119" s="240">
        <f>IF(COUNTIF(L119:AY119,"&lt;&gt;")=0,"",SUMPRODUCT(((Recommendations[ImplStatus]="Implemented")+(Recommendations[ImplStatus]="Compensated"))*ISNUMBER(MATCH(Recommendations[Id],L119:AY119,0)))/COUNTIF(L119:AY119,"&lt;&gt;"))</f>
        <v>0</v>
      </c>
      <c r="L119" s="243" t="s">
        <v>143</v>
      </c>
      <c r="M119" s="243"/>
      <c r="N119" s="243"/>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1042</v>
      </c>
      <c r="B120" s="236" t="s">
        <v>4229</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4230</v>
      </c>
      <c r="B121" s="237" t="s">
        <v>4231</v>
      </c>
      <c r="C121" s="237" t="s">
        <v>21</v>
      </c>
      <c r="D121" s="237" t="s">
        <v>21</v>
      </c>
      <c r="E121" s="237" t="s">
        <v>21</v>
      </c>
      <c r="F121" s="237" t="s">
        <v>21</v>
      </c>
      <c r="G121" s="237" t="s">
        <v>21</v>
      </c>
      <c r="H121" s="237" t="s">
        <v>21</v>
      </c>
      <c r="I121" s="237" t="s">
        <v>21</v>
      </c>
      <c r="J121" s="237" t="s">
        <v>21</v>
      </c>
      <c r="K121" s="240">
        <f>IF(COUNTIF(L121:AY121,"&lt;&gt;")=0,"",SUMPRODUCT(((Recommendations[ImplStatus]="Implemented")+(Recommendations[ImplStatus]="Compensated"))*ISNUMBER(MATCH(Recommendations[Id],L121:AY121,0)))/COUNTIF(L121:AY121,"&lt;&gt;"))</f>
        <v>0</v>
      </c>
      <c r="L121" s="243" t="s">
        <v>241</v>
      </c>
      <c r="M121" s="243" t="s">
        <v>246</v>
      </c>
      <c r="N121" s="243" t="s">
        <v>251</v>
      </c>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4232</v>
      </c>
      <c r="B122" s="237" t="s">
        <v>4233</v>
      </c>
      <c r="C122" s="237" t="s">
        <v>4234</v>
      </c>
      <c r="D122" s="237" t="s">
        <v>4235</v>
      </c>
      <c r="E122" s="237" t="s">
        <v>21</v>
      </c>
      <c r="F122" s="237" t="s">
        <v>4236</v>
      </c>
      <c r="G122" s="237" t="s">
        <v>21</v>
      </c>
      <c r="H122" s="237" t="s">
        <v>4237</v>
      </c>
      <c r="I122" s="237" t="s">
        <v>4238</v>
      </c>
      <c r="J122" s="237" t="s">
        <v>4239</v>
      </c>
      <c r="K122" s="240">
        <f>IF(COUNTIF(L122:AY122,"&lt;&gt;")=0,"",SUMPRODUCT(((Recommendations[ImplStatus]="Implemented")+(Recommendations[ImplStatus]="Compensated"))*ISNUMBER(MATCH(Recommendations[Id],L122:AY122,0)))/COUNTIF(L122:AY122,"&lt;&gt;"))</f>
        <v>0</v>
      </c>
      <c r="L122" s="243" t="s">
        <v>241</v>
      </c>
      <c r="M122" s="243" t="s">
        <v>246</v>
      </c>
      <c r="N122" s="243" t="s">
        <v>251</v>
      </c>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4240</v>
      </c>
      <c r="B123" s="237" t="s">
        <v>4241</v>
      </c>
      <c r="C123" s="237" t="s">
        <v>4242</v>
      </c>
      <c r="D123" s="237" t="s">
        <v>4243</v>
      </c>
      <c r="E123" s="237" t="s">
        <v>21</v>
      </c>
      <c r="F123" s="237" t="s">
        <v>4244</v>
      </c>
      <c r="G123" s="237" t="s">
        <v>21</v>
      </c>
      <c r="H123" s="237" t="s">
        <v>4245</v>
      </c>
      <c r="I123" s="237" t="s">
        <v>21</v>
      </c>
      <c r="J123" s="237" t="s">
        <v>4246</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1046</v>
      </c>
      <c r="B124" s="236" t="s">
        <v>4247</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4248</v>
      </c>
      <c r="B125" s="237" t="s">
        <v>4249</v>
      </c>
      <c r="C125" s="237" t="s">
        <v>4250</v>
      </c>
      <c r="D125" s="237" t="s">
        <v>4251</v>
      </c>
      <c r="E125" s="237" t="s">
        <v>21</v>
      </c>
      <c r="F125" s="237" t="s">
        <v>21</v>
      </c>
      <c r="G125" s="237" t="s">
        <v>21</v>
      </c>
      <c r="H125" s="237" t="s">
        <v>4252</v>
      </c>
      <c r="I125" s="237" t="s">
        <v>21</v>
      </c>
      <c r="J125" s="237" t="s">
        <v>4253</v>
      </c>
      <c r="K125" s="240" t="str">
        <f>IF(COUNTIF(L125:AY125,"&lt;&gt;")=0,"",SUMPRODUCT(((Recommendations[ImplStatus]="Implemented")+(Recommendations[ImplStatus]="Compensated"))*ISNUMBER(MATCH(Recommendations[Id],L125:AY125,0)))/COUNTIF(L125:AY125,"&lt;&gt;"))</f>
        <v/>
      </c>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4254</v>
      </c>
      <c r="B126" s="237" t="s">
        <v>4255</v>
      </c>
      <c r="C126" s="237" t="s">
        <v>4256</v>
      </c>
      <c r="D126" s="237" t="s">
        <v>4257</v>
      </c>
      <c r="E126" s="237" t="s">
        <v>21</v>
      </c>
      <c r="F126" s="237" t="s">
        <v>4258</v>
      </c>
      <c r="G126" s="237" t="s">
        <v>21</v>
      </c>
      <c r="H126" s="237" t="s">
        <v>4259</v>
      </c>
      <c r="I126" s="237" t="s">
        <v>4260</v>
      </c>
      <c r="J126" s="237" t="s">
        <v>4261</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4262</v>
      </c>
      <c r="B127" s="237" t="s">
        <v>4263</v>
      </c>
      <c r="C127" s="237" t="s">
        <v>4264</v>
      </c>
      <c r="D127" s="237" t="s">
        <v>4265</v>
      </c>
      <c r="E127" s="237" t="s">
        <v>4266</v>
      </c>
      <c r="F127" s="237" t="s">
        <v>21</v>
      </c>
      <c r="G127" s="237" t="s">
        <v>21</v>
      </c>
      <c r="H127" s="237" t="s">
        <v>4267</v>
      </c>
      <c r="I127" s="237" t="s">
        <v>21</v>
      </c>
      <c r="J127" s="237" t="s">
        <v>4268</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4269</v>
      </c>
      <c r="B128" s="237" t="s">
        <v>4270</v>
      </c>
      <c r="C128" s="237" t="s">
        <v>4271</v>
      </c>
      <c r="D128" s="237" t="s">
        <v>21</v>
      </c>
      <c r="E128" s="237" t="s">
        <v>21</v>
      </c>
      <c r="F128" s="237" t="s">
        <v>21</v>
      </c>
      <c r="G128" s="237" t="s">
        <v>21</v>
      </c>
      <c r="H128" s="237" t="s">
        <v>4272</v>
      </c>
      <c r="I128" s="237" t="s">
        <v>4273</v>
      </c>
      <c r="J128" s="237" t="s">
        <v>4274</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4275</v>
      </c>
      <c r="B129" s="237" t="s">
        <v>4276</v>
      </c>
      <c r="C129" s="237" t="s">
        <v>4277</v>
      </c>
      <c r="D129" s="237" t="s">
        <v>21</v>
      </c>
      <c r="E129" s="237" t="s">
        <v>4278</v>
      </c>
      <c r="F129" s="237" t="s">
        <v>21</v>
      </c>
      <c r="G129" s="237" t="s">
        <v>21</v>
      </c>
      <c r="H129" s="237" t="s">
        <v>4279</v>
      </c>
      <c r="I129" s="237" t="s">
        <v>21</v>
      </c>
      <c r="J129" s="237" t="s">
        <v>4280</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4281</v>
      </c>
      <c r="B130" s="237" t="s">
        <v>4282</v>
      </c>
      <c r="C130" s="237" t="s">
        <v>4283</v>
      </c>
      <c r="D130" s="237" t="s">
        <v>21</v>
      </c>
      <c r="E130" s="237" t="s">
        <v>21</v>
      </c>
      <c r="F130" s="237" t="s">
        <v>21</v>
      </c>
      <c r="G130" s="237" t="s">
        <v>21</v>
      </c>
      <c r="H130" s="237" t="s">
        <v>4284</v>
      </c>
      <c r="I130" s="237" t="s">
        <v>21</v>
      </c>
      <c r="J130" s="237" t="s">
        <v>4285</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4286</v>
      </c>
      <c r="B131" s="235" t="s">
        <v>4287</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1064</v>
      </c>
      <c r="B132" s="236" t="s">
        <v>4288</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4289</v>
      </c>
      <c r="B133" s="237" t="s">
        <v>4290</v>
      </c>
      <c r="C133" s="237" t="s">
        <v>4291</v>
      </c>
      <c r="D133" s="237" t="s">
        <v>3824</v>
      </c>
      <c r="E133" s="237" t="s">
        <v>3610</v>
      </c>
      <c r="F133" s="237" t="s">
        <v>21</v>
      </c>
      <c r="G133" s="237" t="s">
        <v>21</v>
      </c>
      <c r="H133" s="237" t="s">
        <v>4292</v>
      </c>
      <c r="I133" s="237" t="s">
        <v>21</v>
      </c>
      <c r="J133" s="237" t="s">
        <v>4293</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4294</v>
      </c>
      <c r="B134" s="237" t="s">
        <v>4295</v>
      </c>
      <c r="C134" s="237" t="s">
        <v>3829</v>
      </c>
      <c r="D134" s="237" t="s">
        <v>3616</v>
      </c>
      <c r="E134" s="237" t="s">
        <v>21</v>
      </c>
      <c r="F134" s="237" t="s">
        <v>3618</v>
      </c>
      <c r="G134" s="237" t="s">
        <v>21</v>
      </c>
      <c r="H134" s="237" t="s">
        <v>4296</v>
      </c>
      <c r="I134" s="237" t="s">
        <v>21</v>
      </c>
      <c r="J134" s="237" t="s">
        <v>4297</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1068</v>
      </c>
      <c r="B135" s="236" t="s">
        <v>4298</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4299</v>
      </c>
      <c r="B136" s="237" t="s">
        <v>4300</v>
      </c>
      <c r="C136" s="237" t="s">
        <v>4301</v>
      </c>
      <c r="D136" s="237" t="s">
        <v>4302</v>
      </c>
      <c r="E136" s="237" t="s">
        <v>4303</v>
      </c>
      <c r="F136" s="237" t="s">
        <v>4304</v>
      </c>
      <c r="G136" s="237" t="s">
        <v>21</v>
      </c>
      <c r="H136" s="237" t="s">
        <v>4305</v>
      </c>
      <c r="I136" s="237" t="s">
        <v>21</v>
      </c>
      <c r="J136" s="237" t="s">
        <v>4306</v>
      </c>
      <c r="K136" s="240">
        <f>IF(COUNTIF(L136:AY136,"&lt;&gt;")=0,"",SUMPRODUCT(((Recommendations[ImplStatus]="Implemented")+(Recommendations[ImplStatus]="Compensated"))*ISNUMBER(MATCH(Recommendations[Id],L136:AY136,0)))/COUNTIF(L136:AY136,"&lt;&gt;"))</f>
        <v>0</v>
      </c>
      <c r="L136" s="243" t="s">
        <v>97</v>
      </c>
      <c r="M136" s="243" t="s">
        <v>256</v>
      </c>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4307</v>
      </c>
      <c r="B137" s="237" t="s">
        <v>4308</v>
      </c>
      <c r="C137" s="237" t="s">
        <v>4309</v>
      </c>
      <c r="D137" s="237" t="s">
        <v>4310</v>
      </c>
      <c r="E137" s="237" t="s">
        <v>21</v>
      </c>
      <c r="F137" s="237" t="s">
        <v>21</v>
      </c>
      <c r="G137" s="237" t="s">
        <v>21</v>
      </c>
      <c r="H137" s="237" t="s">
        <v>4311</v>
      </c>
      <c r="I137" s="237" t="s">
        <v>21</v>
      </c>
      <c r="J137" s="237" t="s">
        <v>4312</v>
      </c>
      <c r="K137" s="240">
        <f>IF(COUNTIF(L137:AY137,"&lt;&gt;")=0,"",SUMPRODUCT(((Recommendations[ImplStatus]="Implemented")+(Recommendations[ImplStatus]="Compensated"))*ISNUMBER(MATCH(Recommendations[Id],L137:AY137,0)))/COUNTIF(L137:AY137,"&lt;&gt;"))</f>
        <v>0</v>
      </c>
      <c r="L137" s="243" t="s">
        <v>97</v>
      </c>
      <c r="M137" s="243" t="s">
        <v>256</v>
      </c>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4313</v>
      </c>
      <c r="B138" s="237" t="s">
        <v>4314</v>
      </c>
      <c r="C138" s="237" t="s">
        <v>4315</v>
      </c>
      <c r="D138" s="237" t="s">
        <v>21</v>
      </c>
      <c r="E138" s="237" t="s">
        <v>21</v>
      </c>
      <c r="F138" s="237" t="s">
        <v>21</v>
      </c>
      <c r="G138" s="237" t="s">
        <v>21</v>
      </c>
      <c r="H138" s="237" t="s">
        <v>4316</v>
      </c>
      <c r="I138" s="237" t="s">
        <v>21</v>
      </c>
      <c r="J138" s="237" t="s">
        <v>4317</v>
      </c>
      <c r="K138" s="240" t="str">
        <f>IF(COUNTIF(L138:AY138,"&lt;&gt;")=0,"",SUMPRODUCT(((Recommendations[ImplStatus]="Implemented")+(Recommendations[ImplStatus]="Compensated"))*ISNUMBER(MATCH(Recommendations[Id],L138:AY138,0)))/COUNTIF(L138:AY138,"&lt;&gt;"))</f>
        <v/>
      </c>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4318</v>
      </c>
      <c r="B139" s="237" t="s">
        <v>4319</v>
      </c>
      <c r="C139" s="237" t="s">
        <v>4320</v>
      </c>
      <c r="D139" s="237" t="s">
        <v>4321</v>
      </c>
      <c r="E139" s="237" t="s">
        <v>21</v>
      </c>
      <c r="F139" s="237" t="s">
        <v>21</v>
      </c>
      <c r="G139" s="237" t="s">
        <v>21</v>
      </c>
      <c r="H139" s="237" t="s">
        <v>4322</v>
      </c>
      <c r="I139" s="237" t="s">
        <v>4323</v>
      </c>
      <c r="J139" s="237" t="s">
        <v>4324</v>
      </c>
      <c r="K139" s="240">
        <f>IF(COUNTIF(L139:AY139,"&lt;&gt;")=0,"",SUMPRODUCT(((Recommendations[ImplStatus]="Implemented")+(Recommendations[ImplStatus]="Compensated"))*ISNUMBER(MATCH(Recommendations[Id],L139:AY139,0)))/COUNTIF(L139:AY139,"&lt;&gt;"))</f>
        <v>0</v>
      </c>
      <c r="L139" s="243" t="s">
        <v>102</v>
      </c>
      <c r="M139" s="243" t="s">
        <v>363</v>
      </c>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4325</v>
      </c>
      <c r="B140" s="237" t="s">
        <v>4326</v>
      </c>
      <c r="C140" s="237" t="s">
        <v>4327</v>
      </c>
      <c r="D140" s="237" t="s">
        <v>4328</v>
      </c>
      <c r="E140" s="237" t="s">
        <v>21</v>
      </c>
      <c r="F140" s="237" t="s">
        <v>21</v>
      </c>
      <c r="G140" s="237" t="s">
        <v>21</v>
      </c>
      <c r="H140" s="237" t="s">
        <v>4329</v>
      </c>
      <c r="I140" s="237" t="s">
        <v>4052</v>
      </c>
      <c r="J140" s="237" t="s">
        <v>4330</v>
      </c>
      <c r="K140" s="240" t="str">
        <f>IF(COUNTIF(L140:AY140,"&lt;&gt;")=0,"",SUMPRODUCT(((Recommendations[ImplStatus]="Implemented")+(Recommendations[ImplStatus]="Compensated"))*ISNUMBER(MATCH(Recommendations[Id],L140:AY140,0)))/COUNTIF(L140:AY140,"&lt;&gt;"))</f>
        <v/>
      </c>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4331</v>
      </c>
      <c r="B141" s="237" t="s">
        <v>4332</v>
      </c>
      <c r="C141" s="237" t="s">
        <v>4333</v>
      </c>
      <c r="D141" s="237" t="s">
        <v>21</v>
      </c>
      <c r="E141" s="237" t="s">
        <v>4334</v>
      </c>
      <c r="F141" s="237" t="s">
        <v>21</v>
      </c>
      <c r="G141" s="237" t="s">
        <v>21</v>
      </c>
      <c r="H141" s="237" t="s">
        <v>4335</v>
      </c>
      <c r="I141" s="237" t="s">
        <v>4052</v>
      </c>
      <c r="J141" s="237" t="s">
        <v>4336</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4337</v>
      </c>
      <c r="B142" s="237" t="s">
        <v>4338</v>
      </c>
      <c r="C142" s="237" t="s">
        <v>4339</v>
      </c>
      <c r="D142" s="237" t="s">
        <v>4340</v>
      </c>
      <c r="E142" s="237" t="s">
        <v>4334</v>
      </c>
      <c r="F142" s="237" t="s">
        <v>21</v>
      </c>
      <c r="G142" s="237" t="s">
        <v>21</v>
      </c>
      <c r="H142" s="237" t="s">
        <v>4341</v>
      </c>
      <c r="I142" s="237" t="s">
        <v>4342</v>
      </c>
      <c r="J142" s="237" t="s">
        <v>4343</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1072</v>
      </c>
      <c r="B143" s="236" t="s">
        <v>4344</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4345</v>
      </c>
      <c r="B144" s="237" t="s">
        <v>4346</v>
      </c>
      <c r="C144" s="237" t="s">
        <v>4347</v>
      </c>
      <c r="D144" s="237" t="s">
        <v>21</v>
      </c>
      <c r="E144" s="237" t="s">
        <v>21</v>
      </c>
      <c r="F144" s="237" t="s">
        <v>21</v>
      </c>
      <c r="G144" s="237" t="s">
        <v>21</v>
      </c>
      <c r="H144" s="237" t="s">
        <v>4348</v>
      </c>
      <c r="I144" s="237" t="s">
        <v>21</v>
      </c>
      <c r="J144" s="237" t="s">
        <v>4349</v>
      </c>
      <c r="K144" s="240" t="str">
        <f>IF(COUNTIF(L144:AY144,"&lt;&gt;")=0,"",SUMPRODUCT(((Recommendations[ImplStatus]="Implemented")+(Recommendations[ImplStatus]="Compensated"))*ISNUMBER(MATCH(Recommendations[Id],L144:AY144,0)))/COUNTIF(L144:AY144,"&lt;&gt;"))</f>
        <v/>
      </c>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4350</v>
      </c>
      <c r="B145" s="237" t="s">
        <v>4351</v>
      </c>
      <c r="C145" s="237" t="s">
        <v>4352</v>
      </c>
      <c r="D145" s="237" t="s">
        <v>21</v>
      </c>
      <c r="E145" s="237" t="s">
        <v>21</v>
      </c>
      <c r="F145" s="237" t="s">
        <v>21</v>
      </c>
      <c r="G145" s="237" t="s">
        <v>21</v>
      </c>
      <c r="H145" s="237" t="s">
        <v>4353</v>
      </c>
      <c r="I145" s="237" t="s">
        <v>21</v>
      </c>
      <c r="J145" s="237" t="s">
        <v>4354</v>
      </c>
      <c r="K145" s="240" t="str">
        <f>IF(COUNTIF(L145:AY145,"&lt;&gt;")=0,"",SUMPRODUCT(((Recommendations[ImplStatus]="Implemented")+(Recommendations[ImplStatus]="Compensated"))*ISNUMBER(MATCH(Recommendations[Id],L145:AY145,0)))/COUNTIF(L145:AY145,"&lt;&gt;"))</f>
        <v/>
      </c>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4355</v>
      </c>
      <c r="B146" s="237" t="s">
        <v>4356</v>
      </c>
      <c r="C146" s="237" t="s">
        <v>4357</v>
      </c>
      <c r="D146" s="237" t="s">
        <v>4358</v>
      </c>
      <c r="E146" s="237" t="s">
        <v>21</v>
      </c>
      <c r="F146" s="237" t="s">
        <v>21</v>
      </c>
      <c r="G146" s="237" t="s">
        <v>21</v>
      </c>
      <c r="H146" s="237" t="s">
        <v>4359</v>
      </c>
      <c r="I146" s="237" t="s">
        <v>21</v>
      </c>
      <c r="J146" s="237" t="s">
        <v>4360</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4361</v>
      </c>
      <c r="B147" s="235" t="s">
        <v>4362</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1094</v>
      </c>
      <c r="B148" s="236" t="s">
        <v>4363</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4364</v>
      </c>
      <c r="B149" s="237" t="s">
        <v>4365</v>
      </c>
      <c r="C149" s="237" t="s">
        <v>4366</v>
      </c>
      <c r="D149" s="237" t="s">
        <v>3824</v>
      </c>
      <c r="E149" s="237" t="s">
        <v>3610</v>
      </c>
      <c r="F149" s="237" t="s">
        <v>21</v>
      </c>
      <c r="G149" s="237" t="s">
        <v>21</v>
      </c>
      <c r="H149" s="237" t="s">
        <v>4367</v>
      </c>
      <c r="I149" s="237" t="s">
        <v>21</v>
      </c>
      <c r="J149" s="237" t="s">
        <v>4368</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4369</v>
      </c>
      <c r="B150" s="237" t="s">
        <v>4370</v>
      </c>
      <c r="C150" s="237" t="s">
        <v>3615</v>
      </c>
      <c r="D150" s="237" t="s">
        <v>3616</v>
      </c>
      <c r="E150" s="237" t="s">
        <v>21</v>
      </c>
      <c r="F150" s="237" t="s">
        <v>3618</v>
      </c>
      <c r="G150" s="237" t="s">
        <v>21</v>
      </c>
      <c r="H150" s="237" t="s">
        <v>4371</v>
      </c>
      <c r="I150" s="237" t="s">
        <v>21</v>
      </c>
      <c r="J150" s="237" t="s">
        <v>4372</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1098</v>
      </c>
      <c r="B151" s="236" t="s">
        <v>4373</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4374</v>
      </c>
      <c r="B152" s="237" t="s">
        <v>4375</v>
      </c>
      <c r="C152" s="237" t="s">
        <v>4376</v>
      </c>
      <c r="D152" s="237" t="s">
        <v>21</v>
      </c>
      <c r="E152" s="237" t="s">
        <v>21</v>
      </c>
      <c r="F152" s="237" t="s">
        <v>21</v>
      </c>
      <c r="G152" s="237" t="s">
        <v>21</v>
      </c>
      <c r="H152" s="237" t="s">
        <v>4377</v>
      </c>
      <c r="I152" s="237" t="s">
        <v>4378</v>
      </c>
      <c r="J152" s="237" t="s">
        <v>4379</v>
      </c>
      <c r="K152" s="240">
        <f>IF(COUNTIF(L152:AY152,"&lt;&gt;")=0,"",SUMPRODUCT(((Recommendations[ImplStatus]="Implemented")+(Recommendations[ImplStatus]="Compensated"))*ISNUMBER(MATCH(Recommendations[Id],L152:AY152,0)))/COUNTIF(L152:AY152,"&lt;&gt;"))</f>
        <v>0</v>
      </c>
      <c r="L152" s="243" t="s">
        <v>87</v>
      </c>
      <c r="M152" s="243" t="s">
        <v>92</v>
      </c>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4380</v>
      </c>
      <c r="B153" s="237" t="s">
        <v>4381</v>
      </c>
      <c r="C153" s="237" t="s">
        <v>4382</v>
      </c>
      <c r="D153" s="237" t="s">
        <v>4383</v>
      </c>
      <c r="E153" s="237" t="s">
        <v>21</v>
      </c>
      <c r="F153" s="237" t="s">
        <v>4384</v>
      </c>
      <c r="G153" s="237" t="s">
        <v>21</v>
      </c>
      <c r="H153" s="237" t="s">
        <v>4385</v>
      </c>
      <c r="I153" s="237" t="s">
        <v>4386</v>
      </c>
      <c r="J153" s="237" t="s">
        <v>4387</v>
      </c>
      <c r="K153" s="240" t="str">
        <f>IF(COUNTIF(L153:AY153,"&lt;&gt;")=0,"",SUMPRODUCT(((Recommendations[ImplStatus]="Implemented")+(Recommendations[ImplStatus]="Compensated"))*ISNUMBER(MATCH(Recommendations[Id],L153:AY153,0)))/COUNTIF(L153:AY153,"&lt;&gt;"))</f>
        <v/>
      </c>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4388</v>
      </c>
      <c r="B154" s="237" t="s">
        <v>4389</v>
      </c>
      <c r="C154" s="237" t="s">
        <v>4390</v>
      </c>
      <c r="D154" s="237" t="s">
        <v>21</v>
      </c>
      <c r="E154" s="237" t="s">
        <v>21</v>
      </c>
      <c r="F154" s="237" t="s">
        <v>4391</v>
      </c>
      <c r="G154" s="237" t="s">
        <v>21</v>
      </c>
      <c r="H154" s="237" t="s">
        <v>4392</v>
      </c>
      <c r="I154" s="237" t="s">
        <v>21</v>
      </c>
      <c r="J154" s="237" t="s">
        <v>4393</v>
      </c>
      <c r="K154" s="240">
        <f>IF(COUNTIF(L154:AY154,"&lt;&gt;")=0,"",SUMPRODUCT(((Recommendations[ImplStatus]="Implemented")+(Recommendations[ImplStatus]="Compensated"))*ISNUMBER(MATCH(Recommendations[Id],L154:AY154,0)))/COUNTIF(L154:AY154,"&lt;&gt;"))</f>
        <v>0</v>
      </c>
      <c r="L154" s="243" t="s">
        <v>102</v>
      </c>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4394</v>
      </c>
      <c r="B155" s="237" t="s">
        <v>4395</v>
      </c>
      <c r="C155" s="237" t="s">
        <v>4396</v>
      </c>
      <c r="D155" s="237" t="s">
        <v>21</v>
      </c>
      <c r="E155" s="237" t="s">
        <v>21</v>
      </c>
      <c r="F155" s="237" t="s">
        <v>21</v>
      </c>
      <c r="G155" s="237" t="s">
        <v>21</v>
      </c>
      <c r="H155" s="237" t="s">
        <v>4397</v>
      </c>
      <c r="I155" s="237" t="s">
        <v>4398</v>
      </c>
      <c r="J155" s="237" t="s">
        <v>4399</v>
      </c>
      <c r="K155" s="240">
        <f>IF(COUNTIF(L155:AY155,"&lt;&gt;")=0,"",SUMPRODUCT(((Recommendations[ImplStatus]="Implemented")+(Recommendations[ImplStatus]="Compensated"))*ISNUMBER(MATCH(Recommendations[Id],L155:AY155,0)))/COUNTIF(L155:AY155,"&lt;&gt;"))</f>
        <v>0</v>
      </c>
      <c r="L155" s="243" t="s">
        <v>81</v>
      </c>
      <c r="M155" s="243" t="s">
        <v>225</v>
      </c>
      <c r="N155" s="243" t="s">
        <v>372</v>
      </c>
      <c r="O155" s="243" t="s">
        <v>402</v>
      </c>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4400</v>
      </c>
      <c r="B156" s="237" t="s">
        <v>4401</v>
      </c>
      <c r="C156" s="237" t="s">
        <v>4402</v>
      </c>
      <c r="D156" s="237" t="s">
        <v>21</v>
      </c>
      <c r="E156" s="237" t="s">
        <v>21</v>
      </c>
      <c r="F156" s="237" t="s">
        <v>21</v>
      </c>
      <c r="G156" s="237" t="s">
        <v>21</v>
      </c>
      <c r="H156" s="237" t="s">
        <v>4403</v>
      </c>
      <c r="I156" s="237" t="s">
        <v>21</v>
      </c>
      <c r="J156" s="237" t="s">
        <v>4404</v>
      </c>
      <c r="K156" s="240">
        <f>IF(COUNTIF(L156:AY156,"&lt;&gt;")=0,"",SUMPRODUCT(((Recommendations[ImplStatus]="Implemented")+(Recommendations[ImplStatus]="Compensated"))*ISNUMBER(MATCH(Recommendations[Id],L156:AY156,0)))/COUNTIF(L156:AY156,"&lt;&gt;"))</f>
        <v>0</v>
      </c>
      <c r="L156" s="243" t="s">
        <v>92</v>
      </c>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4405</v>
      </c>
      <c r="B157" s="237" t="s">
        <v>4406</v>
      </c>
      <c r="C157" s="237" t="s">
        <v>4407</v>
      </c>
      <c r="D157" s="237" t="s">
        <v>4408</v>
      </c>
      <c r="E157" s="237" t="s">
        <v>21</v>
      </c>
      <c r="F157" s="237" t="s">
        <v>21</v>
      </c>
      <c r="G157" s="237" t="s">
        <v>21</v>
      </c>
      <c r="H157" s="237" t="s">
        <v>4409</v>
      </c>
      <c r="I157" s="237" t="s">
        <v>21</v>
      </c>
      <c r="J157" s="237" t="s">
        <v>4410</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4411</v>
      </c>
      <c r="B158" s="237" t="s">
        <v>4412</v>
      </c>
      <c r="C158" s="237" t="s">
        <v>4413</v>
      </c>
      <c r="D158" s="237" t="s">
        <v>4414</v>
      </c>
      <c r="E158" s="237" t="s">
        <v>21</v>
      </c>
      <c r="F158" s="237" t="s">
        <v>21</v>
      </c>
      <c r="G158" s="237" t="s">
        <v>21</v>
      </c>
      <c r="H158" s="237" t="s">
        <v>21</v>
      </c>
      <c r="I158" s="237" t="s">
        <v>21</v>
      </c>
      <c r="J158" s="237" t="s">
        <v>4415</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4416</v>
      </c>
      <c r="B159" s="237" t="s">
        <v>4417</v>
      </c>
      <c r="C159" s="237" t="s">
        <v>4418</v>
      </c>
      <c r="D159" s="237" t="s">
        <v>4419</v>
      </c>
      <c r="E159" s="237" t="s">
        <v>21</v>
      </c>
      <c r="F159" s="237" t="s">
        <v>4420</v>
      </c>
      <c r="G159" s="237" t="s">
        <v>21</v>
      </c>
      <c r="H159" s="237" t="s">
        <v>4421</v>
      </c>
      <c r="I159" s="237" t="s">
        <v>4422</v>
      </c>
      <c r="J159" s="237" t="s">
        <v>4423</v>
      </c>
      <c r="K159" s="240">
        <f>IF(COUNTIF(L159:AY159,"&lt;&gt;")=0,"",SUMPRODUCT(((Recommendations[ImplStatus]="Implemented")+(Recommendations[ImplStatus]="Compensated"))*ISNUMBER(MATCH(Recommendations[Id],L159:AY159,0)))/COUNTIF(L159:AY159,"&lt;&gt;"))</f>
        <v>0</v>
      </c>
      <c r="L159" s="243" t="s">
        <v>112</v>
      </c>
      <c r="M159" s="243" t="s">
        <v>206</v>
      </c>
      <c r="N159" s="243" t="s">
        <v>216</v>
      </c>
      <c r="O159" s="243" t="s">
        <v>266</v>
      </c>
      <c r="P159" s="243" t="s">
        <v>310</v>
      </c>
      <c r="Q159" s="243" t="s">
        <v>372</v>
      </c>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1102</v>
      </c>
      <c r="B160" s="236" t="s">
        <v>4424</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4425</v>
      </c>
      <c r="B161" s="237" t="s">
        <v>4426</v>
      </c>
      <c r="C161" s="237" t="s">
        <v>4427</v>
      </c>
      <c r="D161" s="237" t="s">
        <v>4428</v>
      </c>
      <c r="E161" s="237" t="s">
        <v>21</v>
      </c>
      <c r="F161" s="237" t="s">
        <v>21</v>
      </c>
      <c r="G161" s="237" t="s">
        <v>4429</v>
      </c>
      <c r="H161" s="237" t="s">
        <v>4430</v>
      </c>
      <c r="I161" s="237" t="s">
        <v>4431</v>
      </c>
      <c r="J161" s="237" t="s">
        <v>4432</v>
      </c>
      <c r="K161" s="240" t="str">
        <f>IF(COUNTIF(L161:AY161,"&lt;&gt;")=0,"",SUMPRODUCT(((Recommendations[ImplStatus]="Implemented")+(Recommendations[ImplStatus]="Compensated"))*ISNUMBER(MATCH(Recommendations[Id],L161:AY161,0)))/COUNTIF(L161:AY161,"&lt;&gt;"))</f>
        <v/>
      </c>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4433</v>
      </c>
      <c r="B162" s="237" t="s">
        <v>4434</v>
      </c>
      <c r="C162" s="237" t="s">
        <v>4435</v>
      </c>
      <c r="D162" s="237" t="s">
        <v>4436</v>
      </c>
      <c r="E162" s="237" t="s">
        <v>21</v>
      </c>
      <c r="F162" s="237" t="s">
        <v>21</v>
      </c>
      <c r="G162" s="237" t="s">
        <v>21</v>
      </c>
      <c r="H162" s="237" t="s">
        <v>4437</v>
      </c>
      <c r="I162" s="237" t="s">
        <v>21</v>
      </c>
      <c r="J162" s="237" t="s">
        <v>4438</v>
      </c>
      <c r="K162" s="240" t="str">
        <f>IF(COUNTIF(L162:AY162,"&lt;&gt;")=0,"",SUMPRODUCT(((Recommendations[ImplStatus]="Implemented")+(Recommendations[ImplStatus]="Compensated"))*ISNUMBER(MATCH(Recommendations[Id],L162:AY162,0)))/COUNTIF(L162:AY162,"&lt;&gt;"))</f>
        <v/>
      </c>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4439</v>
      </c>
      <c r="B163" s="237" t="s">
        <v>4440</v>
      </c>
      <c r="C163" s="237" t="s">
        <v>4441</v>
      </c>
      <c r="D163" s="237" t="s">
        <v>4436</v>
      </c>
      <c r="E163" s="237" t="s">
        <v>21</v>
      </c>
      <c r="F163" s="237" t="s">
        <v>4442</v>
      </c>
      <c r="G163" s="237" t="s">
        <v>21</v>
      </c>
      <c r="H163" s="237" t="s">
        <v>4443</v>
      </c>
      <c r="I163" s="237" t="s">
        <v>21</v>
      </c>
      <c r="J163" s="237" t="s">
        <v>4444</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4445</v>
      </c>
      <c r="B164" s="237" t="s">
        <v>4446</v>
      </c>
      <c r="C164" s="237" t="s">
        <v>4447</v>
      </c>
      <c r="D164" s="237" t="s">
        <v>4448</v>
      </c>
      <c r="E164" s="237" t="s">
        <v>21</v>
      </c>
      <c r="F164" s="237" t="s">
        <v>21</v>
      </c>
      <c r="G164" s="237" t="s">
        <v>21</v>
      </c>
      <c r="H164" s="237" t="s">
        <v>4449</v>
      </c>
      <c r="I164" s="237" t="s">
        <v>4450</v>
      </c>
      <c r="J164" s="237" t="s">
        <v>4451</v>
      </c>
      <c r="K164" s="240">
        <f>IF(COUNTIF(L164:AY164,"&lt;&gt;")=0,"",SUMPRODUCT(((Recommendations[ImplStatus]="Implemented")+(Recommendations[ImplStatus]="Compensated"))*ISNUMBER(MATCH(Recommendations[Id],L164:AY164,0)))/COUNTIF(L164:AY164,"&lt;&gt;"))</f>
        <v>0</v>
      </c>
      <c r="L164" s="243" t="s">
        <v>107</v>
      </c>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4452</v>
      </c>
      <c r="B165" s="237" t="s">
        <v>4453</v>
      </c>
      <c r="C165" s="237" t="s">
        <v>4454</v>
      </c>
      <c r="D165" s="237" t="s">
        <v>21</v>
      </c>
      <c r="E165" s="237" t="s">
        <v>21</v>
      </c>
      <c r="F165" s="237" t="s">
        <v>21</v>
      </c>
      <c r="G165" s="237" t="s">
        <v>21</v>
      </c>
      <c r="H165" s="237" t="s">
        <v>4455</v>
      </c>
      <c r="I165" s="237" t="s">
        <v>21</v>
      </c>
      <c r="J165" s="237" t="s">
        <v>4456</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4457</v>
      </c>
      <c r="B166" s="237" t="s">
        <v>4458</v>
      </c>
      <c r="C166" s="237" t="s">
        <v>4459</v>
      </c>
      <c r="D166" s="237" t="s">
        <v>4460</v>
      </c>
      <c r="E166" s="237" t="s">
        <v>21</v>
      </c>
      <c r="F166" s="237" t="s">
        <v>21</v>
      </c>
      <c r="G166" s="237" t="s">
        <v>21</v>
      </c>
      <c r="H166" s="237" t="s">
        <v>4461</v>
      </c>
      <c r="I166" s="237" t="s">
        <v>4462</v>
      </c>
      <c r="J166" s="237" t="s">
        <v>4463</v>
      </c>
      <c r="K166" s="240">
        <f>IF(COUNTIF(L166:AY166,"&lt;&gt;")=0,"",SUMPRODUCT(((Recommendations[ImplStatus]="Implemented")+(Recommendations[ImplStatus]="Compensated"))*ISNUMBER(MATCH(Recommendations[Id],L166:AY166,0)))/COUNTIF(L166:AY166,"&lt;&gt;"))</f>
        <v>0</v>
      </c>
      <c r="L166" s="243" t="s">
        <v>168</v>
      </c>
      <c r="M166" s="243" t="s">
        <v>173</v>
      </c>
      <c r="N166" s="243" t="s">
        <v>178</v>
      </c>
      <c r="O166" s="243" t="s">
        <v>183</v>
      </c>
      <c r="P166" s="243" t="s">
        <v>187</v>
      </c>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4464</v>
      </c>
      <c r="B167" s="237" t="s">
        <v>4465</v>
      </c>
      <c r="C167" s="237" t="s">
        <v>4466</v>
      </c>
      <c r="D167" s="237" t="s">
        <v>21</v>
      </c>
      <c r="E167" s="237" t="s">
        <v>21</v>
      </c>
      <c r="F167" s="237" t="s">
        <v>21</v>
      </c>
      <c r="G167" s="237" t="s">
        <v>21</v>
      </c>
      <c r="H167" s="237" t="s">
        <v>4467</v>
      </c>
      <c r="I167" s="237" t="s">
        <v>4468</v>
      </c>
      <c r="J167" s="237" t="s">
        <v>4469</v>
      </c>
      <c r="K167" s="240">
        <f>IF(COUNTIF(L167:AY167,"&lt;&gt;")=0,"",SUMPRODUCT(((Recommendations[ImplStatus]="Implemented")+(Recommendations[ImplStatus]="Compensated"))*ISNUMBER(MATCH(Recommendations[Id],L167:AY167,0)))/COUNTIF(L167:AY167,"&lt;&gt;"))</f>
        <v>0</v>
      </c>
      <c r="L167" s="243" t="s">
        <v>168</v>
      </c>
      <c r="M167" s="243" t="s">
        <v>173</v>
      </c>
      <c r="N167" s="243" t="s">
        <v>178</v>
      </c>
      <c r="O167" s="243" t="s">
        <v>183</v>
      </c>
      <c r="P167" s="243" t="s">
        <v>187</v>
      </c>
      <c r="Q167" s="243" t="s">
        <v>191</v>
      </c>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4470</v>
      </c>
      <c r="B168" s="237" t="s">
        <v>4471</v>
      </c>
      <c r="C168" s="237" t="s">
        <v>4472</v>
      </c>
      <c r="D168" s="237" t="s">
        <v>4473</v>
      </c>
      <c r="E168" s="237" t="s">
        <v>21</v>
      </c>
      <c r="F168" s="237" t="s">
        <v>21</v>
      </c>
      <c r="G168" s="237" t="s">
        <v>21</v>
      </c>
      <c r="H168" s="237" t="s">
        <v>4474</v>
      </c>
      <c r="I168" s="237" t="s">
        <v>21</v>
      </c>
      <c r="J168" s="237" t="s">
        <v>4475</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4476</v>
      </c>
      <c r="B169" s="237" t="s">
        <v>4477</v>
      </c>
      <c r="C169" s="237" t="s">
        <v>4478</v>
      </c>
      <c r="D169" s="237" t="s">
        <v>4479</v>
      </c>
      <c r="E169" s="237" t="s">
        <v>21</v>
      </c>
      <c r="F169" s="237" t="s">
        <v>21</v>
      </c>
      <c r="G169" s="237" t="s">
        <v>4480</v>
      </c>
      <c r="H169" s="237" t="s">
        <v>4481</v>
      </c>
      <c r="I169" s="237" t="s">
        <v>4482</v>
      </c>
      <c r="J169" s="237" t="s">
        <v>4483</v>
      </c>
      <c r="K169" s="240">
        <f>IF(COUNTIF(L169:AY169,"&lt;&gt;")=0,"",SUMPRODUCT(((Recommendations[ImplStatus]="Implemented")+(Recommendations[ImplStatus]="Compensated"))*ISNUMBER(MATCH(Recommendations[Id],L169:AY169,0)))/COUNTIF(L169:AY169,"&lt;&gt;"))</f>
        <v>0</v>
      </c>
      <c r="L169" s="243" t="s">
        <v>191</v>
      </c>
      <c r="M169" s="243" t="s">
        <v>196</v>
      </c>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4484</v>
      </c>
      <c r="B170" s="237" t="s">
        <v>4485</v>
      </c>
      <c r="C170" s="237" t="s">
        <v>4486</v>
      </c>
      <c r="D170" s="237" t="s">
        <v>4487</v>
      </c>
      <c r="E170" s="237" t="s">
        <v>21</v>
      </c>
      <c r="F170" s="237" t="s">
        <v>21</v>
      </c>
      <c r="G170" s="237" t="s">
        <v>21</v>
      </c>
      <c r="H170" s="237" t="s">
        <v>4488</v>
      </c>
      <c r="I170" s="237" t="s">
        <v>4489</v>
      </c>
      <c r="J170" s="237" t="s">
        <v>4490</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4491</v>
      </c>
      <c r="B171" s="237" t="s">
        <v>4492</v>
      </c>
      <c r="C171" s="237" t="s">
        <v>4486</v>
      </c>
      <c r="D171" s="237" t="s">
        <v>4493</v>
      </c>
      <c r="E171" s="237" t="s">
        <v>21</v>
      </c>
      <c r="F171" s="237" t="s">
        <v>21</v>
      </c>
      <c r="G171" s="237" t="s">
        <v>4494</v>
      </c>
      <c r="H171" s="237" t="s">
        <v>4488</v>
      </c>
      <c r="I171" s="237" t="s">
        <v>4495</v>
      </c>
      <c r="J171" s="237" t="s">
        <v>4496</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4497</v>
      </c>
      <c r="B172" s="237" t="s">
        <v>4498</v>
      </c>
      <c r="C172" s="237" t="s">
        <v>4499</v>
      </c>
      <c r="D172" s="237" t="s">
        <v>4500</v>
      </c>
      <c r="E172" s="237" t="s">
        <v>21</v>
      </c>
      <c r="F172" s="237" t="s">
        <v>21</v>
      </c>
      <c r="G172" s="237" t="s">
        <v>21</v>
      </c>
      <c r="H172" s="237" t="s">
        <v>4501</v>
      </c>
      <c r="I172" s="237" t="s">
        <v>21</v>
      </c>
      <c r="J172" s="237" t="s">
        <v>4502</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1106</v>
      </c>
      <c r="B173" s="236" t="s">
        <v>4503</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4504</v>
      </c>
      <c r="B174" s="237" t="s">
        <v>4505</v>
      </c>
      <c r="C174" s="237" t="s">
        <v>4506</v>
      </c>
      <c r="D174" s="237" t="s">
        <v>4507</v>
      </c>
      <c r="E174" s="237" t="s">
        <v>4508</v>
      </c>
      <c r="F174" s="237" t="s">
        <v>21</v>
      </c>
      <c r="G174" s="237" t="s">
        <v>21</v>
      </c>
      <c r="H174" s="237" t="s">
        <v>4509</v>
      </c>
      <c r="I174" s="237" t="s">
        <v>4510</v>
      </c>
      <c r="J174" s="237" t="s">
        <v>4511</v>
      </c>
      <c r="K174" s="240">
        <f>IF(COUNTIF(L174:AY174,"&lt;&gt;")=0,"",SUMPRODUCT(((Recommendations[ImplStatus]="Implemented")+(Recommendations[ImplStatus]="Compensated"))*ISNUMBER(MATCH(Recommendations[Id],L174:AY174,0)))/COUNTIF(L174:AY174,"&lt;&gt;"))</f>
        <v>0</v>
      </c>
      <c r="L174" s="243" t="s">
        <v>158</v>
      </c>
      <c r="M174" s="243" t="s">
        <v>231</v>
      </c>
      <c r="N174" s="243" t="s">
        <v>295</v>
      </c>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4512</v>
      </c>
      <c r="B175" s="237" t="s">
        <v>4513</v>
      </c>
      <c r="C175" s="237" t="s">
        <v>4514</v>
      </c>
      <c r="D175" s="237" t="s">
        <v>21</v>
      </c>
      <c r="E175" s="237" t="s">
        <v>4515</v>
      </c>
      <c r="F175" s="237" t="s">
        <v>21</v>
      </c>
      <c r="G175" s="237" t="s">
        <v>21</v>
      </c>
      <c r="H175" s="237" t="s">
        <v>4516</v>
      </c>
      <c r="I175" s="237" t="s">
        <v>21</v>
      </c>
      <c r="J175" s="237" t="s">
        <v>4517</v>
      </c>
      <c r="K175" s="240">
        <f>IF(COUNTIF(L175:AY175,"&lt;&gt;")=0,"",SUMPRODUCT(((Recommendations[ImplStatus]="Implemented")+(Recommendations[ImplStatus]="Compensated"))*ISNUMBER(MATCH(Recommendations[Id],L175:AY175,0)))/COUNTIF(L175:AY175,"&lt;&gt;"))</f>
        <v>0</v>
      </c>
      <c r="L175" s="243" t="s">
        <v>158</v>
      </c>
      <c r="M175" s="243" t="s">
        <v>295</v>
      </c>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4518</v>
      </c>
      <c r="B176" s="237" t="s">
        <v>4519</v>
      </c>
      <c r="C176" s="237" t="s">
        <v>4520</v>
      </c>
      <c r="D176" s="237" t="s">
        <v>21</v>
      </c>
      <c r="E176" s="237" t="s">
        <v>4521</v>
      </c>
      <c r="F176" s="237" t="s">
        <v>21</v>
      </c>
      <c r="G176" s="237" t="s">
        <v>21</v>
      </c>
      <c r="H176" s="237" t="s">
        <v>4522</v>
      </c>
      <c r="I176" s="237" t="s">
        <v>4523</v>
      </c>
      <c r="J176" s="237" t="s">
        <v>4524</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1111</v>
      </c>
      <c r="B177" s="236" t="s">
        <v>4525</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4526</v>
      </c>
      <c r="B178" s="237" t="s">
        <v>4527</v>
      </c>
      <c r="C178" s="237" t="s">
        <v>4528</v>
      </c>
      <c r="D178" s="237" t="s">
        <v>4529</v>
      </c>
      <c r="E178" s="237" t="s">
        <v>4530</v>
      </c>
      <c r="F178" s="237" t="s">
        <v>4531</v>
      </c>
      <c r="G178" s="237" t="s">
        <v>21</v>
      </c>
      <c r="H178" s="237" t="s">
        <v>4532</v>
      </c>
      <c r="I178" s="237" t="s">
        <v>4533</v>
      </c>
      <c r="J178" s="237" t="s">
        <v>4534</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1115</v>
      </c>
      <c r="B179" s="236" t="s">
        <v>4535</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4536</v>
      </c>
      <c r="B180" s="237" t="s">
        <v>4537</v>
      </c>
      <c r="C180" s="237" t="s">
        <v>4538</v>
      </c>
      <c r="D180" s="237" t="s">
        <v>4529</v>
      </c>
      <c r="E180" s="237" t="s">
        <v>4539</v>
      </c>
      <c r="F180" s="237" t="s">
        <v>21</v>
      </c>
      <c r="G180" s="237" t="s">
        <v>21</v>
      </c>
      <c r="H180" s="237" t="s">
        <v>4540</v>
      </c>
      <c r="I180" s="237" t="s">
        <v>4052</v>
      </c>
      <c r="J180" s="237" t="s">
        <v>4541</v>
      </c>
      <c r="K180" s="240" t="str">
        <f>IF(COUNTIF(L180:AY180,"&lt;&gt;")=0,"",SUMPRODUCT(((Recommendations[ImplStatus]="Implemented")+(Recommendations[ImplStatus]="Compensated"))*ISNUMBER(MATCH(Recommendations[Id],L180:AY180,0)))/COUNTIF(L180:AY180,"&lt;&gt;"))</f>
        <v/>
      </c>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4542</v>
      </c>
      <c r="B181" s="237" t="s">
        <v>4543</v>
      </c>
      <c r="C181" s="237" t="s">
        <v>4544</v>
      </c>
      <c r="D181" s="237" t="s">
        <v>4545</v>
      </c>
      <c r="E181" s="237" t="s">
        <v>21</v>
      </c>
      <c r="F181" s="237" t="s">
        <v>21</v>
      </c>
      <c r="G181" s="237" t="s">
        <v>21</v>
      </c>
      <c r="H181" s="237" t="s">
        <v>4546</v>
      </c>
      <c r="I181" s="237" t="s">
        <v>4547</v>
      </c>
      <c r="J181" s="237" t="s">
        <v>4548</v>
      </c>
      <c r="K181" s="240" t="str">
        <f>IF(COUNTIF(L181:AY181,"&lt;&gt;")=0,"",SUMPRODUCT(((Recommendations[ImplStatus]="Implemented")+(Recommendations[ImplStatus]="Compensated"))*ISNUMBER(MATCH(Recommendations[Id],L181:AY181,0)))/COUNTIF(L181:AY181,"&lt;&gt;"))</f>
        <v/>
      </c>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4549</v>
      </c>
      <c r="B182" s="237" t="s">
        <v>4550</v>
      </c>
      <c r="C182" s="237" t="s">
        <v>4551</v>
      </c>
      <c r="D182" s="237" t="s">
        <v>4552</v>
      </c>
      <c r="E182" s="237" t="s">
        <v>21</v>
      </c>
      <c r="F182" s="237" t="s">
        <v>21</v>
      </c>
      <c r="G182" s="237" t="s">
        <v>21</v>
      </c>
      <c r="H182" s="237" t="s">
        <v>4553</v>
      </c>
      <c r="I182" s="237" t="s">
        <v>4052</v>
      </c>
      <c r="J182" s="237" t="s">
        <v>4554</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4555</v>
      </c>
      <c r="B183" s="235" t="s">
        <v>4556</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1145</v>
      </c>
      <c r="B184" s="236" t="s">
        <v>4557</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4558</v>
      </c>
      <c r="B185" s="237" t="s">
        <v>4559</v>
      </c>
      <c r="C185" s="237" t="s">
        <v>4560</v>
      </c>
      <c r="D185" s="237" t="s">
        <v>3824</v>
      </c>
      <c r="E185" s="237" t="s">
        <v>4561</v>
      </c>
      <c r="F185" s="237" t="s">
        <v>21</v>
      </c>
      <c r="G185" s="237" t="s">
        <v>21</v>
      </c>
      <c r="H185" s="237" t="s">
        <v>4562</v>
      </c>
      <c r="I185" s="237" t="s">
        <v>21</v>
      </c>
      <c r="J185" s="237" t="s">
        <v>4563</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4564</v>
      </c>
      <c r="B186" s="237" t="s">
        <v>4565</v>
      </c>
      <c r="C186" s="237" t="s">
        <v>3829</v>
      </c>
      <c r="D186" s="237" t="s">
        <v>4566</v>
      </c>
      <c r="E186" s="237" t="s">
        <v>21</v>
      </c>
      <c r="F186" s="237" t="s">
        <v>21</v>
      </c>
      <c r="G186" s="237" t="s">
        <v>21</v>
      </c>
      <c r="H186" s="237" t="s">
        <v>4567</v>
      </c>
      <c r="I186" s="237" t="s">
        <v>21</v>
      </c>
      <c r="J186" s="237" t="s">
        <v>4568</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1149</v>
      </c>
      <c r="B187" s="236" t="s">
        <v>4569</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4570</v>
      </c>
      <c r="B188" s="237" t="s">
        <v>4571</v>
      </c>
      <c r="C188" s="237" t="s">
        <v>4572</v>
      </c>
      <c r="D188" s="237" t="s">
        <v>4573</v>
      </c>
      <c r="E188" s="237" t="s">
        <v>21</v>
      </c>
      <c r="F188" s="237" t="s">
        <v>4574</v>
      </c>
      <c r="G188" s="237" t="s">
        <v>21</v>
      </c>
      <c r="H188" s="237" t="s">
        <v>4575</v>
      </c>
      <c r="I188" s="237" t="s">
        <v>4576</v>
      </c>
      <c r="J188" s="237" t="s">
        <v>4577</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4578</v>
      </c>
      <c r="B189" s="237" t="s">
        <v>4579</v>
      </c>
      <c r="C189" s="237" t="s">
        <v>4580</v>
      </c>
      <c r="D189" s="237" t="s">
        <v>4581</v>
      </c>
      <c r="E189" s="237" t="s">
        <v>21</v>
      </c>
      <c r="F189" s="237" t="s">
        <v>21</v>
      </c>
      <c r="G189" s="237" t="s">
        <v>21</v>
      </c>
      <c r="H189" s="237" t="s">
        <v>4582</v>
      </c>
      <c r="I189" s="237" t="s">
        <v>21</v>
      </c>
      <c r="J189" s="237" t="s">
        <v>4583</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4584</v>
      </c>
      <c r="B190" s="237" t="s">
        <v>4585</v>
      </c>
      <c r="C190" s="237" t="s">
        <v>4586</v>
      </c>
      <c r="D190" s="237" t="s">
        <v>4587</v>
      </c>
      <c r="E190" s="237" t="s">
        <v>21</v>
      </c>
      <c r="F190" s="237" t="s">
        <v>4588</v>
      </c>
      <c r="G190" s="237" t="s">
        <v>21</v>
      </c>
      <c r="H190" s="237" t="s">
        <v>4589</v>
      </c>
      <c r="I190" s="237" t="s">
        <v>21</v>
      </c>
      <c r="J190" s="237" t="s">
        <v>4590</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4591</v>
      </c>
      <c r="B191" s="237" t="s">
        <v>4592</v>
      </c>
      <c r="C191" s="237" t="s">
        <v>4593</v>
      </c>
      <c r="D191" s="237" t="s">
        <v>21</v>
      </c>
      <c r="E191" s="237" t="s">
        <v>21</v>
      </c>
      <c r="F191" s="237" t="s">
        <v>21</v>
      </c>
      <c r="G191" s="237" t="s">
        <v>21</v>
      </c>
      <c r="H191" s="237" t="s">
        <v>4594</v>
      </c>
      <c r="I191" s="237" t="s">
        <v>21</v>
      </c>
      <c r="J191" s="237" t="s">
        <v>4595</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4596</v>
      </c>
      <c r="B192" s="237" t="s">
        <v>4597</v>
      </c>
      <c r="C192" s="237" t="s">
        <v>4598</v>
      </c>
      <c r="D192" s="237" t="s">
        <v>4599</v>
      </c>
      <c r="E192" s="237" t="s">
        <v>4600</v>
      </c>
      <c r="F192" s="237" t="s">
        <v>21</v>
      </c>
      <c r="G192" s="237" t="s">
        <v>21</v>
      </c>
      <c r="H192" s="237" t="s">
        <v>4601</v>
      </c>
      <c r="I192" s="237" t="s">
        <v>21</v>
      </c>
      <c r="J192" s="237" t="s">
        <v>4602</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1153</v>
      </c>
      <c r="B193" s="236" t="s">
        <v>4603</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4604</v>
      </c>
      <c r="B194" s="237" t="s">
        <v>4605</v>
      </c>
      <c r="C194" s="237" t="s">
        <v>4606</v>
      </c>
      <c r="D194" s="237" t="s">
        <v>4599</v>
      </c>
      <c r="E194" s="237" t="s">
        <v>4600</v>
      </c>
      <c r="F194" s="237" t="s">
        <v>4607</v>
      </c>
      <c r="G194" s="237" t="s">
        <v>21</v>
      </c>
      <c r="H194" s="237" t="s">
        <v>4608</v>
      </c>
      <c r="I194" s="237" t="s">
        <v>21</v>
      </c>
      <c r="J194" s="237" t="s">
        <v>4609</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4610</v>
      </c>
      <c r="B195" s="237" t="s">
        <v>4611</v>
      </c>
      <c r="C195" s="237" t="s">
        <v>4612</v>
      </c>
      <c r="D195" s="237" t="s">
        <v>4613</v>
      </c>
      <c r="E195" s="237" t="s">
        <v>21</v>
      </c>
      <c r="F195" s="237" t="s">
        <v>21</v>
      </c>
      <c r="G195" s="237" t="s">
        <v>21</v>
      </c>
      <c r="H195" s="237" t="s">
        <v>4614</v>
      </c>
      <c r="I195" s="237" t="s">
        <v>21</v>
      </c>
      <c r="J195" s="237" t="s">
        <v>4615</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4616</v>
      </c>
      <c r="B196" s="237" t="s">
        <v>4617</v>
      </c>
      <c r="C196" s="237" t="s">
        <v>4618</v>
      </c>
      <c r="D196" s="237" t="s">
        <v>21</v>
      </c>
      <c r="E196" s="237" t="s">
        <v>4619</v>
      </c>
      <c r="F196" s="237" t="s">
        <v>21</v>
      </c>
      <c r="G196" s="237" t="s">
        <v>21</v>
      </c>
      <c r="H196" s="237" t="s">
        <v>4620</v>
      </c>
      <c r="I196" s="237" t="s">
        <v>21</v>
      </c>
      <c r="J196" s="237" t="s">
        <v>4621</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4622</v>
      </c>
      <c r="B197" s="237" t="s">
        <v>4623</v>
      </c>
      <c r="C197" s="237" t="s">
        <v>4624</v>
      </c>
      <c r="D197" s="237" t="s">
        <v>21</v>
      </c>
      <c r="E197" s="237" t="s">
        <v>21</v>
      </c>
      <c r="F197" s="237" t="s">
        <v>21</v>
      </c>
      <c r="G197" s="237" t="s">
        <v>21</v>
      </c>
      <c r="H197" s="237" t="s">
        <v>4625</v>
      </c>
      <c r="I197" s="237" t="s">
        <v>21</v>
      </c>
      <c r="J197" s="237" t="s">
        <v>4626</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4627</v>
      </c>
      <c r="B198" s="237" t="s">
        <v>4628</v>
      </c>
      <c r="C198" s="237" t="s">
        <v>4629</v>
      </c>
      <c r="D198" s="237" t="s">
        <v>4630</v>
      </c>
      <c r="E198" s="237" t="s">
        <v>21</v>
      </c>
      <c r="F198" s="237" t="s">
        <v>21</v>
      </c>
      <c r="G198" s="237" t="s">
        <v>21</v>
      </c>
      <c r="H198" s="237" t="s">
        <v>4631</v>
      </c>
      <c r="I198" s="237" t="s">
        <v>21</v>
      </c>
      <c r="J198" s="237" t="s">
        <v>4632</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1157</v>
      </c>
      <c r="B199" s="236" t="s">
        <v>4633</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4634</v>
      </c>
      <c r="B200" s="237" t="s">
        <v>4635</v>
      </c>
      <c r="C200" s="237" t="s">
        <v>4636</v>
      </c>
      <c r="D200" s="237" t="s">
        <v>21</v>
      </c>
      <c r="E200" s="237" t="s">
        <v>21</v>
      </c>
      <c r="F200" s="237" t="s">
        <v>21</v>
      </c>
      <c r="G200" s="237" t="s">
        <v>21</v>
      </c>
      <c r="H200" s="237" t="s">
        <v>4637</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4638</v>
      </c>
      <c r="B201" s="237" t="s">
        <v>4639</v>
      </c>
      <c r="C201" s="237" t="s">
        <v>4640</v>
      </c>
      <c r="D201" s="237" t="s">
        <v>4641</v>
      </c>
      <c r="E201" s="237" t="s">
        <v>21</v>
      </c>
      <c r="F201" s="237" t="s">
        <v>21</v>
      </c>
      <c r="G201" s="237" t="s">
        <v>21</v>
      </c>
      <c r="H201" s="237" t="s">
        <v>4642</v>
      </c>
      <c r="I201" s="237" t="s">
        <v>21</v>
      </c>
      <c r="J201" s="237" t="s">
        <v>4643</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4644</v>
      </c>
      <c r="B202" s="237" t="s">
        <v>4645</v>
      </c>
      <c r="C202" s="237" t="s">
        <v>4646</v>
      </c>
      <c r="D202" s="237" t="s">
        <v>21</v>
      </c>
      <c r="E202" s="237" t="s">
        <v>21</v>
      </c>
      <c r="F202" s="237" t="s">
        <v>21</v>
      </c>
      <c r="G202" s="237" t="s">
        <v>21</v>
      </c>
      <c r="H202" s="237" t="s">
        <v>4647</v>
      </c>
      <c r="I202" s="237" t="s">
        <v>21</v>
      </c>
      <c r="J202" s="237" t="s">
        <v>4648</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4649</v>
      </c>
      <c r="B203" s="237" t="s">
        <v>4650</v>
      </c>
      <c r="C203" s="237" t="s">
        <v>4651</v>
      </c>
      <c r="D203" s="237" t="s">
        <v>4652</v>
      </c>
      <c r="E203" s="237" t="s">
        <v>21</v>
      </c>
      <c r="F203" s="237" t="s">
        <v>21</v>
      </c>
      <c r="G203" s="237" t="s">
        <v>21</v>
      </c>
      <c r="H203" s="237" t="s">
        <v>4653</v>
      </c>
      <c r="I203" s="237" t="s">
        <v>21</v>
      </c>
      <c r="J203" s="237" t="s">
        <v>4654</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4655</v>
      </c>
      <c r="B204" s="237" t="s">
        <v>4656</v>
      </c>
      <c r="C204" s="237" t="s">
        <v>4657</v>
      </c>
      <c r="D204" s="237" t="s">
        <v>21</v>
      </c>
      <c r="E204" s="237" t="s">
        <v>21</v>
      </c>
      <c r="F204" s="237" t="s">
        <v>21</v>
      </c>
      <c r="G204" s="237" t="s">
        <v>21</v>
      </c>
      <c r="H204" s="237" t="s">
        <v>4658</v>
      </c>
      <c r="I204" s="237" t="s">
        <v>21</v>
      </c>
      <c r="J204" s="237" t="s">
        <v>4659</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4660</v>
      </c>
      <c r="B205" s="237" t="s">
        <v>4661</v>
      </c>
      <c r="C205" s="237" t="s">
        <v>4662</v>
      </c>
      <c r="D205" s="237" t="s">
        <v>21</v>
      </c>
      <c r="E205" s="237" t="s">
        <v>21</v>
      </c>
      <c r="F205" s="237" t="s">
        <v>21</v>
      </c>
      <c r="G205" s="237" t="s">
        <v>21</v>
      </c>
      <c r="H205" s="237" t="s">
        <v>4663</v>
      </c>
      <c r="I205" s="237" t="s">
        <v>4664</v>
      </c>
      <c r="J205" s="237" t="s">
        <v>4665</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4666</v>
      </c>
      <c r="B206" s="237" t="s">
        <v>4667</v>
      </c>
      <c r="C206" s="237" t="s">
        <v>4668</v>
      </c>
      <c r="D206" s="237" t="s">
        <v>21</v>
      </c>
      <c r="E206" s="237" t="s">
        <v>21</v>
      </c>
      <c r="F206" s="237" t="s">
        <v>21</v>
      </c>
      <c r="G206" s="237" t="s">
        <v>21</v>
      </c>
      <c r="H206" s="237" t="s">
        <v>4669</v>
      </c>
      <c r="I206" s="237" t="s">
        <v>21</v>
      </c>
      <c r="J206" s="237" t="s">
        <v>4670</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4671</v>
      </c>
      <c r="B207" s="237" t="s">
        <v>4672</v>
      </c>
      <c r="C207" s="237" t="s">
        <v>4668</v>
      </c>
      <c r="D207" s="237" t="s">
        <v>4673</v>
      </c>
      <c r="E207" s="237" t="s">
        <v>21</v>
      </c>
      <c r="F207" s="237" t="s">
        <v>21</v>
      </c>
      <c r="G207" s="237" t="s">
        <v>21</v>
      </c>
      <c r="H207" s="237" t="s">
        <v>4674</v>
      </c>
      <c r="I207" s="237" t="s">
        <v>21</v>
      </c>
      <c r="J207" s="237" t="s">
        <v>4675</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4676</v>
      </c>
      <c r="B208" s="237" t="s">
        <v>4677</v>
      </c>
      <c r="C208" s="237" t="s">
        <v>4678</v>
      </c>
      <c r="D208" s="237" t="s">
        <v>4673</v>
      </c>
      <c r="E208" s="237" t="s">
        <v>21</v>
      </c>
      <c r="F208" s="237" t="s">
        <v>4679</v>
      </c>
      <c r="G208" s="237" t="s">
        <v>4680</v>
      </c>
      <c r="H208" s="237" t="s">
        <v>4681</v>
      </c>
      <c r="I208" s="237" t="s">
        <v>4682</v>
      </c>
      <c r="J208" s="237" t="s">
        <v>4683</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4684</v>
      </c>
      <c r="B209" s="237" t="s">
        <v>4685</v>
      </c>
      <c r="C209" s="237" t="s">
        <v>4686</v>
      </c>
      <c r="D209" s="237" t="s">
        <v>4687</v>
      </c>
      <c r="E209" s="237" t="s">
        <v>21</v>
      </c>
      <c r="F209" s="237" t="s">
        <v>4679</v>
      </c>
      <c r="G209" s="237" t="s">
        <v>4688</v>
      </c>
      <c r="H209" s="237" t="s">
        <v>4689</v>
      </c>
      <c r="I209" s="237" t="s">
        <v>4682</v>
      </c>
      <c r="J209" s="237" t="s">
        <v>4690</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1161</v>
      </c>
      <c r="B210" s="236" t="s">
        <v>4691</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4692</v>
      </c>
      <c r="B211" s="237" t="s">
        <v>4693</v>
      </c>
      <c r="C211" s="237" t="s">
        <v>4694</v>
      </c>
      <c r="D211" s="237" t="s">
        <v>4695</v>
      </c>
      <c r="E211" s="237" t="s">
        <v>21</v>
      </c>
      <c r="F211" s="237" t="s">
        <v>21</v>
      </c>
      <c r="G211" s="237" t="s">
        <v>4696</v>
      </c>
      <c r="H211" s="237" t="s">
        <v>4697</v>
      </c>
      <c r="I211" s="237" t="s">
        <v>4698</v>
      </c>
      <c r="J211" s="237" t="s">
        <v>4699</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4700</v>
      </c>
      <c r="B212" s="237" t="s">
        <v>4701</v>
      </c>
      <c r="C212" s="237" t="s">
        <v>4702</v>
      </c>
      <c r="D212" s="237" t="s">
        <v>4703</v>
      </c>
      <c r="E212" s="237" t="s">
        <v>21</v>
      </c>
      <c r="F212" s="237" t="s">
        <v>4704</v>
      </c>
      <c r="G212" s="237" t="s">
        <v>21</v>
      </c>
      <c r="H212" s="237" t="s">
        <v>21</v>
      </c>
      <c r="I212" s="237" t="s">
        <v>21</v>
      </c>
      <c r="J212" s="237" t="s">
        <v>4705</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4706</v>
      </c>
      <c r="B213" s="237" t="s">
        <v>4707</v>
      </c>
      <c r="C213" s="237" t="s">
        <v>4708</v>
      </c>
      <c r="D213" s="237" t="s">
        <v>4709</v>
      </c>
      <c r="E213" s="237" t="s">
        <v>21</v>
      </c>
      <c r="F213" s="237" t="s">
        <v>4710</v>
      </c>
      <c r="G213" s="237" t="s">
        <v>21</v>
      </c>
      <c r="H213" s="237" t="s">
        <v>4711</v>
      </c>
      <c r="I213" s="237" t="s">
        <v>21</v>
      </c>
      <c r="J213" s="237" t="s">
        <v>4712</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4713</v>
      </c>
      <c r="B214" s="237" t="s">
        <v>4714</v>
      </c>
      <c r="C214" s="237" t="s">
        <v>4715</v>
      </c>
      <c r="D214" s="237" t="s">
        <v>4716</v>
      </c>
      <c r="E214" s="237" t="s">
        <v>21</v>
      </c>
      <c r="F214" s="237" t="s">
        <v>21</v>
      </c>
      <c r="G214" s="237" t="s">
        <v>21</v>
      </c>
      <c r="H214" s="237" t="s">
        <v>4717</v>
      </c>
      <c r="I214" s="237" t="s">
        <v>4052</v>
      </c>
      <c r="J214" s="237" t="s">
        <v>4718</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4719</v>
      </c>
      <c r="B215" s="237" t="s">
        <v>4720</v>
      </c>
      <c r="C215" s="237" t="s">
        <v>4721</v>
      </c>
      <c r="D215" s="237" t="s">
        <v>4722</v>
      </c>
      <c r="E215" s="237" t="s">
        <v>21</v>
      </c>
      <c r="F215" s="237" t="s">
        <v>21</v>
      </c>
      <c r="G215" s="237" t="s">
        <v>21</v>
      </c>
      <c r="H215" s="237" t="s">
        <v>4723</v>
      </c>
      <c r="I215" s="237" t="s">
        <v>21</v>
      </c>
      <c r="J215" s="237" t="s">
        <v>4724</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4725</v>
      </c>
      <c r="B216" s="235" t="s">
        <v>4726</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1175</v>
      </c>
      <c r="B217" s="236" t="s">
        <v>4727</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4728</v>
      </c>
      <c r="B218" s="237" t="s">
        <v>4729</v>
      </c>
      <c r="C218" s="237" t="s">
        <v>4730</v>
      </c>
      <c r="D218" s="237" t="s">
        <v>3824</v>
      </c>
      <c r="E218" s="237" t="s">
        <v>3610</v>
      </c>
      <c r="F218" s="237" t="s">
        <v>21</v>
      </c>
      <c r="G218" s="237" t="s">
        <v>21</v>
      </c>
      <c r="H218" s="237" t="s">
        <v>4731</v>
      </c>
      <c r="I218" s="237" t="s">
        <v>21</v>
      </c>
      <c r="J218" s="237" t="s">
        <v>4732</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4733</v>
      </c>
      <c r="B219" s="237" t="s">
        <v>4734</v>
      </c>
      <c r="C219" s="237" t="s">
        <v>3615</v>
      </c>
      <c r="D219" s="237" t="s">
        <v>3616</v>
      </c>
      <c r="E219" s="237" t="s">
        <v>21</v>
      </c>
      <c r="F219" s="237" t="s">
        <v>3618</v>
      </c>
      <c r="G219" s="237" t="s">
        <v>21</v>
      </c>
      <c r="H219" s="237" t="s">
        <v>4735</v>
      </c>
      <c r="I219" s="237" t="s">
        <v>21</v>
      </c>
      <c r="J219" s="237" t="s">
        <v>4736</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1179</v>
      </c>
      <c r="B220" s="236" t="s">
        <v>4737</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4738</v>
      </c>
      <c r="B221" s="237" t="s">
        <v>4739</v>
      </c>
      <c r="C221" s="237" t="s">
        <v>4740</v>
      </c>
      <c r="D221" s="237" t="s">
        <v>4741</v>
      </c>
      <c r="E221" s="237" t="s">
        <v>21</v>
      </c>
      <c r="F221" s="237" t="s">
        <v>21</v>
      </c>
      <c r="G221" s="237" t="s">
        <v>21</v>
      </c>
      <c r="H221" s="237" t="s">
        <v>4742</v>
      </c>
      <c r="I221" s="237" t="s">
        <v>21</v>
      </c>
      <c r="J221" s="237" t="s">
        <v>4743</v>
      </c>
      <c r="K221" s="240">
        <f>IF(COUNTIF(L221:AY221,"&lt;&gt;")=0,"",SUMPRODUCT(((Recommendations[ImplStatus]="Implemented")+(Recommendations[ImplStatus]="Compensated"))*ISNUMBER(MATCH(Recommendations[Id],L221:AY221,0)))/COUNTIF(L221:AY221,"&lt;&gt;"))</f>
        <v>0</v>
      </c>
      <c r="L221" s="243" t="s">
        <v>123</v>
      </c>
      <c r="M221" s="243" t="s">
        <v>128</v>
      </c>
      <c r="N221" s="243" t="s">
        <v>418</v>
      </c>
      <c r="O221" s="243" t="s">
        <v>423</v>
      </c>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53"/>
    </row>
    <row r="222" spans="1:51" ht="60" customHeight="1" x14ac:dyDescent="0.35">
      <c r="A222" s="249" t="s">
        <v>4744</v>
      </c>
      <c r="B222" s="237" t="s">
        <v>4745</v>
      </c>
      <c r="C222" s="237" t="s">
        <v>4746</v>
      </c>
      <c r="D222" s="237" t="s">
        <v>4747</v>
      </c>
      <c r="E222" s="237" t="s">
        <v>21</v>
      </c>
      <c r="F222" s="237" t="s">
        <v>21</v>
      </c>
      <c r="G222" s="237" t="s">
        <v>21</v>
      </c>
      <c r="H222" s="237" t="s">
        <v>4748</v>
      </c>
      <c r="I222" s="237" t="s">
        <v>21</v>
      </c>
      <c r="J222" s="237" t="s">
        <v>4749</v>
      </c>
      <c r="K222" s="240" t="str">
        <f>IF(COUNTIF(L222:AY222,"&lt;&gt;")=0,"",SUMPRODUCT(((Recommendations[ImplStatus]="Implemented")+(Recommendations[ImplStatus]="Compensated"))*ISNUMBER(MATCH(Recommendations[Id],L222:AY222,0)))/COUNTIF(L222:AY222,"&lt;&gt;"))</f>
        <v/>
      </c>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4750</v>
      </c>
      <c r="B223" s="237" t="s">
        <v>4751</v>
      </c>
      <c r="C223" s="237" t="s">
        <v>4752</v>
      </c>
      <c r="D223" s="237" t="s">
        <v>21</v>
      </c>
      <c r="E223" s="237" t="s">
        <v>4753</v>
      </c>
      <c r="F223" s="237" t="s">
        <v>21</v>
      </c>
      <c r="G223" s="237" t="s">
        <v>21</v>
      </c>
      <c r="H223" s="237" t="s">
        <v>4754</v>
      </c>
      <c r="I223" s="237" t="s">
        <v>21</v>
      </c>
      <c r="J223" s="237" t="s">
        <v>4755</v>
      </c>
      <c r="K223" s="240" t="str">
        <f>IF(COUNTIF(L223:AY223,"&lt;&gt;")=0,"",SUMPRODUCT(((Recommendations[ImplStatus]="Implemented")+(Recommendations[ImplStatus]="Compensated"))*ISNUMBER(MATCH(Recommendations[Id],L223:AY223,0)))/COUNTIF(L223:AY223,"&lt;&gt;"))</f>
        <v/>
      </c>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4756</v>
      </c>
      <c r="B224" s="237" t="s">
        <v>4757</v>
      </c>
      <c r="C224" s="237" t="s">
        <v>4758</v>
      </c>
      <c r="D224" s="237" t="s">
        <v>21</v>
      </c>
      <c r="E224" s="237" t="s">
        <v>21</v>
      </c>
      <c r="F224" s="237" t="s">
        <v>21</v>
      </c>
      <c r="G224" s="237" t="s">
        <v>21</v>
      </c>
      <c r="H224" s="237" t="s">
        <v>4759</v>
      </c>
      <c r="I224" s="237" t="s">
        <v>21</v>
      </c>
      <c r="J224" s="237" t="s">
        <v>4760</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4761</v>
      </c>
      <c r="B225" s="237" t="s">
        <v>4762</v>
      </c>
      <c r="C225" s="237" t="s">
        <v>4763</v>
      </c>
      <c r="D225" s="237" t="s">
        <v>21</v>
      </c>
      <c r="E225" s="237" t="s">
        <v>21</v>
      </c>
      <c r="F225" s="237" t="s">
        <v>21</v>
      </c>
      <c r="G225" s="237" t="s">
        <v>21</v>
      </c>
      <c r="H225" s="237" t="s">
        <v>4764</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4765</v>
      </c>
      <c r="B226" s="237" t="s">
        <v>4766</v>
      </c>
      <c r="C226" s="237" t="s">
        <v>4767</v>
      </c>
      <c r="D226" s="237" t="s">
        <v>21</v>
      </c>
      <c r="E226" s="237" t="s">
        <v>21</v>
      </c>
      <c r="F226" s="237" t="s">
        <v>21</v>
      </c>
      <c r="G226" s="237" t="s">
        <v>21</v>
      </c>
      <c r="H226" s="237" t="s">
        <v>4768</v>
      </c>
      <c r="I226" s="237" t="s">
        <v>21</v>
      </c>
      <c r="J226" s="237" t="s">
        <v>4769</v>
      </c>
      <c r="K226" s="240" t="str">
        <f>IF(COUNTIF(L226:AY226,"&lt;&gt;")=0,"",SUMPRODUCT(((Recommendations[ImplStatus]="Implemented")+(Recommendations[ImplStatus]="Compensated"))*ISNUMBER(MATCH(Recommendations[Id],L226:AY226,0)))/COUNTIF(L226:AY226,"&lt;&gt;"))</f>
        <v/>
      </c>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4770</v>
      </c>
      <c r="B227" s="237" t="s">
        <v>4771</v>
      </c>
      <c r="C227" s="237" t="s">
        <v>4772</v>
      </c>
      <c r="D227" s="237" t="s">
        <v>21</v>
      </c>
      <c r="E227" s="237" t="s">
        <v>21</v>
      </c>
      <c r="F227" s="237" t="s">
        <v>21</v>
      </c>
      <c r="G227" s="237" t="s">
        <v>21</v>
      </c>
      <c r="H227" s="237" t="s">
        <v>4773</v>
      </c>
      <c r="I227" s="237" t="s">
        <v>21</v>
      </c>
      <c r="J227" s="237" t="s">
        <v>4774</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4775</v>
      </c>
      <c r="B228" s="237" t="s">
        <v>4776</v>
      </c>
      <c r="C228" s="237" t="s">
        <v>4777</v>
      </c>
      <c r="D228" s="237" t="s">
        <v>21</v>
      </c>
      <c r="E228" s="237" t="s">
        <v>21</v>
      </c>
      <c r="F228" s="237" t="s">
        <v>21</v>
      </c>
      <c r="G228" s="237" t="s">
        <v>21</v>
      </c>
      <c r="H228" s="237" t="s">
        <v>4778</v>
      </c>
      <c r="I228" s="237" t="s">
        <v>21</v>
      </c>
      <c r="J228" s="237" t="s">
        <v>4779</v>
      </c>
      <c r="K228" s="240" t="str">
        <f>IF(COUNTIF(L228:AY228,"&lt;&gt;")=0,"",SUMPRODUCT(((Recommendations[ImplStatus]="Implemented")+(Recommendations[ImplStatus]="Compensated"))*ISNUMBER(MATCH(Recommendations[Id],L228:AY228,0)))/COUNTIF(L228:AY228,"&lt;&gt;"))</f>
        <v/>
      </c>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4780</v>
      </c>
      <c r="B229" s="237" t="s">
        <v>4781</v>
      </c>
      <c r="C229" s="237" t="s">
        <v>4782</v>
      </c>
      <c r="D229" s="237" t="s">
        <v>21</v>
      </c>
      <c r="E229" s="237" t="s">
        <v>21</v>
      </c>
      <c r="F229" s="237" t="s">
        <v>21</v>
      </c>
      <c r="G229" s="237" t="s">
        <v>21</v>
      </c>
      <c r="H229" s="237" t="s">
        <v>4783</v>
      </c>
      <c r="I229" s="237" t="s">
        <v>21</v>
      </c>
      <c r="J229" s="237" t="s">
        <v>4784</v>
      </c>
      <c r="K229" s="240" t="str">
        <f>IF(COUNTIF(L229:AY229,"&lt;&gt;")=0,"",SUMPRODUCT(((Recommendations[ImplStatus]="Implemented")+(Recommendations[ImplStatus]="Compensated"))*ISNUMBER(MATCH(Recommendations[Id],L229:AY229,0)))/COUNTIF(L229:AY229,"&lt;&gt;"))</f>
        <v/>
      </c>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53"/>
    </row>
    <row r="230" spans="1:51" ht="60" customHeight="1" outlineLevel="1" x14ac:dyDescent="0.35">
      <c r="A230" s="248" t="s">
        <v>1183</v>
      </c>
      <c r="B230" s="236" t="s">
        <v>4785</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4786</v>
      </c>
      <c r="B231" s="237" t="s">
        <v>4787</v>
      </c>
      <c r="C231" s="237" t="s">
        <v>4788</v>
      </c>
      <c r="D231" s="237" t="s">
        <v>4789</v>
      </c>
      <c r="E231" s="237" t="s">
        <v>21</v>
      </c>
      <c r="F231" s="237" t="s">
        <v>21</v>
      </c>
      <c r="G231" s="237" t="s">
        <v>21</v>
      </c>
      <c r="H231" s="237" t="s">
        <v>4790</v>
      </c>
      <c r="I231" s="237" t="s">
        <v>21</v>
      </c>
      <c r="J231" s="237" t="s">
        <v>4791</v>
      </c>
      <c r="K231" s="240">
        <f>IF(COUNTIF(L231:AY231,"&lt;&gt;")=0,"",SUMPRODUCT(((Recommendations[ImplStatus]="Implemented")+(Recommendations[ImplStatus]="Compensated"))*ISNUMBER(MATCH(Recommendations[Id],L231:AY231,0)))/COUNTIF(L231:AY231,"&lt;&gt;"))</f>
        <v>0</v>
      </c>
      <c r="L231" s="243" t="s">
        <v>123</v>
      </c>
      <c r="M231" s="243" t="s">
        <v>418</v>
      </c>
      <c r="N231" s="243" t="s">
        <v>423</v>
      </c>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4792</v>
      </c>
      <c r="B232" s="237" t="s">
        <v>4793</v>
      </c>
      <c r="C232" s="237" t="s">
        <v>4794</v>
      </c>
      <c r="D232" s="237" t="s">
        <v>4795</v>
      </c>
      <c r="E232" s="237" t="s">
        <v>21</v>
      </c>
      <c r="F232" s="237" t="s">
        <v>21</v>
      </c>
      <c r="G232" s="237" t="s">
        <v>21</v>
      </c>
      <c r="H232" s="237" t="s">
        <v>4796</v>
      </c>
      <c r="I232" s="237" t="s">
        <v>21</v>
      </c>
      <c r="J232" s="237" t="s">
        <v>4797</v>
      </c>
      <c r="K232" s="240">
        <f>IF(COUNTIF(L232:AY232,"&lt;&gt;")=0,"",SUMPRODUCT(((Recommendations[ImplStatus]="Implemented")+(Recommendations[ImplStatus]="Compensated"))*ISNUMBER(MATCH(Recommendations[Id],L232:AY232,0)))/COUNTIF(L232:AY232,"&lt;&gt;"))</f>
        <v>0</v>
      </c>
      <c r="L232" s="243" t="s">
        <v>117</v>
      </c>
      <c r="M232" s="243" t="s">
        <v>428</v>
      </c>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4798</v>
      </c>
      <c r="B233" s="237" t="s">
        <v>4799</v>
      </c>
      <c r="C233" s="237" t="s">
        <v>4800</v>
      </c>
      <c r="D233" s="237" t="s">
        <v>4801</v>
      </c>
      <c r="E233" s="237" t="s">
        <v>21</v>
      </c>
      <c r="F233" s="237" t="s">
        <v>21</v>
      </c>
      <c r="G233" s="237" t="s">
        <v>21</v>
      </c>
      <c r="H233" s="237" t="s">
        <v>4802</v>
      </c>
      <c r="I233" s="237" t="s">
        <v>21</v>
      </c>
      <c r="J233" s="237" t="s">
        <v>4803</v>
      </c>
      <c r="K233" s="240">
        <f>IF(COUNTIF(L233:AY233,"&lt;&gt;")=0,"",SUMPRODUCT(((Recommendations[ImplStatus]="Implemented")+(Recommendations[ImplStatus]="Compensated"))*ISNUMBER(MATCH(Recommendations[Id],L233:AY233,0)))/COUNTIF(L233:AY233,"&lt;&gt;"))</f>
        <v>0</v>
      </c>
      <c r="L233" s="243" t="s">
        <v>428</v>
      </c>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4804</v>
      </c>
      <c r="B234" s="237" t="s">
        <v>4805</v>
      </c>
      <c r="C234" s="237" t="s">
        <v>4806</v>
      </c>
      <c r="D234" s="237" t="s">
        <v>4807</v>
      </c>
      <c r="E234" s="237" t="s">
        <v>21</v>
      </c>
      <c r="F234" s="237" t="s">
        <v>21</v>
      </c>
      <c r="G234" s="237" t="s">
        <v>21</v>
      </c>
      <c r="H234" s="237" t="s">
        <v>4808</v>
      </c>
      <c r="I234" s="237" t="s">
        <v>21</v>
      </c>
      <c r="J234" s="237" t="s">
        <v>4809</v>
      </c>
      <c r="K234" s="240" t="str">
        <f>IF(COUNTIF(L234:AY234,"&lt;&gt;")=0,"",SUMPRODUCT(((Recommendations[ImplStatus]="Implemented")+(Recommendations[ImplStatus]="Compensated"))*ISNUMBER(MATCH(Recommendations[Id],L234:AY234,0)))/COUNTIF(L234:AY234,"&lt;&gt;"))</f>
        <v/>
      </c>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1187</v>
      </c>
      <c r="B235" s="236" t="s">
        <v>4810</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4811</v>
      </c>
      <c r="B236" s="237" t="s">
        <v>4812</v>
      </c>
      <c r="C236" s="237" t="s">
        <v>4813</v>
      </c>
      <c r="D236" s="237" t="s">
        <v>4814</v>
      </c>
      <c r="E236" s="237" t="s">
        <v>21</v>
      </c>
      <c r="F236" s="237" t="s">
        <v>21</v>
      </c>
      <c r="G236" s="237" t="s">
        <v>21</v>
      </c>
      <c r="H236" s="237" t="s">
        <v>4815</v>
      </c>
      <c r="I236" s="237" t="s">
        <v>21</v>
      </c>
      <c r="J236" s="237" t="s">
        <v>4816</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4817</v>
      </c>
      <c r="B237" s="237" t="s">
        <v>4818</v>
      </c>
      <c r="C237" s="237" t="s">
        <v>4819</v>
      </c>
      <c r="D237" s="237" t="s">
        <v>4820</v>
      </c>
      <c r="E237" s="237" t="s">
        <v>21</v>
      </c>
      <c r="F237" s="237" t="s">
        <v>21</v>
      </c>
      <c r="G237" s="237" t="s">
        <v>4821</v>
      </c>
      <c r="H237" s="237" t="s">
        <v>4822</v>
      </c>
      <c r="I237" s="237" t="s">
        <v>4052</v>
      </c>
      <c r="J237" s="237" t="s">
        <v>4823</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4824</v>
      </c>
      <c r="B238" s="237" t="s">
        <v>4825</v>
      </c>
      <c r="C238" s="237" t="s">
        <v>4826</v>
      </c>
      <c r="D238" s="237" t="s">
        <v>21</v>
      </c>
      <c r="E238" s="237" t="s">
        <v>21</v>
      </c>
      <c r="F238" s="237" t="s">
        <v>21</v>
      </c>
      <c r="G238" s="237" t="s">
        <v>21</v>
      </c>
      <c r="H238" s="237" t="s">
        <v>4827</v>
      </c>
      <c r="I238" s="237" t="s">
        <v>4828</v>
      </c>
      <c r="J238" s="237" t="s">
        <v>4829</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4830</v>
      </c>
      <c r="B239" s="237" t="s">
        <v>4831</v>
      </c>
      <c r="C239" s="237" t="s">
        <v>4832</v>
      </c>
      <c r="D239" s="237" t="s">
        <v>21</v>
      </c>
      <c r="E239" s="237" t="s">
        <v>21</v>
      </c>
      <c r="F239" s="237" t="s">
        <v>21</v>
      </c>
      <c r="G239" s="237" t="s">
        <v>21</v>
      </c>
      <c r="H239" s="237" t="s">
        <v>4833</v>
      </c>
      <c r="I239" s="237" t="s">
        <v>4052</v>
      </c>
      <c r="J239" s="237" t="s">
        <v>4834</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4835</v>
      </c>
      <c r="B240" s="237" t="s">
        <v>4836</v>
      </c>
      <c r="C240" s="237" t="s">
        <v>4837</v>
      </c>
      <c r="D240" s="237" t="s">
        <v>4838</v>
      </c>
      <c r="E240" s="237" t="s">
        <v>21</v>
      </c>
      <c r="F240" s="237" t="s">
        <v>21</v>
      </c>
      <c r="G240" s="237" t="s">
        <v>21</v>
      </c>
      <c r="H240" s="237" t="s">
        <v>4839</v>
      </c>
      <c r="I240" s="237" t="s">
        <v>21</v>
      </c>
      <c r="J240" s="237" t="s">
        <v>4840</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1191</v>
      </c>
      <c r="B241" s="236" t="s">
        <v>4841</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4842</v>
      </c>
      <c r="B242" s="237" t="s">
        <v>4843</v>
      </c>
      <c r="C242" s="237" t="s">
        <v>4844</v>
      </c>
      <c r="D242" s="237" t="s">
        <v>21</v>
      </c>
      <c r="E242" s="237" t="s">
        <v>21</v>
      </c>
      <c r="F242" s="237" t="s">
        <v>4845</v>
      </c>
      <c r="G242" s="237" t="s">
        <v>21</v>
      </c>
      <c r="H242" s="237" t="s">
        <v>4846</v>
      </c>
      <c r="I242" s="237" t="s">
        <v>21</v>
      </c>
      <c r="J242" s="237" t="s">
        <v>4847</v>
      </c>
      <c r="K242" s="240">
        <f>IF(COUNTIF(L242:AY242,"&lt;&gt;")=0,"",SUMPRODUCT(((Recommendations[ImplStatus]="Implemented")+(Recommendations[ImplStatus]="Compensated"))*ISNUMBER(MATCH(Recommendations[Id],L242:AY242,0)))/COUNTIF(L242:AY242,"&lt;&gt;"))</f>
        <v>0</v>
      </c>
      <c r="L242" s="243" t="s">
        <v>117</v>
      </c>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1195</v>
      </c>
      <c r="B243" s="236" t="s">
        <v>4848</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4849</v>
      </c>
      <c r="B244" s="237" t="s">
        <v>4850</v>
      </c>
      <c r="C244" s="237" t="s">
        <v>4851</v>
      </c>
      <c r="D244" s="237" t="s">
        <v>21</v>
      </c>
      <c r="E244" s="237" t="s">
        <v>21</v>
      </c>
      <c r="F244" s="237" t="s">
        <v>4852</v>
      </c>
      <c r="G244" s="237" t="s">
        <v>21</v>
      </c>
      <c r="H244" s="237" t="s">
        <v>4853</v>
      </c>
      <c r="I244" s="237" t="s">
        <v>4854</v>
      </c>
      <c r="J244" s="237" t="s">
        <v>4855</v>
      </c>
      <c r="K244" s="240">
        <f>IF(COUNTIF(L244:AY244,"&lt;&gt;")=0,"",SUMPRODUCT(((Recommendations[ImplStatus]="Implemented")+(Recommendations[ImplStatus]="Compensated"))*ISNUMBER(MATCH(Recommendations[Id],L244:AY244,0)))/COUNTIF(L244:AY244,"&lt;&gt;"))</f>
        <v>0</v>
      </c>
      <c r="L244" s="243" t="s">
        <v>128</v>
      </c>
      <c r="M244" s="243" t="s">
        <v>163</v>
      </c>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4856</v>
      </c>
      <c r="B245" s="237" t="s">
        <v>4857</v>
      </c>
      <c r="C245" s="237" t="s">
        <v>4858</v>
      </c>
      <c r="D245" s="237" t="s">
        <v>4859</v>
      </c>
      <c r="E245" s="237" t="s">
        <v>21</v>
      </c>
      <c r="F245" s="237" t="s">
        <v>21</v>
      </c>
      <c r="G245" s="237" t="s">
        <v>21</v>
      </c>
      <c r="H245" s="237" t="s">
        <v>4860</v>
      </c>
      <c r="I245" s="237" t="s">
        <v>21</v>
      </c>
      <c r="J245" s="237" t="s">
        <v>4861</v>
      </c>
      <c r="K245" s="240" t="str">
        <f>IF(COUNTIF(L245:AY245,"&lt;&gt;")=0,"",SUMPRODUCT(((Recommendations[ImplStatus]="Implemented")+(Recommendations[ImplStatus]="Compensated"))*ISNUMBER(MATCH(Recommendations[Id],L245:AY245,0)))/COUNTIF(L245:AY245,"&lt;&gt;"))</f>
        <v/>
      </c>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4862</v>
      </c>
      <c r="B246" s="237" t="s">
        <v>4863</v>
      </c>
      <c r="C246" s="237" t="s">
        <v>4864</v>
      </c>
      <c r="D246" s="237" t="s">
        <v>21</v>
      </c>
      <c r="E246" s="237" t="s">
        <v>21</v>
      </c>
      <c r="F246" s="237" t="s">
        <v>21</v>
      </c>
      <c r="G246" s="237" t="s">
        <v>21</v>
      </c>
      <c r="H246" s="237" t="s">
        <v>4865</v>
      </c>
      <c r="I246" s="237" t="s">
        <v>21</v>
      </c>
      <c r="J246" s="237" t="s">
        <v>4866</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1199</v>
      </c>
      <c r="B247" s="236" t="s">
        <v>4867</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4868</v>
      </c>
      <c r="B248" s="237" t="s">
        <v>4869</v>
      </c>
      <c r="C248" s="237" t="s">
        <v>4870</v>
      </c>
      <c r="D248" s="237" t="s">
        <v>4871</v>
      </c>
      <c r="E248" s="237" t="s">
        <v>21</v>
      </c>
      <c r="F248" s="237" t="s">
        <v>21</v>
      </c>
      <c r="G248" s="237" t="s">
        <v>21</v>
      </c>
      <c r="H248" s="237" t="s">
        <v>4872</v>
      </c>
      <c r="I248" s="237" t="s">
        <v>4873</v>
      </c>
      <c r="J248" s="237" t="s">
        <v>4874</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4875</v>
      </c>
      <c r="B249" s="237" t="s">
        <v>4876</v>
      </c>
      <c r="C249" s="237" t="s">
        <v>4870</v>
      </c>
      <c r="D249" s="237" t="s">
        <v>4877</v>
      </c>
      <c r="E249" s="237" t="s">
        <v>21</v>
      </c>
      <c r="F249" s="237" t="s">
        <v>21</v>
      </c>
      <c r="G249" s="237" t="s">
        <v>21</v>
      </c>
      <c r="H249" s="237" t="s">
        <v>4872</v>
      </c>
      <c r="I249" s="237" t="s">
        <v>4878</v>
      </c>
      <c r="J249" s="237" t="s">
        <v>4879</v>
      </c>
      <c r="K249" s="240" t="str">
        <f>IF(COUNTIF(L249:AY249,"&lt;&gt;")=0,"",SUMPRODUCT(((Recommendations[ImplStatus]="Implemented")+(Recommendations[ImplStatus]="Compensated"))*ISNUMBER(MATCH(Recommendations[Id],L249:AY249,0)))/COUNTIF(L249:AY249,"&lt;&gt;"))</f>
        <v/>
      </c>
      <c r="L249" s="243"/>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4880</v>
      </c>
      <c r="B250" s="237" t="s">
        <v>4881</v>
      </c>
      <c r="C250" s="237" t="s">
        <v>4882</v>
      </c>
      <c r="D250" s="237" t="s">
        <v>4883</v>
      </c>
      <c r="E250" s="237" t="s">
        <v>21</v>
      </c>
      <c r="F250" s="237" t="s">
        <v>21</v>
      </c>
      <c r="G250" s="237" t="s">
        <v>21</v>
      </c>
      <c r="H250" s="237" t="s">
        <v>4884</v>
      </c>
      <c r="I250" s="237" t="s">
        <v>21</v>
      </c>
      <c r="J250" s="237" t="s">
        <v>4885</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4886</v>
      </c>
      <c r="B251" s="235" t="s">
        <v>4887</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1205</v>
      </c>
      <c r="B252" s="236" t="s">
        <v>4888</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4889</v>
      </c>
      <c r="B253" s="237" t="s">
        <v>4890</v>
      </c>
      <c r="C253" s="237" t="s">
        <v>4891</v>
      </c>
      <c r="D253" s="237" t="s">
        <v>3824</v>
      </c>
      <c r="E253" s="237" t="s">
        <v>3610</v>
      </c>
      <c r="F253" s="237" t="s">
        <v>21</v>
      </c>
      <c r="G253" s="237" t="s">
        <v>21</v>
      </c>
      <c r="H253" s="237" t="s">
        <v>4892</v>
      </c>
      <c r="I253" s="237" t="s">
        <v>21</v>
      </c>
      <c r="J253" s="237" t="s">
        <v>4893</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4894</v>
      </c>
      <c r="B254" s="237" t="s">
        <v>4895</v>
      </c>
      <c r="C254" s="237" t="s">
        <v>3615</v>
      </c>
      <c r="D254" s="237" t="s">
        <v>3616</v>
      </c>
      <c r="E254" s="237" t="s">
        <v>21</v>
      </c>
      <c r="F254" s="237" t="s">
        <v>3618</v>
      </c>
      <c r="G254" s="237" t="s">
        <v>21</v>
      </c>
      <c r="H254" s="237" t="s">
        <v>4896</v>
      </c>
      <c r="I254" s="237" t="s">
        <v>21</v>
      </c>
      <c r="J254" s="237" t="s">
        <v>4897</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1209</v>
      </c>
      <c r="B255" s="236" t="s">
        <v>4898</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4899</v>
      </c>
      <c r="B256" s="237" t="s">
        <v>4900</v>
      </c>
      <c r="C256" s="237" t="s">
        <v>4901</v>
      </c>
      <c r="D256" s="237" t="s">
        <v>4902</v>
      </c>
      <c r="E256" s="237" t="s">
        <v>4903</v>
      </c>
      <c r="F256" s="237" t="s">
        <v>4904</v>
      </c>
      <c r="G256" s="237" t="s">
        <v>21</v>
      </c>
      <c r="H256" s="237" t="s">
        <v>4905</v>
      </c>
      <c r="I256" s="237" t="s">
        <v>21</v>
      </c>
      <c r="J256" s="237" t="s">
        <v>4906</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4907</v>
      </c>
      <c r="B257" s="237" t="s">
        <v>4908</v>
      </c>
      <c r="C257" s="237" t="s">
        <v>4909</v>
      </c>
      <c r="D257" s="237" t="s">
        <v>4910</v>
      </c>
      <c r="E257" s="237" t="s">
        <v>21</v>
      </c>
      <c r="F257" s="237" t="s">
        <v>21</v>
      </c>
      <c r="G257" s="237" t="s">
        <v>21</v>
      </c>
      <c r="H257" s="237" t="s">
        <v>4911</v>
      </c>
      <c r="I257" s="237" t="s">
        <v>21</v>
      </c>
      <c r="J257" s="237" t="s">
        <v>4912</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1214</v>
      </c>
      <c r="B258" s="236" t="s">
        <v>4913</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4914</v>
      </c>
      <c r="B259" s="237" t="s">
        <v>4915</v>
      </c>
      <c r="C259" s="237" t="s">
        <v>4916</v>
      </c>
      <c r="D259" s="237" t="s">
        <v>4917</v>
      </c>
      <c r="E259" s="237" t="s">
        <v>4918</v>
      </c>
      <c r="F259" s="237" t="s">
        <v>21</v>
      </c>
      <c r="G259" s="237" t="s">
        <v>21</v>
      </c>
      <c r="H259" s="237" t="s">
        <v>4919</v>
      </c>
      <c r="I259" s="237" t="s">
        <v>21</v>
      </c>
      <c r="J259" s="237" t="s">
        <v>4920</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4921</v>
      </c>
      <c r="B260" s="237" t="s">
        <v>4922</v>
      </c>
      <c r="C260" s="237" t="s">
        <v>4923</v>
      </c>
      <c r="D260" s="237" t="s">
        <v>21</v>
      </c>
      <c r="E260" s="237" t="s">
        <v>21</v>
      </c>
      <c r="F260" s="237" t="s">
        <v>21</v>
      </c>
      <c r="G260" s="237" t="s">
        <v>21</v>
      </c>
      <c r="H260" s="237" t="s">
        <v>4924</v>
      </c>
      <c r="I260" s="237" t="s">
        <v>4925</v>
      </c>
      <c r="J260" s="237" t="s">
        <v>4926</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4927</v>
      </c>
      <c r="B261" s="237" t="s">
        <v>4928</v>
      </c>
      <c r="C261" s="237" t="s">
        <v>4929</v>
      </c>
      <c r="D261" s="237" t="s">
        <v>4930</v>
      </c>
      <c r="E261" s="237" t="s">
        <v>21</v>
      </c>
      <c r="F261" s="237" t="s">
        <v>21</v>
      </c>
      <c r="G261" s="237" t="s">
        <v>21</v>
      </c>
      <c r="H261" s="237" t="s">
        <v>4931</v>
      </c>
      <c r="I261" s="237" t="s">
        <v>4932</v>
      </c>
      <c r="J261" s="237" t="s">
        <v>4933</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4934</v>
      </c>
      <c r="B262" s="237" t="s">
        <v>4935</v>
      </c>
      <c r="C262" s="237" t="s">
        <v>4936</v>
      </c>
      <c r="D262" s="237" t="s">
        <v>4937</v>
      </c>
      <c r="E262" s="237" t="s">
        <v>21</v>
      </c>
      <c r="F262" s="237" t="s">
        <v>21</v>
      </c>
      <c r="G262" s="237" t="s">
        <v>21</v>
      </c>
      <c r="H262" s="237" t="s">
        <v>4938</v>
      </c>
      <c r="I262" s="237" t="s">
        <v>4939</v>
      </c>
      <c r="J262" s="237" t="s">
        <v>4940</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4941</v>
      </c>
      <c r="B263" s="237" t="s">
        <v>4942</v>
      </c>
      <c r="C263" s="237" t="s">
        <v>4943</v>
      </c>
      <c r="D263" s="237" t="s">
        <v>4944</v>
      </c>
      <c r="E263" s="237" t="s">
        <v>21</v>
      </c>
      <c r="F263" s="237" t="s">
        <v>21</v>
      </c>
      <c r="G263" s="237" t="s">
        <v>4945</v>
      </c>
      <c r="H263" s="237" t="s">
        <v>3848</v>
      </c>
      <c r="I263" s="237" t="s">
        <v>4946</v>
      </c>
      <c r="J263" s="237" t="s">
        <v>4947</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4948</v>
      </c>
      <c r="B264" s="237" t="s">
        <v>4949</v>
      </c>
      <c r="C264" s="237" t="s">
        <v>4936</v>
      </c>
      <c r="D264" s="237" t="s">
        <v>4950</v>
      </c>
      <c r="E264" s="237" t="s">
        <v>21</v>
      </c>
      <c r="F264" s="237" t="s">
        <v>21</v>
      </c>
      <c r="G264" s="237" t="s">
        <v>21</v>
      </c>
      <c r="H264" s="237" t="s">
        <v>4951</v>
      </c>
      <c r="I264" s="237" t="s">
        <v>21</v>
      </c>
      <c r="J264" s="237" t="s">
        <v>4952</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1218</v>
      </c>
      <c r="B265" s="236" t="s">
        <v>4953</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4954</v>
      </c>
      <c r="B266" s="237" t="s">
        <v>4955</v>
      </c>
      <c r="C266" s="237" t="s">
        <v>4956</v>
      </c>
      <c r="D266" s="237" t="s">
        <v>4957</v>
      </c>
      <c r="E266" s="237" t="s">
        <v>4958</v>
      </c>
      <c r="F266" s="237" t="s">
        <v>21</v>
      </c>
      <c r="G266" s="237" t="s">
        <v>4959</v>
      </c>
      <c r="H266" s="237" t="s">
        <v>4960</v>
      </c>
      <c r="I266" s="237" t="s">
        <v>4961</v>
      </c>
      <c r="J266" s="237" t="s">
        <v>4962</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4963</v>
      </c>
      <c r="B267" s="237" t="s">
        <v>4964</v>
      </c>
      <c r="C267" s="237" t="s">
        <v>4965</v>
      </c>
      <c r="D267" s="237" t="s">
        <v>4966</v>
      </c>
      <c r="E267" s="237" t="s">
        <v>21</v>
      </c>
      <c r="F267" s="237" t="s">
        <v>21</v>
      </c>
      <c r="G267" s="237" t="s">
        <v>21</v>
      </c>
      <c r="H267" s="237" t="s">
        <v>4967</v>
      </c>
      <c r="I267" s="237" t="s">
        <v>21</v>
      </c>
      <c r="J267" s="237" t="s">
        <v>4968</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4969</v>
      </c>
      <c r="B268" s="237" t="s">
        <v>4970</v>
      </c>
      <c r="C268" s="237" t="s">
        <v>4971</v>
      </c>
      <c r="D268" s="237" t="s">
        <v>4966</v>
      </c>
      <c r="E268" s="237" t="s">
        <v>21</v>
      </c>
      <c r="F268" s="237" t="s">
        <v>21</v>
      </c>
      <c r="G268" s="237" t="s">
        <v>4972</v>
      </c>
      <c r="H268" s="237" t="s">
        <v>4973</v>
      </c>
      <c r="I268" s="237" t="s">
        <v>21</v>
      </c>
      <c r="J268" s="237" t="s">
        <v>4974</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4975</v>
      </c>
      <c r="B269" s="237" t="s">
        <v>4976</v>
      </c>
      <c r="C269" s="237" t="s">
        <v>4971</v>
      </c>
      <c r="D269" s="237" t="s">
        <v>4977</v>
      </c>
      <c r="E269" s="237" t="s">
        <v>21</v>
      </c>
      <c r="F269" s="237" t="s">
        <v>21</v>
      </c>
      <c r="G269" s="237" t="s">
        <v>21</v>
      </c>
      <c r="H269" s="237" t="s">
        <v>4978</v>
      </c>
      <c r="I269" s="237" t="s">
        <v>21</v>
      </c>
      <c r="J269" s="237" t="s">
        <v>4979</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4980</v>
      </c>
      <c r="B270" s="237" t="s">
        <v>4981</v>
      </c>
      <c r="C270" s="237" t="s">
        <v>4982</v>
      </c>
      <c r="D270" s="237" t="s">
        <v>4983</v>
      </c>
      <c r="E270" s="237" t="s">
        <v>21</v>
      </c>
      <c r="F270" s="237" t="s">
        <v>21</v>
      </c>
      <c r="G270" s="237" t="s">
        <v>21</v>
      </c>
      <c r="H270" s="237" t="s">
        <v>4984</v>
      </c>
      <c r="I270" s="237" t="s">
        <v>21</v>
      </c>
      <c r="J270" s="237" t="s">
        <v>4985</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4986</v>
      </c>
      <c r="B271" s="237" t="s">
        <v>4987</v>
      </c>
      <c r="C271" s="237" t="s">
        <v>4988</v>
      </c>
      <c r="D271" s="237" t="s">
        <v>4989</v>
      </c>
      <c r="E271" s="237" t="s">
        <v>21</v>
      </c>
      <c r="F271" s="237" t="s">
        <v>21</v>
      </c>
      <c r="G271" s="237" t="s">
        <v>21</v>
      </c>
      <c r="H271" s="237" t="s">
        <v>4990</v>
      </c>
      <c r="I271" s="237" t="s">
        <v>4991</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4992</v>
      </c>
      <c r="B272" s="237" t="s">
        <v>4993</v>
      </c>
      <c r="C272" s="237" t="s">
        <v>4994</v>
      </c>
      <c r="D272" s="237" t="s">
        <v>4995</v>
      </c>
      <c r="E272" s="237" t="s">
        <v>21</v>
      </c>
      <c r="F272" s="237" t="s">
        <v>21</v>
      </c>
      <c r="G272" s="237" t="s">
        <v>21</v>
      </c>
      <c r="H272" s="237" t="s">
        <v>4996</v>
      </c>
      <c r="I272" s="237" t="s">
        <v>4997</v>
      </c>
      <c r="J272" s="237" t="s">
        <v>4998</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1222</v>
      </c>
      <c r="B273" s="236" t="s">
        <v>4999</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5000</v>
      </c>
      <c r="B274" s="237" t="s">
        <v>5001</v>
      </c>
      <c r="C274" s="237" t="s">
        <v>5002</v>
      </c>
      <c r="D274" s="237" t="s">
        <v>4995</v>
      </c>
      <c r="E274" s="237" t="s">
        <v>5003</v>
      </c>
      <c r="F274" s="237" t="s">
        <v>21</v>
      </c>
      <c r="G274" s="237" t="s">
        <v>21</v>
      </c>
      <c r="H274" s="237" t="s">
        <v>5004</v>
      </c>
      <c r="I274" s="237" t="s">
        <v>21</v>
      </c>
      <c r="J274" s="237" t="s">
        <v>5005</v>
      </c>
      <c r="K274" s="240">
        <f>IF(COUNTIF(L274:AY274,"&lt;&gt;")=0,"",SUMPRODUCT(((Recommendations[ImplStatus]="Implemented")+(Recommendations[ImplStatus]="Compensated"))*ISNUMBER(MATCH(Recommendations[Id],L274:AY274,0)))/COUNTIF(L274:AY274,"&lt;&gt;"))</f>
        <v>0</v>
      </c>
      <c r="L274" s="243" t="s">
        <v>315</v>
      </c>
      <c r="M274" s="243" t="s">
        <v>320</v>
      </c>
      <c r="N274" s="243" t="s">
        <v>438</v>
      </c>
      <c r="O274" s="243" t="s">
        <v>448</v>
      </c>
      <c r="P274" s="243"/>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53"/>
    </row>
    <row r="275" spans="1:51" ht="60" customHeight="1" x14ac:dyDescent="0.35">
      <c r="A275" s="249" t="s">
        <v>5006</v>
      </c>
      <c r="B275" s="237" t="s">
        <v>5007</v>
      </c>
      <c r="C275" s="237" t="s">
        <v>5008</v>
      </c>
      <c r="D275" s="237" t="s">
        <v>5009</v>
      </c>
      <c r="E275" s="237" t="s">
        <v>21</v>
      </c>
      <c r="F275" s="237" t="s">
        <v>21</v>
      </c>
      <c r="G275" s="237" t="s">
        <v>21</v>
      </c>
      <c r="H275" s="237" t="s">
        <v>5010</v>
      </c>
      <c r="I275" s="237" t="s">
        <v>21</v>
      </c>
      <c r="J275" s="237" t="s">
        <v>5011</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5012</v>
      </c>
      <c r="B276" s="237" t="s">
        <v>5013</v>
      </c>
      <c r="C276" s="237" t="s">
        <v>5014</v>
      </c>
      <c r="D276" s="237" t="s">
        <v>5015</v>
      </c>
      <c r="E276" s="237" t="s">
        <v>21</v>
      </c>
      <c r="F276" s="237" t="s">
        <v>5016</v>
      </c>
      <c r="G276" s="237" t="s">
        <v>21</v>
      </c>
      <c r="H276" s="237" t="s">
        <v>5017</v>
      </c>
      <c r="I276" s="237" t="s">
        <v>5018</v>
      </c>
      <c r="J276" s="237" t="s">
        <v>5019</v>
      </c>
      <c r="K276" s="240" t="str">
        <f>IF(COUNTIF(L276:AY276,"&lt;&gt;")=0,"",SUMPRODUCT(((Recommendations[ImplStatus]="Implemented")+(Recommendations[ImplStatus]="Compensated"))*ISNUMBER(MATCH(Recommendations[Id],L276:AY276,0)))/COUNTIF(L276:AY276,"&lt;&gt;"))</f>
        <v/>
      </c>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5020</v>
      </c>
      <c r="B277" s="236" t="s">
        <v>5021</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5022</v>
      </c>
      <c r="B278" s="237" t="s">
        <v>5023</v>
      </c>
      <c r="C278" s="237" t="s">
        <v>5024</v>
      </c>
      <c r="D278" s="237" t="s">
        <v>5025</v>
      </c>
      <c r="E278" s="237" t="s">
        <v>21</v>
      </c>
      <c r="F278" s="237" t="s">
        <v>5026</v>
      </c>
      <c r="G278" s="237" t="s">
        <v>21</v>
      </c>
      <c r="H278" s="237" t="s">
        <v>5027</v>
      </c>
      <c r="I278" s="237" t="s">
        <v>21</v>
      </c>
      <c r="J278" s="237" t="s">
        <v>5028</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5029</v>
      </c>
      <c r="B279" s="235" t="s">
        <v>5030</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1228</v>
      </c>
      <c r="B280" s="236" t="s">
        <v>5031</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5032</v>
      </c>
      <c r="B281" s="237" t="s">
        <v>5033</v>
      </c>
      <c r="C281" s="237" t="s">
        <v>5034</v>
      </c>
      <c r="D281" s="237" t="s">
        <v>5035</v>
      </c>
      <c r="E281" s="237" t="s">
        <v>5036</v>
      </c>
      <c r="F281" s="237" t="s">
        <v>21</v>
      </c>
      <c r="G281" s="237" t="s">
        <v>21</v>
      </c>
      <c r="H281" s="237" t="s">
        <v>5037</v>
      </c>
      <c r="I281" s="237" t="s">
        <v>21</v>
      </c>
      <c r="J281" s="237" t="s">
        <v>5038</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5039</v>
      </c>
      <c r="B282" s="237" t="s">
        <v>5040</v>
      </c>
      <c r="C282" s="237" t="s">
        <v>5041</v>
      </c>
      <c r="D282" s="237" t="s">
        <v>21</v>
      </c>
      <c r="E282" s="237" t="s">
        <v>21</v>
      </c>
      <c r="F282" s="237" t="s">
        <v>21</v>
      </c>
      <c r="G282" s="237" t="s">
        <v>21</v>
      </c>
      <c r="H282" s="237" t="s">
        <v>5042</v>
      </c>
      <c r="I282" s="237" t="s">
        <v>21</v>
      </c>
      <c r="J282" s="237" t="s">
        <v>5043</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5044</v>
      </c>
      <c r="B283" s="237" t="s">
        <v>5045</v>
      </c>
      <c r="C283" s="237" t="s">
        <v>5046</v>
      </c>
      <c r="D283" s="237" t="s">
        <v>21</v>
      </c>
      <c r="E283" s="237" t="s">
        <v>21</v>
      </c>
      <c r="F283" s="237" t="s">
        <v>21</v>
      </c>
      <c r="G283" s="237" t="s">
        <v>21</v>
      </c>
      <c r="H283" s="237" t="s">
        <v>5047</v>
      </c>
      <c r="I283" s="237" t="s">
        <v>21</v>
      </c>
      <c r="J283" s="237" t="s">
        <v>5048</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5049</v>
      </c>
      <c r="B284" s="237" t="s">
        <v>5050</v>
      </c>
      <c r="C284" s="237" t="s">
        <v>5051</v>
      </c>
      <c r="D284" s="237" t="s">
        <v>5052</v>
      </c>
      <c r="E284" s="237" t="s">
        <v>21</v>
      </c>
      <c r="F284" s="237" t="s">
        <v>21</v>
      </c>
      <c r="G284" s="237" t="s">
        <v>21</v>
      </c>
      <c r="H284" s="237" t="s">
        <v>5053</v>
      </c>
      <c r="I284" s="237" t="s">
        <v>21</v>
      </c>
      <c r="J284" s="237" t="s">
        <v>5054</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1232</v>
      </c>
      <c r="B285" s="236" t="s">
        <v>5055</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5056</v>
      </c>
      <c r="B286" s="237" t="s">
        <v>5057</v>
      </c>
      <c r="C286" s="237" t="s">
        <v>5058</v>
      </c>
      <c r="D286" s="237" t="s">
        <v>5059</v>
      </c>
      <c r="E286" s="237" t="s">
        <v>21</v>
      </c>
      <c r="F286" s="237" t="s">
        <v>21</v>
      </c>
      <c r="G286" s="237" t="s">
        <v>21</v>
      </c>
      <c r="H286" s="237" t="s">
        <v>5060</v>
      </c>
      <c r="I286" s="237" t="s">
        <v>5061</v>
      </c>
      <c r="J286" s="237" t="s">
        <v>5062</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1236</v>
      </c>
      <c r="B287" s="236" t="s">
        <v>5063</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5064</v>
      </c>
      <c r="B288" s="237" t="s">
        <v>5065</v>
      </c>
      <c r="C288" s="237" t="s">
        <v>5066</v>
      </c>
      <c r="D288" s="237" t="s">
        <v>5067</v>
      </c>
      <c r="E288" s="237" t="s">
        <v>5068</v>
      </c>
      <c r="F288" s="237" t="s">
        <v>5069</v>
      </c>
      <c r="G288" s="237" t="s">
        <v>5070</v>
      </c>
      <c r="H288" s="237" t="s">
        <v>5071</v>
      </c>
      <c r="I288" s="237" t="s">
        <v>4052</v>
      </c>
      <c r="J288" s="237" t="s">
        <v>5072</v>
      </c>
      <c r="K288" s="240" t="str">
        <f>IF(COUNTIF(L288:AY288,"&lt;&gt;")=0,"",SUMPRODUCT(((Recommendations[ImplStatus]="Implemented")+(Recommendations[ImplStatus]="Compensated"))*ISNUMBER(MATCH(Recommendations[Id],L288:AY288,0)))/COUNTIF(L288:AY288,"&lt;&gt;"))</f>
        <v/>
      </c>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5073</v>
      </c>
      <c r="B289" s="237" t="s">
        <v>5074</v>
      </c>
      <c r="C289" s="237" t="s">
        <v>5075</v>
      </c>
      <c r="D289" s="237" t="s">
        <v>21</v>
      </c>
      <c r="E289" s="237" t="s">
        <v>5068</v>
      </c>
      <c r="F289" s="237" t="s">
        <v>21</v>
      </c>
      <c r="G289" s="237" t="s">
        <v>5076</v>
      </c>
      <c r="H289" s="237" t="s">
        <v>5077</v>
      </c>
      <c r="I289" s="237" t="s">
        <v>5078</v>
      </c>
      <c r="J289" s="237" t="s">
        <v>5079</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5080</v>
      </c>
      <c r="B290" s="237" t="s">
        <v>5081</v>
      </c>
      <c r="C290" s="237" t="s">
        <v>5082</v>
      </c>
      <c r="D290" s="237" t="s">
        <v>21</v>
      </c>
      <c r="E290" s="237" t="s">
        <v>5083</v>
      </c>
      <c r="F290" s="237" t="s">
        <v>21</v>
      </c>
      <c r="G290" s="237" t="s">
        <v>5084</v>
      </c>
      <c r="H290" s="237" t="s">
        <v>5085</v>
      </c>
      <c r="I290" s="237" t="s">
        <v>5086</v>
      </c>
      <c r="J290" s="237" t="s">
        <v>5087</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5088</v>
      </c>
      <c r="B291" s="237" t="s">
        <v>5089</v>
      </c>
      <c r="C291" s="237" t="s">
        <v>5090</v>
      </c>
      <c r="D291" s="237" t="s">
        <v>21</v>
      </c>
      <c r="E291" s="237" t="s">
        <v>21</v>
      </c>
      <c r="F291" s="237" t="s">
        <v>21</v>
      </c>
      <c r="G291" s="237" t="s">
        <v>21</v>
      </c>
      <c r="H291" s="237" t="s">
        <v>5091</v>
      </c>
      <c r="I291" s="237" t="s">
        <v>4052</v>
      </c>
      <c r="J291" s="237" t="s">
        <v>5092</v>
      </c>
      <c r="K291" s="240">
        <f>IF(COUNTIF(L291:AY291,"&lt;&gt;")=0,"",SUMPRODUCT(((Recommendations[ImplStatus]="Implemented")+(Recommendations[ImplStatus]="Compensated"))*ISNUMBER(MATCH(Recommendations[Id],L291:AY291,0)))/COUNTIF(L291:AY291,"&lt;&gt;"))</f>
        <v>0</v>
      </c>
      <c r="L291" s="243" t="s">
        <v>211</v>
      </c>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1240</v>
      </c>
      <c r="B292" s="236" t="s">
        <v>5093</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5094</v>
      </c>
      <c r="B293" s="237" t="s">
        <v>5095</v>
      </c>
      <c r="C293" s="237" t="s">
        <v>5096</v>
      </c>
      <c r="D293" s="237" t="s">
        <v>5097</v>
      </c>
      <c r="E293" s="237" t="s">
        <v>21</v>
      </c>
      <c r="F293" s="237" t="s">
        <v>21</v>
      </c>
      <c r="G293" s="237" t="s">
        <v>21</v>
      </c>
      <c r="H293" s="237" t="s">
        <v>5098</v>
      </c>
      <c r="I293" s="237" t="s">
        <v>5099</v>
      </c>
      <c r="J293" s="237" t="s">
        <v>5100</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5101</v>
      </c>
      <c r="B294" s="237" t="s">
        <v>5102</v>
      </c>
      <c r="C294" s="237" t="s">
        <v>5103</v>
      </c>
      <c r="D294" s="237" t="s">
        <v>5097</v>
      </c>
      <c r="E294" s="237" t="s">
        <v>21</v>
      </c>
      <c r="F294" s="237" t="s">
        <v>5104</v>
      </c>
      <c r="G294" s="237" t="s">
        <v>21</v>
      </c>
      <c r="H294" s="237" t="s">
        <v>5105</v>
      </c>
      <c r="I294" s="237" t="s">
        <v>4022</v>
      </c>
      <c r="J294" s="237" t="s">
        <v>5106</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5107</v>
      </c>
      <c r="B295" s="237" t="s">
        <v>5108</v>
      </c>
      <c r="C295" s="237" t="s">
        <v>5109</v>
      </c>
      <c r="D295" s="237" t="s">
        <v>5110</v>
      </c>
      <c r="E295" s="237" t="s">
        <v>21</v>
      </c>
      <c r="F295" s="237" t="s">
        <v>21</v>
      </c>
      <c r="G295" s="237" t="s">
        <v>21</v>
      </c>
      <c r="H295" s="237" t="s">
        <v>5111</v>
      </c>
      <c r="I295" s="237" t="s">
        <v>4022</v>
      </c>
      <c r="J295" s="237" t="s">
        <v>5112</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1244</v>
      </c>
      <c r="B296" s="236" t="s">
        <v>5113</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5114</v>
      </c>
      <c r="B297" s="237" t="s">
        <v>5115</v>
      </c>
      <c r="C297" s="237" t="s">
        <v>5116</v>
      </c>
      <c r="D297" s="237" t="s">
        <v>5110</v>
      </c>
      <c r="E297" s="237" t="s">
        <v>21</v>
      </c>
      <c r="F297" s="237" t="s">
        <v>5117</v>
      </c>
      <c r="G297" s="237" t="s">
        <v>21</v>
      </c>
      <c r="H297" s="237" t="s">
        <v>5118</v>
      </c>
      <c r="I297" s="237" t="s">
        <v>21</v>
      </c>
      <c r="J297" s="237" t="s">
        <v>5119</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5120</v>
      </c>
      <c r="B298" s="237" t="s">
        <v>5121</v>
      </c>
      <c r="C298" s="237" t="s">
        <v>5122</v>
      </c>
      <c r="D298" s="237" t="s">
        <v>5123</v>
      </c>
      <c r="E298" s="237" t="s">
        <v>21</v>
      </c>
      <c r="F298" s="237" t="s">
        <v>21</v>
      </c>
      <c r="G298" s="237" t="s">
        <v>5124</v>
      </c>
      <c r="H298" s="237" t="s">
        <v>5125</v>
      </c>
      <c r="I298" s="237" t="s">
        <v>5125</v>
      </c>
      <c r="J298" s="237" t="s">
        <v>5126</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5127</v>
      </c>
      <c r="B299" s="237" t="s">
        <v>5128</v>
      </c>
      <c r="C299" s="237" t="s">
        <v>5129</v>
      </c>
      <c r="D299" s="237" t="s">
        <v>21</v>
      </c>
      <c r="E299" s="237" t="s">
        <v>21</v>
      </c>
      <c r="F299" s="237" t="s">
        <v>21</v>
      </c>
      <c r="G299" s="237" t="s">
        <v>21</v>
      </c>
      <c r="H299" s="237" t="s">
        <v>5130</v>
      </c>
      <c r="I299" s="237" t="s">
        <v>5131</v>
      </c>
      <c r="J299" s="237" t="s">
        <v>5132</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5133</v>
      </c>
      <c r="B300" s="237" t="s">
        <v>5134</v>
      </c>
      <c r="C300" s="237" t="s">
        <v>5135</v>
      </c>
      <c r="D300" s="237" t="s">
        <v>21</v>
      </c>
      <c r="E300" s="237" t="s">
        <v>21</v>
      </c>
      <c r="F300" s="237" t="s">
        <v>5136</v>
      </c>
      <c r="G300" s="237" t="s">
        <v>21</v>
      </c>
      <c r="H300" s="237" t="s">
        <v>5137</v>
      </c>
      <c r="I300" s="237" t="s">
        <v>5131</v>
      </c>
      <c r="J300" s="237" t="s">
        <v>5138</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1248</v>
      </c>
      <c r="B301" s="236" t="s">
        <v>5139</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5140</v>
      </c>
      <c r="B302" s="237" t="s">
        <v>5141</v>
      </c>
      <c r="C302" s="237" t="s">
        <v>5142</v>
      </c>
      <c r="D302" s="237" t="s">
        <v>21</v>
      </c>
      <c r="E302" s="237" t="s">
        <v>21</v>
      </c>
      <c r="F302" s="237" t="s">
        <v>21</v>
      </c>
      <c r="G302" s="237" t="s">
        <v>21</v>
      </c>
      <c r="H302" s="237" t="s">
        <v>5143</v>
      </c>
      <c r="I302" s="237" t="s">
        <v>21</v>
      </c>
      <c r="J302" s="237" t="s">
        <v>5144</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5145</v>
      </c>
      <c r="B303" s="237" t="s">
        <v>5146</v>
      </c>
      <c r="C303" s="237" t="s">
        <v>5147</v>
      </c>
      <c r="D303" s="237" t="s">
        <v>5148</v>
      </c>
      <c r="E303" s="237" t="s">
        <v>21</v>
      </c>
      <c r="F303" s="237" t="s">
        <v>21</v>
      </c>
      <c r="G303" s="237" t="s">
        <v>21</v>
      </c>
      <c r="H303" s="237" t="s">
        <v>5149</v>
      </c>
      <c r="I303" s="237" t="s">
        <v>4052</v>
      </c>
      <c r="J303" s="237" t="s">
        <v>5150</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5151</v>
      </c>
      <c r="B304" s="237" t="s">
        <v>5152</v>
      </c>
      <c r="C304" s="237" t="s">
        <v>5153</v>
      </c>
      <c r="D304" s="237" t="s">
        <v>5148</v>
      </c>
      <c r="E304" s="237" t="s">
        <v>21</v>
      </c>
      <c r="F304" s="237" t="s">
        <v>5154</v>
      </c>
      <c r="G304" s="237" t="s">
        <v>21</v>
      </c>
      <c r="H304" s="237" t="s">
        <v>5155</v>
      </c>
      <c r="I304" s="237" t="s">
        <v>21</v>
      </c>
      <c r="J304" s="237" t="s">
        <v>5156</v>
      </c>
      <c r="K304" s="240" t="str">
        <f>IF(COUNTIF(L304:AY304,"&lt;&gt;")=0,"",SUMPRODUCT(((Recommendations[ImplStatus]="Implemented")+(Recommendations[ImplStatus]="Compensated"))*ISNUMBER(MATCH(Recommendations[Id],L304:AY304,0)))/COUNTIF(L304:AY304,"&lt;&gt;"))</f>
        <v/>
      </c>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5157</v>
      </c>
      <c r="B305" s="237" t="s">
        <v>5158</v>
      </c>
      <c r="C305" s="237" t="s">
        <v>5159</v>
      </c>
      <c r="D305" s="237" t="s">
        <v>5160</v>
      </c>
      <c r="E305" s="237" t="s">
        <v>21</v>
      </c>
      <c r="F305" s="237" t="s">
        <v>21</v>
      </c>
      <c r="G305" s="237" t="s">
        <v>21</v>
      </c>
      <c r="H305" s="237" t="s">
        <v>5161</v>
      </c>
      <c r="I305" s="237" t="s">
        <v>5162</v>
      </c>
      <c r="J305" s="237" t="s">
        <v>5163</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5164</v>
      </c>
      <c r="B306" s="237" t="s">
        <v>5165</v>
      </c>
      <c r="C306" s="237" t="s">
        <v>5166</v>
      </c>
      <c r="D306" s="237" t="s">
        <v>5167</v>
      </c>
      <c r="E306" s="237" t="s">
        <v>21</v>
      </c>
      <c r="F306" s="237" t="s">
        <v>21</v>
      </c>
      <c r="G306" s="237" t="s">
        <v>21</v>
      </c>
      <c r="H306" s="237" t="s">
        <v>5168</v>
      </c>
      <c r="I306" s="237" t="s">
        <v>4052</v>
      </c>
      <c r="J306" s="237" t="s">
        <v>5169</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1252</v>
      </c>
      <c r="B307" s="236" t="s">
        <v>5170</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5171</v>
      </c>
      <c r="B308" s="237" t="s">
        <v>5172</v>
      </c>
      <c r="C308" s="237" t="s">
        <v>5173</v>
      </c>
      <c r="D308" s="237" t="s">
        <v>5167</v>
      </c>
      <c r="E308" s="237" t="s">
        <v>21</v>
      </c>
      <c r="F308" s="237" t="s">
        <v>5174</v>
      </c>
      <c r="G308" s="237" t="s">
        <v>21</v>
      </c>
      <c r="H308" s="237" t="s">
        <v>5175</v>
      </c>
      <c r="I308" s="237" t="s">
        <v>5176</v>
      </c>
      <c r="J308" s="237" t="s">
        <v>5177</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1256</v>
      </c>
      <c r="B309" s="236" t="s">
        <v>5178</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5179</v>
      </c>
      <c r="B310" s="237" t="s">
        <v>5180</v>
      </c>
      <c r="C310" s="237" t="s">
        <v>5181</v>
      </c>
      <c r="D310" s="237" t="s">
        <v>21</v>
      </c>
      <c r="E310" s="237" t="s">
        <v>21</v>
      </c>
      <c r="F310" s="237" t="s">
        <v>5182</v>
      </c>
      <c r="G310" s="237" t="s">
        <v>21</v>
      </c>
      <c r="H310" s="237" t="s">
        <v>5183</v>
      </c>
      <c r="I310" s="237" t="s">
        <v>5184</v>
      </c>
      <c r="J310" s="237" t="s">
        <v>5185</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5186</v>
      </c>
      <c r="B311" s="237" t="s">
        <v>5187</v>
      </c>
      <c r="C311" s="237" t="s">
        <v>5188</v>
      </c>
      <c r="D311" s="237" t="s">
        <v>5189</v>
      </c>
      <c r="E311" s="237" t="s">
        <v>21</v>
      </c>
      <c r="F311" s="237" t="s">
        <v>21</v>
      </c>
      <c r="G311" s="237" t="s">
        <v>5190</v>
      </c>
      <c r="H311" s="237" t="s">
        <v>5191</v>
      </c>
      <c r="I311" s="237" t="s">
        <v>21</v>
      </c>
      <c r="J311" s="237" t="s">
        <v>5192</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5193</v>
      </c>
      <c r="B312" s="237" t="s">
        <v>5194</v>
      </c>
      <c r="C312" s="237" t="s">
        <v>5195</v>
      </c>
      <c r="D312" s="237" t="s">
        <v>5196</v>
      </c>
      <c r="E312" s="237" t="s">
        <v>21</v>
      </c>
      <c r="F312" s="237" t="s">
        <v>21</v>
      </c>
      <c r="G312" s="237" t="s">
        <v>21</v>
      </c>
      <c r="H312" s="237" t="s">
        <v>5197</v>
      </c>
      <c r="I312" s="237" t="s">
        <v>21</v>
      </c>
      <c r="J312" s="237" t="s">
        <v>5198</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5199</v>
      </c>
      <c r="B313" s="237" t="s">
        <v>5200</v>
      </c>
      <c r="C313" s="237" t="s">
        <v>5201</v>
      </c>
      <c r="D313" s="237" t="s">
        <v>5202</v>
      </c>
      <c r="E313" s="237" t="s">
        <v>21</v>
      </c>
      <c r="F313" s="237" t="s">
        <v>21</v>
      </c>
      <c r="G313" s="237" t="s">
        <v>5203</v>
      </c>
      <c r="H313" s="237" t="s">
        <v>5204</v>
      </c>
      <c r="I313" s="237" t="s">
        <v>5205</v>
      </c>
      <c r="J313" s="237" t="s">
        <v>5206</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5207</v>
      </c>
      <c r="B314" s="237" t="s">
        <v>5208</v>
      </c>
      <c r="C314" s="237" t="s">
        <v>5209</v>
      </c>
      <c r="D314" s="237" t="s">
        <v>5210</v>
      </c>
      <c r="E314" s="237" t="s">
        <v>21</v>
      </c>
      <c r="F314" s="237" t="s">
        <v>21</v>
      </c>
      <c r="G314" s="237" t="s">
        <v>5211</v>
      </c>
      <c r="H314" s="237" t="s">
        <v>5212</v>
      </c>
      <c r="I314" s="237" t="s">
        <v>5213</v>
      </c>
      <c r="J314" s="237" t="s">
        <v>5214</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5215</v>
      </c>
      <c r="B315" s="236" t="s">
        <v>5216</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5217</v>
      </c>
      <c r="B316" s="237" t="s">
        <v>5218</v>
      </c>
      <c r="C316" s="237" t="s">
        <v>5219</v>
      </c>
      <c r="D316" s="237" t="s">
        <v>21</v>
      </c>
      <c r="E316" s="237" t="s">
        <v>21</v>
      </c>
      <c r="F316" s="237" t="s">
        <v>21</v>
      </c>
      <c r="G316" s="237" t="s">
        <v>21</v>
      </c>
      <c r="H316" s="237" t="s">
        <v>5220</v>
      </c>
      <c r="I316" s="237" t="s">
        <v>5221</v>
      </c>
      <c r="J316" s="237" t="s">
        <v>5222</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5223</v>
      </c>
      <c r="B317" s="237" t="s">
        <v>5224</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5225</v>
      </c>
      <c r="B318" s="236" t="s">
        <v>5226</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5227</v>
      </c>
      <c r="B319" s="237" t="s">
        <v>5228</v>
      </c>
      <c r="C319" s="237" t="s">
        <v>5229</v>
      </c>
      <c r="D319" s="237" t="s">
        <v>5230</v>
      </c>
      <c r="E319" s="237" t="s">
        <v>21</v>
      </c>
      <c r="F319" s="237" t="s">
        <v>5231</v>
      </c>
      <c r="G319" s="237" t="s">
        <v>5232</v>
      </c>
      <c r="H319" s="237" t="s">
        <v>5233</v>
      </c>
      <c r="I319" s="237" t="s">
        <v>21</v>
      </c>
      <c r="J319" s="237" t="s">
        <v>5234</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5235</v>
      </c>
      <c r="B320" s="237" t="s">
        <v>5236</v>
      </c>
      <c r="C320" s="237" t="s">
        <v>5237</v>
      </c>
      <c r="D320" s="237" t="s">
        <v>5238</v>
      </c>
      <c r="E320" s="237" t="s">
        <v>21</v>
      </c>
      <c r="F320" s="237" t="s">
        <v>21</v>
      </c>
      <c r="G320" s="237" t="s">
        <v>21</v>
      </c>
      <c r="H320" s="237" t="s">
        <v>5239</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5240</v>
      </c>
      <c r="B321" s="237" t="s">
        <v>5241</v>
      </c>
      <c r="C321" s="237" t="s">
        <v>5242</v>
      </c>
      <c r="D321" s="237" t="s">
        <v>5243</v>
      </c>
      <c r="E321" s="237" t="s">
        <v>21</v>
      </c>
      <c r="F321" s="237" t="s">
        <v>21</v>
      </c>
      <c r="G321" s="237" t="s">
        <v>21</v>
      </c>
      <c r="H321" s="237" t="s">
        <v>5244</v>
      </c>
      <c r="I321" s="237" t="s">
        <v>21</v>
      </c>
      <c r="J321" s="237" t="s">
        <v>5245</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5246</v>
      </c>
      <c r="B322" s="237" t="s">
        <v>5247</v>
      </c>
      <c r="C322" s="237" t="s">
        <v>5248</v>
      </c>
      <c r="D322" s="237" t="s">
        <v>5249</v>
      </c>
      <c r="E322" s="237" t="s">
        <v>21</v>
      </c>
      <c r="F322" s="237" t="s">
        <v>21</v>
      </c>
      <c r="G322" s="237" t="s">
        <v>21</v>
      </c>
      <c r="H322" s="237" t="s">
        <v>5250</v>
      </c>
      <c r="I322" s="237" t="s">
        <v>21</v>
      </c>
      <c r="J322" s="237" t="s">
        <v>5251</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5252</v>
      </c>
      <c r="B323" s="237" t="s">
        <v>5253</v>
      </c>
      <c r="C323" s="237" t="s">
        <v>5254</v>
      </c>
      <c r="D323" s="237" t="s">
        <v>21</v>
      </c>
      <c r="E323" s="237" t="s">
        <v>21</v>
      </c>
      <c r="F323" s="237" t="s">
        <v>21</v>
      </c>
      <c r="G323" s="237" t="s">
        <v>21</v>
      </c>
      <c r="H323" s="237" t="s">
        <v>5255</v>
      </c>
      <c r="I323" s="237" t="s">
        <v>4052</v>
      </c>
      <c r="J323" s="237" t="s">
        <v>5256</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5257</v>
      </c>
      <c r="B324" s="237" t="s">
        <v>5258</v>
      </c>
      <c r="C324" s="237" t="s">
        <v>5259</v>
      </c>
      <c r="D324" s="237" t="s">
        <v>21</v>
      </c>
      <c r="E324" s="237" t="s">
        <v>21</v>
      </c>
      <c r="F324" s="237" t="s">
        <v>21</v>
      </c>
      <c r="G324" s="237" t="s">
        <v>21</v>
      </c>
      <c r="H324" s="237" t="s">
        <v>5260</v>
      </c>
      <c r="I324" s="237" t="s">
        <v>5261</v>
      </c>
      <c r="J324" s="237" t="s">
        <v>5262</v>
      </c>
      <c r="K324" s="240" t="str">
        <f>IF(COUNTIF(L324:AY324,"&lt;&gt;")=0,"",SUMPRODUCT(((Recommendations[ImplStatus]="Implemented")+(Recommendations[ImplStatus]="Compensated"))*ISNUMBER(MATCH(Recommendations[Id],L324:AY324,0)))/COUNTIF(L324:AY324,"&lt;&gt;"))</f>
        <v/>
      </c>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5263</v>
      </c>
      <c r="B325" s="237" t="s">
        <v>5264</v>
      </c>
      <c r="C325" s="237" t="s">
        <v>5265</v>
      </c>
      <c r="D325" s="237" t="s">
        <v>5266</v>
      </c>
      <c r="E325" s="237" t="s">
        <v>21</v>
      </c>
      <c r="F325" s="237" t="s">
        <v>21</v>
      </c>
      <c r="G325" s="237" t="s">
        <v>21</v>
      </c>
      <c r="H325" s="237" t="s">
        <v>5267</v>
      </c>
      <c r="I325" s="237" t="s">
        <v>21</v>
      </c>
      <c r="J325" s="237" t="s">
        <v>5268</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5269</v>
      </c>
      <c r="B326" s="244" t="s">
        <v>5270</v>
      </c>
      <c r="C326" s="244" t="s">
        <v>5271</v>
      </c>
      <c r="D326" s="244" t="s">
        <v>5272</v>
      </c>
      <c r="E326" s="244" t="s">
        <v>21</v>
      </c>
      <c r="F326" s="244" t="s">
        <v>21</v>
      </c>
      <c r="G326" s="244" t="s">
        <v>21</v>
      </c>
      <c r="H326" s="244" t="s">
        <v>5273</v>
      </c>
      <c r="I326" s="244" t="s">
        <v>4052</v>
      </c>
      <c r="J326" s="244" t="s">
        <v>5274</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539</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IFERROR(INDEX('Recommendations'!$H$2:$H$105, MATCH(L2,'Recommendations'!$A$2:$A$105,0))="Implemented", FALSE))</xm:f>
            <x14:dxf>
              <font>
                <color rgb="FF000000"/>
              </font>
              <fill>
                <patternFill>
                  <bgColor rgb="FF3C7D22"/>
                </patternFill>
              </fill>
            </x14:dxf>
          </x14:cfRule>
          <x14:cfRule type="expression" priority="2" id="{00000000-000E-0000-0A00-000002000000}">
            <xm:f>AND(L2&lt;&gt;"", IFERROR(INDEX('Recommendations'!$H$2:$H$105, MATCH(L2,'Recommendations'!$A$2:$A$105,0))="Compensated", FALSE))</xm:f>
            <x14:dxf>
              <font>
                <color rgb="FF000000"/>
              </font>
              <fill>
                <patternFill>
                  <bgColor rgb="FFC6E0B4"/>
                </patternFill>
              </fill>
            </x14:dxf>
          </x14:cfRule>
          <x14:cfRule type="expression" priority="3" id="{00000000-000E-0000-0A00-000003000000}">
            <xm:f>AND(L2&lt;&gt;"", IFERROR(INDEX('Recommendations'!$H$2:$H$105, MATCH(L2,'Recommendations'!$A$2:$A$105,0))="Testing", FALSE))</xm:f>
            <x14:dxf>
              <font>
                <color rgb="FF000000"/>
              </font>
              <fill>
                <patternFill>
                  <bgColor rgb="FFFFC000"/>
                </patternFill>
              </fill>
            </x14:dxf>
          </x14:cfRule>
          <x14:cfRule type="expression" priority="4" id="{00000000-000E-0000-0A00-000004000000}">
            <xm:f>AND(L2&lt;&gt;"", IFERROR(INDEX('Recommendations'!$H$2:$H$105, MATCH(L2,'Recommendations'!$A$2:$A$105,0))="Failed", FALSE))</xm:f>
            <x14:dxf>
              <font>
                <color rgb="FF000000"/>
              </font>
              <fill>
                <patternFill>
                  <bgColor rgb="FFD82891"/>
                </patternFill>
              </fill>
            </x14:dxf>
          </x14:cfRule>
          <x14:cfRule type="expression" priority="5" id="{00000000-000E-0000-0A00-000005000000}">
            <xm:f>AND(L2&lt;&gt;"", IFERROR(INDEX('Recommendations'!$H$2:$H$105, MATCH(L2,'Recommendations'!$A$2:$A$105,0))="Risk Accepted", FALSE))</xm:f>
            <x14:dxf>
              <font>
                <color rgb="FF000000"/>
              </font>
              <fill>
                <patternFill>
                  <bgColor rgb="FFD9D9D9"/>
                </patternFill>
              </fill>
            </x14:dxf>
          </x14:cfRule>
          <x14:cfRule type="expression" priority="6" id="{00000000-000E-0000-0A00-000006000000}">
            <xm:f>AND(L2&lt;&gt;"", IFERROR(INDEX('Recommendations'!$H$2:$H$105, MATCH(L2,'Recommendations'!$A$2:$A$105,0))="N/A",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2423</v>
      </c>
      <c r="B1" s="289" t="s">
        <v>3308</v>
      </c>
      <c r="C1" s="289" t="s">
        <v>0</v>
      </c>
      <c r="D1" s="289" t="s">
        <v>786</v>
      </c>
      <c r="E1" s="289" t="s">
        <v>5275</v>
      </c>
      <c r="F1" s="289" t="s">
        <v>5276</v>
      </c>
      <c r="G1" s="289" t="s">
        <v>791</v>
      </c>
      <c r="H1" s="289" t="s">
        <v>792</v>
      </c>
      <c r="I1" s="289" t="s">
        <v>793</v>
      </c>
      <c r="J1" s="289" t="s">
        <v>794</v>
      </c>
      <c r="K1" s="289" t="s">
        <v>795</v>
      </c>
      <c r="L1" s="289" t="s">
        <v>796</v>
      </c>
      <c r="M1" s="289" t="s">
        <v>797</v>
      </c>
      <c r="N1" s="289" t="s">
        <v>798</v>
      </c>
      <c r="O1" s="289" t="s">
        <v>799</v>
      </c>
      <c r="P1" s="289" t="s">
        <v>800</v>
      </c>
      <c r="Q1" s="289" t="s">
        <v>801</v>
      </c>
      <c r="R1" s="289" t="s">
        <v>802</v>
      </c>
      <c r="S1" s="289" t="s">
        <v>803</v>
      </c>
      <c r="T1" s="289" t="s">
        <v>804</v>
      </c>
      <c r="U1" s="289" t="s">
        <v>805</v>
      </c>
      <c r="V1" s="289" t="s">
        <v>806</v>
      </c>
      <c r="W1" s="289" t="s">
        <v>807</v>
      </c>
      <c r="X1" s="289" t="s">
        <v>808</v>
      </c>
      <c r="Y1" s="289" t="s">
        <v>809</v>
      </c>
      <c r="Z1" s="289" t="s">
        <v>810</v>
      </c>
      <c r="AA1" s="289" t="s">
        <v>811</v>
      </c>
      <c r="AB1" s="289" t="s">
        <v>812</v>
      </c>
      <c r="AC1" s="289" t="s">
        <v>813</v>
      </c>
      <c r="AD1" s="289" t="s">
        <v>814</v>
      </c>
      <c r="AE1" s="289" t="s">
        <v>815</v>
      </c>
      <c r="AF1" s="289" t="s">
        <v>816</v>
      </c>
      <c r="AG1" s="289" t="s">
        <v>817</v>
      </c>
      <c r="AH1" s="289" t="s">
        <v>818</v>
      </c>
      <c r="AI1" s="289" t="s">
        <v>819</v>
      </c>
      <c r="AJ1" s="289" t="s">
        <v>820</v>
      </c>
      <c r="AK1" s="289" t="s">
        <v>821</v>
      </c>
      <c r="AL1" s="289" t="s">
        <v>822</v>
      </c>
      <c r="AM1" s="289" t="s">
        <v>823</v>
      </c>
      <c r="AN1" s="289" t="s">
        <v>824</v>
      </c>
      <c r="AO1" s="289" t="s">
        <v>825</v>
      </c>
      <c r="AP1" s="289" t="s">
        <v>826</v>
      </c>
      <c r="AQ1" s="289" t="s">
        <v>827</v>
      </c>
      <c r="AR1" s="289" t="s">
        <v>828</v>
      </c>
      <c r="AS1" s="289" t="s">
        <v>829</v>
      </c>
      <c r="AT1" s="289" t="s">
        <v>830</v>
      </c>
      <c r="AU1" s="290" t="s">
        <v>831</v>
      </c>
    </row>
    <row r="2" spans="1:47" ht="60" customHeight="1" outlineLevel="1" x14ac:dyDescent="0.35">
      <c r="A2" s="280" t="s">
        <v>5277</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5277</v>
      </c>
      <c r="B3" s="259" t="s">
        <v>5278</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5277</v>
      </c>
      <c r="B4" s="260" t="s">
        <v>5278</v>
      </c>
      <c r="C4" s="261" t="s">
        <v>5279</v>
      </c>
      <c r="D4" s="264" t="s">
        <v>5280</v>
      </c>
      <c r="E4" s="265" t="s">
        <v>5281</v>
      </c>
      <c r="F4" s="268" t="s">
        <v>5282</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5277</v>
      </c>
      <c r="B5" s="260" t="s">
        <v>5278</v>
      </c>
      <c r="C5" s="261" t="s">
        <v>5283</v>
      </c>
      <c r="D5" s="264" t="s">
        <v>5284</v>
      </c>
      <c r="E5" s="265" t="s">
        <v>5281</v>
      </c>
      <c r="F5" s="268" t="s">
        <v>5282</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5277</v>
      </c>
      <c r="B6" s="260" t="s">
        <v>5278</v>
      </c>
      <c r="C6" s="261" t="s">
        <v>5285</v>
      </c>
      <c r="D6" s="264" t="s">
        <v>5286</v>
      </c>
      <c r="E6" s="265" t="s">
        <v>5281</v>
      </c>
      <c r="F6" s="268" t="s">
        <v>5282</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5277</v>
      </c>
      <c r="B7" s="260" t="s">
        <v>5278</v>
      </c>
      <c r="C7" s="261" t="s">
        <v>5287</v>
      </c>
      <c r="D7" s="264" t="s">
        <v>5288</v>
      </c>
      <c r="E7" s="265" t="s">
        <v>5281</v>
      </c>
      <c r="F7" s="268" t="s">
        <v>5282</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5277</v>
      </c>
      <c r="B8" s="260" t="s">
        <v>5278</v>
      </c>
      <c r="C8" s="261" t="s">
        <v>5289</v>
      </c>
      <c r="D8" s="264" t="s">
        <v>5290</v>
      </c>
      <c r="E8" s="265" t="s">
        <v>5281</v>
      </c>
      <c r="F8" s="268" t="s">
        <v>5282</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5277</v>
      </c>
      <c r="B9" s="260" t="s">
        <v>5278</v>
      </c>
      <c r="C9" s="261" t="s">
        <v>5291</v>
      </c>
      <c r="D9" s="264" t="s">
        <v>5292</v>
      </c>
      <c r="E9" s="265" t="s">
        <v>5281</v>
      </c>
      <c r="F9" s="268" t="s">
        <v>5282</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5277</v>
      </c>
      <c r="B10" s="260" t="s">
        <v>5278</v>
      </c>
      <c r="C10" s="261" t="s">
        <v>5293</v>
      </c>
      <c r="D10" s="264" t="s">
        <v>5294</v>
      </c>
      <c r="E10" s="265" t="s">
        <v>5281</v>
      </c>
      <c r="F10" s="268" t="s">
        <v>5282</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5277</v>
      </c>
      <c r="B11" s="260" t="s">
        <v>5278</v>
      </c>
      <c r="C11" s="261" t="s">
        <v>5295</v>
      </c>
      <c r="D11" s="264" t="s">
        <v>5296</v>
      </c>
      <c r="E11" s="265" t="s">
        <v>5281</v>
      </c>
      <c r="F11" s="268" t="s">
        <v>5282</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5277</v>
      </c>
      <c r="B12" s="260" t="s">
        <v>5278</v>
      </c>
      <c r="C12" s="261" t="s">
        <v>5297</v>
      </c>
      <c r="D12" s="264" t="s">
        <v>5298</v>
      </c>
      <c r="E12" s="265" t="s">
        <v>5281</v>
      </c>
      <c r="F12" s="268" t="s">
        <v>5282</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5277</v>
      </c>
      <c r="B13" s="260" t="s">
        <v>5278</v>
      </c>
      <c r="C13" s="261" t="s">
        <v>5299</v>
      </c>
      <c r="D13" s="264" t="s">
        <v>5300</v>
      </c>
      <c r="E13" s="265" t="s">
        <v>5281</v>
      </c>
      <c r="F13" s="268" t="s">
        <v>5282</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5277</v>
      </c>
      <c r="B14" s="260" t="s">
        <v>5278</v>
      </c>
      <c r="C14" s="261" t="s">
        <v>5301</v>
      </c>
      <c r="D14" s="264" t="s">
        <v>5302</v>
      </c>
      <c r="E14" s="265" t="s">
        <v>5281</v>
      </c>
      <c r="F14" s="268" t="s">
        <v>5282</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5277</v>
      </c>
      <c r="B15" s="260" t="s">
        <v>5278</v>
      </c>
      <c r="C15" s="261" t="s">
        <v>5303</v>
      </c>
      <c r="D15" s="264" t="s">
        <v>5304</v>
      </c>
      <c r="E15" s="265" t="s">
        <v>5281</v>
      </c>
      <c r="F15" s="268" t="s">
        <v>5282</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5277</v>
      </c>
      <c r="B16" s="260" t="s">
        <v>5278</v>
      </c>
      <c r="C16" s="261" t="s">
        <v>5305</v>
      </c>
      <c r="D16" s="264" t="s">
        <v>5306</v>
      </c>
      <c r="E16" s="265" t="s">
        <v>5281</v>
      </c>
      <c r="F16" s="268" t="s">
        <v>5282</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5277</v>
      </c>
      <c r="B17" s="259" t="s">
        <v>5307</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5277</v>
      </c>
      <c r="B18" s="260" t="s">
        <v>5307</v>
      </c>
      <c r="C18" s="261" t="s">
        <v>5308</v>
      </c>
      <c r="D18" s="264" t="s">
        <v>5309</v>
      </c>
      <c r="E18" s="265" t="s">
        <v>5310</v>
      </c>
      <c r="F18" s="268" t="s">
        <v>5311</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5277</v>
      </c>
      <c r="B19" s="260" t="s">
        <v>5307</v>
      </c>
      <c r="C19" s="261" t="s">
        <v>5312</v>
      </c>
      <c r="D19" s="264" t="s">
        <v>5313</v>
      </c>
      <c r="E19" s="265" t="s">
        <v>5310</v>
      </c>
      <c r="F19" s="268" t="s">
        <v>5311</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5277</v>
      </c>
      <c r="B20" s="260" t="s">
        <v>5307</v>
      </c>
      <c r="C20" s="261" t="s">
        <v>5314</v>
      </c>
      <c r="D20" s="264" t="s">
        <v>5315</v>
      </c>
      <c r="E20" s="265" t="s">
        <v>5310</v>
      </c>
      <c r="F20" s="268" t="s">
        <v>5311</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5277</v>
      </c>
      <c r="B21" s="260" t="s">
        <v>5307</v>
      </c>
      <c r="C21" s="261" t="s">
        <v>5316</v>
      </c>
      <c r="D21" s="264" t="s">
        <v>5317</v>
      </c>
      <c r="E21" s="265" t="s">
        <v>5310</v>
      </c>
      <c r="F21" s="268" t="s">
        <v>5311</v>
      </c>
      <c r="G21" s="271">
        <f>IF(COUNTIF(H21:AU21,"&lt;&gt;")=0,"",SUMPRODUCT(((Recommendations[ImplStatus]="Implemented")+(Recommendations[ImplStatus]="Compensated"))*ISNUMBER(MATCH(Recommendations[Id],H21:AU21,0)))/COUNTIF(H21:AU21,"&lt;&gt;"))</f>
        <v>0</v>
      </c>
      <c r="H21" s="272" t="s">
        <v>76</v>
      </c>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5277</v>
      </c>
      <c r="B22" s="260" t="s">
        <v>5307</v>
      </c>
      <c r="C22" s="261" t="s">
        <v>5318</v>
      </c>
      <c r="D22" s="264" t="s">
        <v>5319</v>
      </c>
      <c r="E22" s="265" t="s">
        <v>5310</v>
      </c>
      <c r="F22" s="268" t="s">
        <v>5311</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5277</v>
      </c>
      <c r="B23" s="260" t="s">
        <v>5307</v>
      </c>
      <c r="C23" s="261" t="s">
        <v>5320</v>
      </c>
      <c r="D23" s="264" t="s">
        <v>5321</v>
      </c>
      <c r="E23" s="265" t="s">
        <v>5281</v>
      </c>
      <c r="F23" s="268" t="s">
        <v>5282</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5277</v>
      </c>
      <c r="B24" s="260" t="s">
        <v>5307</v>
      </c>
      <c r="C24" s="261" t="s">
        <v>5322</v>
      </c>
      <c r="D24" s="264" t="s">
        <v>5323</v>
      </c>
      <c r="E24" s="265" t="s">
        <v>5281</v>
      </c>
      <c r="F24" s="268" t="s">
        <v>5282</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5277</v>
      </c>
      <c r="B25" s="260" t="s">
        <v>5307</v>
      </c>
      <c r="C25" s="261" t="s">
        <v>5324</v>
      </c>
      <c r="D25" s="264" t="s">
        <v>5325</v>
      </c>
      <c r="E25" s="265" t="s">
        <v>5281</v>
      </c>
      <c r="F25" s="268" t="s">
        <v>5326</v>
      </c>
      <c r="G25" s="271">
        <f>IF(COUNTIF(H25:AU25,"&lt;&gt;")=0,"",SUMPRODUCT(((Recommendations[ImplStatus]="Implemented")+(Recommendations[ImplStatus]="Compensated"))*ISNUMBER(MATCH(Recommendations[Id],H25:AU25,0)))/COUNTIF(H25:AU25,"&lt;&gt;"))</f>
        <v>0</v>
      </c>
      <c r="H25" s="272" t="s">
        <v>211</v>
      </c>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5277</v>
      </c>
      <c r="B26" s="260" t="s">
        <v>5307</v>
      </c>
      <c r="C26" s="261" t="s">
        <v>5327</v>
      </c>
      <c r="D26" s="264" t="s">
        <v>5328</v>
      </c>
      <c r="E26" s="265" t="s">
        <v>5281</v>
      </c>
      <c r="F26" s="268" t="s">
        <v>5326</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5277</v>
      </c>
      <c r="B27" s="260" t="s">
        <v>5307</v>
      </c>
      <c r="C27" s="261" t="s">
        <v>5329</v>
      </c>
      <c r="D27" s="264" t="s">
        <v>5330</v>
      </c>
      <c r="E27" s="265" t="s">
        <v>5281</v>
      </c>
      <c r="F27" s="268" t="s">
        <v>5326</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5277</v>
      </c>
      <c r="B28" s="260" t="s">
        <v>5307</v>
      </c>
      <c r="C28" s="261" t="s">
        <v>5331</v>
      </c>
      <c r="D28" s="264" t="s">
        <v>5332</v>
      </c>
      <c r="E28" s="265" t="s">
        <v>5281</v>
      </c>
      <c r="F28" s="268" t="s">
        <v>5326</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5277</v>
      </c>
      <c r="B29" s="260" t="s">
        <v>5307</v>
      </c>
      <c r="C29" s="261" t="s">
        <v>5333</v>
      </c>
      <c r="D29" s="264" t="s">
        <v>5334</v>
      </c>
      <c r="E29" s="265" t="s">
        <v>5281</v>
      </c>
      <c r="F29" s="268" t="s">
        <v>5326</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5277</v>
      </c>
      <c r="B30" s="260" t="s">
        <v>5307</v>
      </c>
      <c r="C30" s="261" t="s">
        <v>5335</v>
      </c>
      <c r="D30" s="264" t="s">
        <v>5336</v>
      </c>
      <c r="E30" s="265" t="s">
        <v>5281</v>
      </c>
      <c r="F30" s="268" t="s">
        <v>5326</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5277</v>
      </c>
      <c r="B31" s="260" t="s">
        <v>5307</v>
      </c>
      <c r="C31" s="261" t="s">
        <v>5337</v>
      </c>
      <c r="D31" s="264" t="s">
        <v>5338</v>
      </c>
      <c r="E31" s="265" t="s">
        <v>5281</v>
      </c>
      <c r="F31" s="268" t="s">
        <v>5326</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5277</v>
      </c>
      <c r="B32" s="260" t="s">
        <v>5307</v>
      </c>
      <c r="C32" s="261" t="s">
        <v>5339</v>
      </c>
      <c r="D32" s="264" t="s">
        <v>5340</v>
      </c>
      <c r="E32" s="265" t="s">
        <v>5281</v>
      </c>
      <c r="F32" s="268" t="s">
        <v>5326</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5277</v>
      </c>
      <c r="B33" s="260" t="s">
        <v>5307</v>
      </c>
      <c r="C33" s="261" t="s">
        <v>5341</v>
      </c>
      <c r="D33" s="264" t="s">
        <v>5342</v>
      </c>
      <c r="E33" s="265" t="s">
        <v>5310</v>
      </c>
      <c r="F33" s="268" t="s">
        <v>5311</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5277</v>
      </c>
      <c r="B34" s="260" t="s">
        <v>5307</v>
      </c>
      <c r="C34" s="261" t="s">
        <v>5343</v>
      </c>
      <c r="D34" s="264" t="s">
        <v>5344</v>
      </c>
      <c r="E34" s="265" t="s">
        <v>5281</v>
      </c>
      <c r="F34" s="268" t="s">
        <v>5326</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5277</v>
      </c>
      <c r="B35" s="259" t="s">
        <v>5345</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5277</v>
      </c>
      <c r="B36" s="260" t="s">
        <v>5345</v>
      </c>
      <c r="C36" s="261" t="s">
        <v>5346</v>
      </c>
      <c r="D36" s="264" t="s">
        <v>5347</v>
      </c>
      <c r="E36" s="265" t="s">
        <v>5281</v>
      </c>
      <c r="F36" s="268" t="s">
        <v>5326</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5277</v>
      </c>
      <c r="B37" s="260" t="s">
        <v>5345</v>
      </c>
      <c r="C37" s="261" t="s">
        <v>5348</v>
      </c>
      <c r="D37" s="264" t="s">
        <v>5349</v>
      </c>
      <c r="E37" s="265" t="s">
        <v>5281</v>
      </c>
      <c r="F37" s="268" t="s">
        <v>5350</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5277</v>
      </c>
      <c r="B38" s="260" t="s">
        <v>5345</v>
      </c>
      <c r="C38" s="261" t="s">
        <v>5351</v>
      </c>
      <c r="D38" s="264" t="s">
        <v>5352</v>
      </c>
      <c r="E38" s="265" t="s">
        <v>5281</v>
      </c>
      <c r="F38" s="268" t="s">
        <v>5350</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5277</v>
      </c>
      <c r="B39" s="260" t="s">
        <v>5345</v>
      </c>
      <c r="C39" s="261" t="s">
        <v>5353</v>
      </c>
      <c r="D39" s="264" t="s">
        <v>5354</v>
      </c>
      <c r="E39" s="265" t="s">
        <v>5281</v>
      </c>
      <c r="F39" s="268" t="s">
        <v>5350</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5277</v>
      </c>
      <c r="B40" s="260" t="s">
        <v>5345</v>
      </c>
      <c r="C40" s="261" t="s">
        <v>5355</v>
      </c>
      <c r="D40" s="264" t="s">
        <v>5356</v>
      </c>
      <c r="E40" s="265" t="s">
        <v>5281</v>
      </c>
      <c r="F40" s="268" t="s">
        <v>5350</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5277</v>
      </c>
      <c r="B41" s="260" t="s">
        <v>5345</v>
      </c>
      <c r="C41" s="261" t="s">
        <v>5357</v>
      </c>
      <c r="D41" s="264" t="s">
        <v>5358</v>
      </c>
      <c r="E41" s="265" t="s">
        <v>5281</v>
      </c>
      <c r="F41" s="268" t="s">
        <v>5350</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5277</v>
      </c>
      <c r="B42" s="260" t="s">
        <v>5345</v>
      </c>
      <c r="C42" s="261" t="s">
        <v>5359</v>
      </c>
      <c r="D42" s="264" t="s">
        <v>5360</v>
      </c>
      <c r="E42" s="265" t="s">
        <v>5281</v>
      </c>
      <c r="F42" s="268" t="s">
        <v>5350</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5277</v>
      </c>
      <c r="B43" s="260" t="s">
        <v>5345</v>
      </c>
      <c r="C43" s="261" t="s">
        <v>5361</v>
      </c>
      <c r="D43" s="264" t="s">
        <v>5362</v>
      </c>
      <c r="E43" s="265" t="s">
        <v>5281</v>
      </c>
      <c r="F43" s="268" t="s">
        <v>5350</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5277</v>
      </c>
      <c r="B44" s="260" t="s">
        <v>5345</v>
      </c>
      <c r="C44" s="261" t="s">
        <v>5363</v>
      </c>
      <c r="D44" s="264" t="s">
        <v>5364</v>
      </c>
      <c r="E44" s="265" t="s">
        <v>5281</v>
      </c>
      <c r="F44" s="268" t="s">
        <v>5350</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5277</v>
      </c>
      <c r="B45" s="260" t="s">
        <v>5345</v>
      </c>
      <c r="C45" s="261" t="s">
        <v>5365</v>
      </c>
      <c r="D45" s="264" t="s">
        <v>5366</v>
      </c>
      <c r="E45" s="265" t="s">
        <v>5281</v>
      </c>
      <c r="F45" s="268" t="s">
        <v>5350</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5277</v>
      </c>
      <c r="B46" s="260" t="s">
        <v>5345</v>
      </c>
      <c r="C46" s="261" t="s">
        <v>5367</v>
      </c>
      <c r="D46" s="264" t="s">
        <v>5368</v>
      </c>
      <c r="E46" s="265" t="s">
        <v>5281</v>
      </c>
      <c r="F46" s="268" t="s">
        <v>5350</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5277</v>
      </c>
      <c r="B47" s="260" t="s">
        <v>5345</v>
      </c>
      <c r="C47" s="261" t="s">
        <v>5369</v>
      </c>
      <c r="D47" s="264" t="s">
        <v>5370</v>
      </c>
      <c r="E47" s="265" t="s">
        <v>5281</v>
      </c>
      <c r="F47" s="268" t="s">
        <v>5350</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5277</v>
      </c>
      <c r="B48" s="260" t="s">
        <v>5345</v>
      </c>
      <c r="C48" s="261" t="s">
        <v>5371</v>
      </c>
      <c r="D48" s="264" t="s">
        <v>5372</v>
      </c>
      <c r="E48" s="265" t="s">
        <v>5281</v>
      </c>
      <c r="F48" s="268" t="s">
        <v>5350</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5277</v>
      </c>
      <c r="B49" s="260" t="s">
        <v>5345</v>
      </c>
      <c r="C49" s="261" t="s">
        <v>5373</v>
      </c>
      <c r="D49" s="264" t="s">
        <v>5374</v>
      </c>
      <c r="E49" s="265" t="s">
        <v>5281</v>
      </c>
      <c r="F49" s="268" t="s">
        <v>5350</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5277</v>
      </c>
      <c r="B50" s="259" t="s">
        <v>2547</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5277</v>
      </c>
      <c r="B51" s="260" t="s">
        <v>2547</v>
      </c>
      <c r="C51" s="261" t="s">
        <v>5375</v>
      </c>
      <c r="D51" s="264" t="s">
        <v>5376</v>
      </c>
      <c r="E51" s="265" t="s">
        <v>5377</v>
      </c>
      <c r="F51" s="268" t="s">
        <v>5378</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5277</v>
      </c>
      <c r="B52" s="260" t="s">
        <v>2547</v>
      </c>
      <c r="C52" s="261" t="s">
        <v>5379</v>
      </c>
      <c r="D52" s="264" t="s">
        <v>5380</v>
      </c>
      <c r="E52" s="265" t="s">
        <v>5377</v>
      </c>
      <c r="F52" s="268" t="s">
        <v>5378</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5277</v>
      </c>
      <c r="B53" s="260" t="s">
        <v>2547</v>
      </c>
      <c r="C53" s="261" t="s">
        <v>5381</v>
      </c>
      <c r="D53" s="264" t="s">
        <v>5382</v>
      </c>
      <c r="E53" s="265" t="s">
        <v>5377</v>
      </c>
      <c r="F53" s="268" t="s">
        <v>5378</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5277</v>
      </c>
      <c r="B54" s="260" t="s">
        <v>2547</v>
      </c>
      <c r="C54" s="261" t="s">
        <v>5383</v>
      </c>
      <c r="D54" s="264" t="s">
        <v>5384</v>
      </c>
      <c r="E54" s="265" t="s">
        <v>5377</v>
      </c>
      <c r="F54" s="268" t="s">
        <v>5378</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5277</v>
      </c>
      <c r="B55" s="260" t="s">
        <v>2547</v>
      </c>
      <c r="C55" s="261" t="s">
        <v>5385</v>
      </c>
      <c r="D55" s="264" t="s">
        <v>5386</v>
      </c>
      <c r="E55" s="265" t="s">
        <v>5377</v>
      </c>
      <c r="F55" s="268" t="s">
        <v>5378</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5277</v>
      </c>
      <c r="B56" s="260" t="s">
        <v>2547</v>
      </c>
      <c r="C56" s="261" t="s">
        <v>5387</v>
      </c>
      <c r="D56" s="264" t="s">
        <v>5388</v>
      </c>
      <c r="E56" s="265" t="s">
        <v>5377</v>
      </c>
      <c r="F56" s="268" t="s">
        <v>5378</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5277</v>
      </c>
      <c r="B57" s="260" t="s">
        <v>2547</v>
      </c>
      <c r="C57" s="261" t="s">
        <v>5389</v>
      </c>
      <c r="D57" s="264" t="s">
        <v>5390</v>
      </c>
      <c r="E57" s="265" t="s">
        <v>5377</v>
      </c>
      <c r="F57" s="268" t="s">
        <v>5378</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5277</v>
      </c>
      <c r="B58" s="260" t="s">
        <v>2547</v>
      </c>
      <c r="C58" s="261" t="s">
        <v>5391</v>
      </c>
      <c r="D58" s="264" t="s">
        <v>5392</v>
      </c>
      <c r="E58" s="265" t="s">
        <v>5281</v>
      </c>
      <c r="F58" s="268" t="s">
        <v>5378</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5277</v>
      </c>
      <c r="B59" s="260" t="s">
        <v>2547</v>
      </c>
      <c r="C59" s="261" t="s">
        <v>5393</v>
      </c>
      <c r="D59" s="264" t="s">
        <v>5394</v>
      </c>
      <c r="E59" s="265" t="s">
        <v>5281</v>
      </c>
      <c r="F59" s="268" t="s">
        <v>5378</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5277</v>
      </c>
      <c r="B60" s="259" t="s">
        <v>5395</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5277</v>
      </c>
      <c r="B61" s="260" t="s">
        <v>5395</v>
      </c>
      <c r="C61" s="261" t="s">
        <v>5396</v>
      </c>
      <c r="D61" s="264" t="s">
        <v>5397</v>
      </c>
      <c r="E61" s="265" t="s">
        <v>5281</v>
      </c>
      <c r="F61" s="268" t="s">
        <v>5398</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5277</v>
      </c>
      <c r="B62" s="260" t="s">
        <v>5395</v>
      </c>
      <c r="C62" s="261" t="s">
        <v>5399</v>
      </c>
      <c r="D62" s="264" t="s">
        <v>5400</v>
      </c>
      <c r="E62" s="265" t="s">
        <v>5281</v>
      </c>
      <c r="F62" s="268" t="s">
        <v>5398</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5277</v>
      </c>
      <c r="B63" s="260" t="s">
        <v>5395</v>
      </c>
      <c r="C63" s="261" t="s">
        <v>5401</v>
      </c>
      <c r="D63" s="264" t="s">
        <v>5402</v>
      </c>
      <c r="E63" s="265" t="s">
        <v>5281</v>
      </c>
      <c r="F63" s="268" t="s">
        <v>5398</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5277</v>
      </c>
      <c r="B64" s="260" t="s">
        <v>5395</v>
      </c>
      <c r="C64" s="261" t="s">
        <v>5403</v>
      </c>
      <c r="D64" s="264" t="s">
        <v>5404</v>
      </c>
      <c r="E64" s="265" t="s">
        <v>5281</v>
      </c>
      <c r="F64" s="268" t="s">
        <v>5398</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5277</v>
      </c>
      <c r="B65" s="260" t="s">
        <v>5395</v>
      </c>
      <c r="C65" s="261" t="s">
        <v>5405</v>
      </c>
      <c r="D65" s="264" t="s">
        <v>5406</v>
      </c>
      <c r="E65" s="265" t="s">
        <v>5281</v>
      </c>
      <c r="F65" s="268" t="s">
        <v>5398</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5277</v>
      </c>
      <c r="B66" s="260" t="s">
        <v>5395</v>
      </c>
      <c r="C66" s="261" t="s">
        <v>5407</v>
      </c>
      <c r="D66" s="264" t="s">
        <v>5408</v>
      </c>
      <c r="E66" s="265" t="s">
        <v>5281</v>
      </c>
      <c r="F66" s="268" t="s">
        <v>5398</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5277</v>
      </c>
      <c r="B67" s="260" t="s">
        <v>5395</v>
      </c>
      <c r="C67" s="261" t="s">
        <v>5409</v>
      </c>
      <c r="D67" s="264" t="s">
        <v>5410</v>
      </c>
      <c r="E67" s="265" t="s">
        <v>5281</v>
      </c>
      <c r="F67" s="268" t="s">
        <v>5398</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5277</v>
      </c>
      <c r="B68" s="260" t="s">
        <v>5395</v>
      </c>
      <c r="C68" s="261" t="s">
        <v>5411</v>
      </c>
      <c r="D68" s="264" t="s">
        <v>5412</v>
      </c>
      <c r="E68" s="265" t="s">
        <v>5281</v>
      </c>
      <c r="F68" s="268" t="s">
        <v>5413</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5277</v>
      </c>
      <c r="B69" s="260" t="s">
        <v>5395</v>
      </c>
      <c r="C69" s="261" t="s">
        <v>5414</v>
      </c>
      <c r="D69" s="264" t="s">
        <v>5415</v>
      </c>
      <c r="E69" s="265" t="s">
        <v>5281</v>
      </c>
      <c r="F69" s="268" t="s">
        <v>5413</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5277</v>
      </c>
      <c r="B70" s="260" t="s">
        <v>5395</v>
      </c>
      <c r="C70" s="261" t="s">
        <v>5416</v>
      </c>
      <c r="D70" s="264" t="s">
        <v>5417</v>
      </c>
      <c r="E70" s="265" t="s">
        <v>5281</v>
      </c>
      <c r="F70" s="268" t="s">
        <v>5413</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5277</v>
      </c>
      <c r="B71" s="260" t="s">
        <v>5395</v>
      </c>
      <c r="C71" s="261" t="s">
        <v>5418</v>
      </c>
      <c r="D71" s="264" t="s">
        <v>5419</v>
      </c>
      <c r="E71" s="265" t="s">
        <v>5281</v>
      </c>
      <c r="F71" s="268" t="s">
        <v>5420</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5277</v>
      </c>
      <c r="B72" s="260" t="s">
        <v>5395</v>
      </c>
      <c r="C72" s="261" t="s">
        <v>5421</v>
      </c>
      <c r="D72" s="264" t="s">
        <v>5422</v>
      </c>
      <c r="E72" s="265" t="s">
        <v>5281</v>
      </c>
      <c r="F72" s="268" t="s">
        <v>5398</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5277</v>
      </c>
      <c r="B73" s="260" t="s">
        <v>5395</v>
      </c>
      <c r="C73" s="261" t="s">
        <v>5423</v>
      </c>
      <c r="D73" s="264" t="s">
        <v>5424</v>
      </c>
      <c r="E73" s="265" t="s">
        <v>5425</v>
      </c>
      <c r="F73" s="268" t="s">
        <v>5398</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5277</v>
      </c>
      <c r="B74" s="259" t="s">
        <v>5426</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5277</v>
      </c>
      <c r="B75" s="260" t="s">
        <v>5426</v>
      </c>
      <c r="C75" s="261" t="s">
        <v>5427</v>
      </c>
      <c r="D75" s="264" t="s">
        <v>5428</v>
      </c>
      <c r="E75" s="265" t="s">
        <v>5425</v>
      </c>
      <c r="F75" s="268" t="s">
        <v>5429</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5277</v>
      </c>
      <c r="B76" s="260" t="s">
        <v>5426</v>
      </c>
      <c r="C76" s="261" t="s">
        <v>5430</v>
      </c>
      <c r="D76" s="264" t="s">
        <v>5431</v>
      </c>
      <c r="E76" s="265" t="s">
        <v>5425</v>
      </c>
      <c r="F76" s="268" t="s">
        <v>5429</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5277</v>
      </c>
      <c r="B77" s="260" t="s">
        <v>5426</v>
      </c>
      <c r="C77" s="261" t="s">
        <v>5432</v>
      </c>
      <c r="D77" s="264" t="s">
        <v>5433</v>
      </c>
      <c r="E77" s="265" t="s">
        <v>5425</v>
      </c>
      <c r="F77" s="268" t="s">
        <v>5429</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5277</v>
      </c>
      <c r="B78" s="260" t="s">
        <v>5426</v>
      </c>
      <c r="C78" s="261" t="s">
        <v>5434</v>
      </c>
      <c r="D78" s="264" t="s">
        <v>5435</v>
      </c>
      <c r="E78" s="265" t="s">
        <v>5425</v>
      </c>
      <c r="F78" s="268" t="s">
        <v>5429</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5277</v>
      </c>
      <c r="B79" s="260" t="s">
        <v>5426</v>
      </c>
      <c r="C79" s="261" t="s">
        <v>5436</v>
      </c>
      <c r="D79" s="264" t="s">
        <v>5437</v>
      </c>
      <c r="E79" s="265" t="s">
        <v>5425</v>
      </c>
      <c r="F79" s="268" t="s">
        <v>5429</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5277</v>
      </c>
      <c r="B80" s="260" t="s">
        <v>5426</v>
      </c>
      <c r="C80" s="261" t="s">
        <v>5438</v>
      </c>
      <c r="D80" s="264" t="s">
        <v>5439</v>
      </c>
      <c r="E80" s="265" t="s">
        <v>5425</v>
      </c>
      <c r="F80" s="268" t="s">
        <v>5429</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5277</v>
      </c>
      <c r="B81" s="260" t="s">
        <v>5426</v>
      </c>
      <c r="C81" s="261" t="s">
        <v>5440</v>
      </c>
      <c r="D81" s="264" t="s">
        <v>5441</v>
      </c>
      <c r="E81" s="265" t="s">
        <v>5425</v>
      </c>
      <c r="F81" s="268" t="s">
        <v>5429</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5277</v>
      </c>
      <c r="B82" s="260" t="s">
        <v>5426</v>
      </c>
      <c r="C82" s="261" t="s">
        <v>5442</v>
      </c>
      <c r="D82" s="264" t="s">
        <v>5443</v>
      </c>
      <c r="E82" s="265" t="s">
        <v>5425</v>
      </c>
      <c r="F82" s="268" t="s">
        <v>5429</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5277</v>
      </c>
      <c r="B83" s="260" t="s">
        <v>5426</v>
      </c>
      <c r="C83" s="261" t="s">
        <v>5444</v>
      </c>
      <c r="D83" s="264" t="s">
        <v>5445</v>
      </c>
      <c r="E83" s="265" t="s">
        <v>5425</v>
      </c>
      <c r="F83" s="268" t="s">
        <v>5429</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5277</v>
      </c>
      <c r="B84" s="260" t="s">
        <v>5426</v>
      </c>
      <c r="C84" s="261" t="s">
        <v>5446</v>
      </c>
      <c r="D84" s="264" t="s">
        <v>5447</v>
      </c>
      <c r="E84" s="265" t="s">
        <v>5425</v>
      </c>
      <c r="F84" s="268" t="s">
        <v>5429</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5277</v>
      </c>
      <c r="B85" s="260" t="s">
        <v>5426</v>
      </c>
      <c r="C85" s="261" t="s">
        <v>5448</v>
      </c>
      <c r="D85" s="264" t="s">
        <v>5449</v>
      </c>
      <c r="E85" s="265" t="s">
        <v>5425</v>
      </c>
      <c r="F85" s="268" t="s">
        <v>5429</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5277</v>
      </c>
      <c r="B86" s="260" t="s">
        <v>5426</v>
      </c>
      <c r="C86" s="261" t="s">
        <v>5450</v>
      </c>
      <c r="D86" s="264" t="s">
        <v>5451</v>
      </c>
      <c r="E86" s="265" t="s">
        <v>5425</v>
      </c>
      <c r="F86" s="268" t="s">
        <v>5429</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5277</v>
      </c>
      <c r="B87" s="260" t="s">
        <v>5426</v>
      </c>
      <c r="C87" s="261" t="s">
        <v>5452</v>
      </c>
      <c r="D87" s="264" t="s">
        <v>5453</v>
      </c>
      <c r="E87" s="265" t="s">
        <v>5425</v>
      </c>
      <c r="F87" s="268" t="s">
        <v>5429</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5277</v>
      </c>
      <c r="B88" s="260" t="s">
        <v>5426</v>
      </c>
      <c r="C88" s="261" t="s">
        <v>5454</v>
      </c>
      <c r="D88" s="264" t="s">
        <v>5455</v>
      </c>
      <c r="E88" s="265" t="s">
        <v>5425</v>
      </c>
      <c r="F88" s="268" t="s">
        <v>5413</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5277</v>
      </c>
      <c r="B89" s="260" t="s">
        <v>5426</v>
      </c>
      <c r="C89" s="261" t="s">
        <v>5456</v>
      </c>
      <c r="D89" s="264" t="s">
        <v>5457</v>
      </c>
      <c r="E89" s="265" t="s">
        <v>5425</v>
      </c>
      <c r="F89" s="268" t="s">
        <v>5413</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5277</v>
      </c>
      <c r="B90" s="260" t="s">
        <v>5426</v>
      </c>
      <c r="C90" s="261" t="s">
        <v>5458</v>
      </c>
      <c r="D90" s="264" t="s">
        <v>5459</v>
      </c>
      <c r="E90" s="265" t="s">
        <v>5425</v>
      </c>
      <c r="F90" s="268" t="s">
        <v>5413</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5277</v>
      </c>
      <c r="B91" s="259" t="s">
        <v>5460</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5277</v>
      </c>
      <c r="B92" s="260" t="s">
        <v>5460</v>
      </c>
      <c r="C92" s="261" t="s">
        <v>5461</v>
      </c>
      <c r="D92" s="264" t="s">
        <v>5462</v>
      </c>
      <c r="E92" s="265" t="s">
        <v>5281</v>
      </c>
      <c r="F92" s="268" t="s">
        <v>5413</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5277</v>
      </c>
      <c r="B93" s="260" t="s">
        <v>5460</v>
      </c>
      <c r="C93" s="261" t="s">
        <v>5463</v>
      </c>
      <c r="D93" s="264" t="s">
        <v>5464</v>
      </c>
      <c r="E93" s="265" t="s">
        <v>5281</v>
      </c>
      <c r="F93" s="268" t="s">
        <v>5413</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5277</v>
      </c>
      <c r="B94" s="260" t="s">
        <v>5460</v>
      </c>
      <c r="C94" s="261" t="s">
        <v>5465</v>
      </c>
      <c r="D94" s="264" t="s">
        <v>5466</v>
      </c>
      <c r="E94" s="265" t="s">
        <v>5281</v>
      </c>
      <c r="F94" s="268" t="s">
        <v>5413</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5277</v>
      </c>
      <c r="B95" s="260" t="s">
        <v>5460</v>
      </c>
      <c r="C95" s="261" t="s">
        <v>5467</v>
      </c>
      <c r="D95" s="264" t="s">
        <v>5468</v>
      </c>
      <c r="E95" s="265" t="s">
        <v>5281</v>
      </c>
      <c r="F95" s="268" t="s">
        <v>5413</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5277</v>
      </c>
      <c r="B96" s="260" t="s">
        <v>5460</v>
      </c>
      <c r="C96" s="261" t="s">
        <v>5469</v>
      </c>
      <c r="D96" s="264" t="s">
        <v>5470</v>
      </c>
      <c r="E96" s="265" t="s">
        <v>5281</v>
      </c>
      <c r="F96" s="268" t="s">
        <v>5413</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5277</v>
      </c>
      <c r="B97" s="260" t="s">
        <v>5460</v>
      </c>
      <c r="C97" s="261" t="s">
        <v>5471</v>
      </c>
      <c r="D97" s="264" t="s">
        <v>5472</v>
      </c>
      <c r="E97" s="265" t="s">
        <v>5281</v>
      </c>
      <c r="F97" s="268" t="s">
        <v>5473</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5277</v>
      </c>
      <c r="B98" s="260" t="s">
        <v>5460</v>
      </c>
      <c r="C98" s="261" t="s">
        <v>5474</v>
      </c>
      <c r="D98" s="264" t="s">
        <v>5475</v>
      </c>
      <c r="E98" s="265" t="s">
        <v>5281</v>
      </c>
      <c r="F98" s="268" t="s">
        <v>5473</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5277</v>
      </c>
      <c r="B99" s="260" t="s">
        <v>5460</v>
      </c>
      <c r="C99" s="261" t="s">
        <v>5476</v>
      </c>
      <c r="D99" s="264" t="s">
        <v>5477</v>
      </c>
      <c r="E99" s="265" t="s">
        <v>5281</v>
      </c>
      <c r="F99" s="268" t="s">
        <v>5473</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5277</v>
      </c>
      <c r="B100" s="260" t="s">
        <v>5460</v>
      </c>
      <c r="C100" s="261" t="s">
        <v>5478</v>
      </c>
      <c r="D100" s="264" t="s">
        <v>5479</v>
      </c>
      <c r="E100" s="265" t="s">
        <v>5281</v>
      </c>
      <c r="F100" s="268" t="s">
        <v>5473</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5277</v>
      </c>
      <c r="B101" s="260" t="s">
        <v>5460</v>
      </c>
      <c r="C101" s="261" t="s">
        <v>5480</v>
      </c>
      <c r="D101" s="264" t="s">
        <v>5481</v>
      </c>
      <c r="E101" s="265" t="s">
        <v>5281</v>
      </c>
      <c r="F101" s="268" t="s">
        <v>5413</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5277</v>
      </c>
      <c r="B102" s="260" t="s">
        <v>5460</v>
      </c>
      <c r="C102" s="261" t="s">
        <v>5482</v>
      </c>
      <c r="D102" s="264" t="s">
        <v>5483</v>
      </c>
      <c r="E102" s="265" t="s">
        <v>5425</v>
      </c>
      <c r="F102" s="268" t="s">
        <v>5413</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5277</v>
      </c>
      <c r="B103" s="260" t="s">
        <v>5460</v>
      </c>
      <c r="C103" s="261" t="s">
        <v>5484</v>
      </c>
      <c r="D103" s="264" t="s">
        <v>5485</v>
      </c>
      <c r="E103" s="265" t="s">
        <v>5425</v>
      </c>
      <c r="F103" s="268" t="s">
        <v>5413</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5277</v>
      </c>
      <c r="B104" s="260" t="s">
        <v>5460</v>
      </c>
      <c r="C104" s="261" t="s">
        <v>5486</v>
      </c>
      <c r="D104" s="264" t="s">
        <v>5487</v>
      </c>
      <c r="E104" s="265" t="s">
        <v>5425</v>
      </c>
      <c r="F104" s="268" t="s">
        <v>5413</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5277</v>
      </c>
      <c r="B105" s="260" t="s">
        <v>5460</v>
      </c>
      <c r="C105" s="261" t="s">
        <v>5488</v>
      </c>
      <c r="D105" s="264" t="s">
        <v>5489</v>
      </c>
      <c r="E105" s="265" t="s">
        <v>5310</v>
      </c>
      <c r="F105" s="268" t="s">
        <v>5413</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5277</v>
      </c>
      <c r="B106" s="259" t="s">
        <v>5490</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5277</v>
      </c>
      <c r="B107" s="260" t="s">
        <v>5490</v>
      </c>
      <c r="C107" s="261" t="s">
        <v>5491</v>
      </c>
      <c r="D107" s="264" t="s">
        <v>5492</v>
      </c>
      <c r="E107" s="265" t="s">
        <v>5425</v>
      </c>
      <c r="F107" s="268" t="s">
        <v>5413</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5277</v>
      </c>
      <c r="B108" s="260" t="s">
        <v>5490</v>
      </c>
      <c r="C108" s="261" t="s">
        <v>5493</v>
      </c>
      <c r="D108" s="264" t="s">
        <v>5494</v>
      </c>
      <c r="E108" s="265" t="s">
        <v>5425</v>
      </c>
      <c r="F108" s="268" t="s">
        <v>5413</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5277</v>
      </c>
      <c r="B109" s="260" t="s">
        <v>5490</v>
      </c>
      <c r="C109" s="261" t="s">
        <v>5495</v>
      </c>
      <c r="D109" s="264" t="s">
        <v>5496</v>
      </c>
      <c r="E109" s="265" t="s">
        <v>5425</v>
      </c>
      <c r="F109" s="268" t="s">
        <v>5413</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5277</v>
      </c>
      <c r="B110" s="260" t="s">
        <v>5490</v>
      </c>
      <c r="C110" s="261" t="s">
        <v>5497</v>
      </c>
      <c r="D110" s="264" t="s">
        <v>5498</v>
      </c>
      <c r="E110" s="265" t="s">
        <v>5425</v>
      </c>
      <c r="F110" s="268" t="s">
        <v>5413</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5277</v>
      </c>
      <c r="B111" s="260" t="s">
        <v>5490</v>
      </c>
      <c r="C111" s="261" t="s">
        <v>5499</v>
      </c>
      <c r="D111" s="264" t="s">
        <v>5500</v>
      </c>
      <c r="E111" s="265" t="s">
        <v>5425</v>
      </c>
      <c r="F111" s="268" t="s">
        <v>5413</v>
      </c>
      <c r="G111" s="271">
        <f>IF(COUNTIF(H111:AU111,"&lt;&gt;")=0,"",SUMPRODUCT(((Recommendations[ImplStatus]="Implemented")+(Recommendations[ImplStatus]="Compensated"))*ISNUMBER(MATCH(Recommendations[Id],H111:AU111,0)))/COUNTIF(H111:AU111,"&lt;&gt;"))</f>
        <v>0</v>
      </c>
      <c r="H111" s="272" t="s">
        <v>236</v>
      </c>
      <c r="I111" s="272" t="s">
        <v>377</v>
      </c>
      <c r="J111" s="272" t="s">
        <v>489</v>
      </c>
      <c r="K111" s="272" t="s">
        <v>524</v>
      </c>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5277</v>
      </c>
      <c r="B112" s="260" t="s">
        <v>5490</v>
      </c>
      <c r="C112" s="261" t="s">
        <v>5501</v>
      </c>
      <c r="D112" s="264" t="s">
        <v>5502</v>
      </c>
      <c r="E112" s="265" t="s">
        <v>5425</v>
      </c>
      <c r="F112" s="268" t="s">
        <v>5413</v>
      </c>
      <c r="G112" s="271">
        <f>IF(COUNTIF(H112:AU112,"&lt;&gt;")=0,"",SUMPRODUCT(((Recommendations[ImplStatus]="Implemented")+(Recommendations[ImplStatus]="Compensated"))*ISNUMBER(MATCH(Recommendations[Id],H112:AU112,0)))/COUNTIF(H112:AU112,"&lt;&gt;"))</f>
        <v>0</v>
      </c>
      <c r="H112" s="272" t="s">
        <v>236</v>
      </c>
      <c r="I112" s="272" t="s">
        <v>377</v>
      </c>
      <c r="J112" s="272" t="s">
        <v>478</v>
      </c>
      <c r="K112" s="272" t="s">
        <v>484</v>
      </c>
      <c r="L112" s="272" t="s">
        <v>489</v>
      </c>
      <c r="M112" s="272" t="s">
        <v>499</v>
      </c>
      <c r="N112" s="272" t="s">
        <v>504</v>
      </c>
      <c r="O112" s="272" t="s">
        <v>509</v>
      </c>
      <c r="P112" s="272" t="s">
        <v>514</v>
      </c>
      <c r="Q112" s="272" t="s">
        <v>524</v>
      </c>
      <c r="R112" s="272" t="s">
        <v>529</v>
      </c>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5277</v>
      </c>
      <c r="B113" s="260" t="s">
        <v>5490</v>
      </c>
      <c r="C113" s="261" t="s">
        <v>5503</v>
      </c>
      <c r="D113" s="264" t="s">
        <v>5504</v>
      </c>
      <c r="E113" s="265" t="s">
        <v>5425</v>
      </c>
      <c r="F113" s="268" t="s">
        <v>5413</v>
      </c>
      <c r="G113" s="271">
        <f>IF(COUNTIF(H113:AU113,"&lt;&gt;")=0,"",SUMPRODUCT(((Recommendations[ImplStatus]="Implemented")+(Recommendations[ImplStatus]="Compensated"))*ISNUMBER(MATCH(Recommendations[Id],H113:AU113,0)))/COUNTIF(H113:AU113,"&lt;&gt;"))</f>
        <v>0</v>
      </c>
      <c r="H113" s="272" t="s">
        <v>387</v>
      </c>
      <c r="I113" s="272" t="s">
        <v>392</v>
      </c>
      <c r="J113" s="272" t="s">
        <v>397</v>
      </c>
      <c r="K113" s="272" t="s">
        <v>494</v>
      </c>
      <c r="L113" s="272" t="s">
        <v>499</v>
      </c>
      <c r="M113" s="272" t="s">
        <v>504</v>
      </c>
      <c r="N113" s="272" t="s">
        <v>509</v>
      </c>
      <c r="O113" s="272" t="s">
        <v>514</v>
      </c>
      <c r="P113" s="272" t="s">
        <v>519</v>
      </c>
      <c r="Q113" s="272" t="s">
        <v>534</v>
      </c>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5277</v>
      </c>
      <c r="B114" s="260" t="s">
        <v>5490</v>
      </c>
      <c r="C114" s="261" t="s">
        <v>5505</v>
      </c>
      <c r="D114" s="264" t="s">
        <v>5506</v>
      </c>
      <c r="E114" s="265" t="s">
        <v>5425</v>
      </c>
      <c r="F114" s="268" t="s">
        <v>5413</v>
      </c>
      <c r="G114" s="271">
        <f>IF(COUNTIF(H114:AU114,"&lt;&gt;")=0,"",SUMPRODUCT(((Recommendations[ImplStatus]="Implemented")+(Recommendations[ImplStatus]="Compensated"))*ISNUMBER(MATCH(Recommendations[Id],H114:AU114,0)))/COUNTIF(H114:AU114,"&lt;&gt;"))</f>
        <v>0</v>
      </c>
      <c r="H114" s="272" t="s">
        <v>25</v>
      </c>
      <c r="I114" s="272" t="s">
        <v>30</v>
      </c>
      <c r="J114" s="272" t="s">
        <v>40</v>
      </c>
      <c r="K114" s="272" t="s">
        <v>45</v>
      </c>
      <c r="L114" s="272" t="s">
        <v>50</v>
      </c>
      <c r="M114" s="272" t="s">
        <v>61</v>
      </c>
      <c r="N114" s="272" t="s">
        <v>66</v>
      </c>
      <c r="O114" s="272" t="s">
        <v>148</v>
      </c>
      <c r="P114" s="272" t="s">
        <v>201</v>
      </c>
      <c r="Q114" s="272" t="s">
        <v>300</v>
      </c>
      <c r="R114" s="272" t="s">
        <v>305</v>
      </c>
      <c r="S114" s="272" t="s">
        <v>358</v>
      </c>
      <c r="T114" s="272" t="s">
        <v>387</v>
      </c>
      <c r="U114" s="272" t="s">
        <v>392</v>
      </c>
      <c r="V114" s="272" t="s">
        <v>478</v>
      </c>
      <c r="W114" s="272" t="s">
        <v>484</v>
      </c>
      <c r="X114" s="272" t="s">
        <v>494</v>
      </c>
      <c r="Y114" s="272" t="s">
        <v>519</v>
      </c>
      <c r="Z114" s="272" t="s">
        <v>529</v>
      </c>
      <c r="AA114" s="272" t="s">
        <v>534</v>
      </c>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5277</v>
      </c>
      <c r="B115" s="260" t="s">
        <v>5490</v>
      </c>
      <c r="C115" s="261" t="s">
        <v>5507</v>
      </c>
      <c r="D115" s="264" t="s">
        <v>5508</v>
      </c>
      <c r="E115" s="265" t="s">
        <v>5425</v>
      </c>
      <c r="F115" s="268" t="s">
        <v>5413</v>
      </c>
      <c r="G115" s="271">
        <f>IF(COUNTIF(H115:AU115,"&lt;&gt;")=0,"",SUMPRODUCT(((Recommendations[ImplStatus]="Implemented")+(Recommendations[ImplStatus]="Compensated"))*ISNUMBER(MATCH(Recommendations[Id],H115:AU115,0)))/COUNTIF(H115:AU115,"&lt;&gt;"))</f>
        <v>0</v>
      </c>
      <c r="H115" s="272" t="s">
        <v>201</v>
      </c>
      <c r="I115" s="272" t="s">
        <v>300</v>
      </c>
      <c r="J115" s="272" t="s">
        <v>305</v>
      </c>
      <c r="K115" s="272" t="s">
        <v>358</v>
      </c>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5277</v>
      </c>
      <c r="B116" s="260" t="s">
        <v>5490</v>
      </c>
      <c r="C116" s="261" t="s">
        <v>5509</v>
      </c>
      <c r="D116" s="264" t="s">
        <v>5510</v>
      </c>
      <c r="E116" s="265" t="s">
        <v>5425</v>
      </c>
      <c r="F116" s="268" t="s">
        <v>5413</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5277</v>
      </c>
      <c r="B117" s="260" t="s">
        <v>5490</v>
      </c>
      <c r="C117" s="261" t="s">
        <v>5511</v>
      </c>
      <c r="D117" s="264" t="s">
        <v>5512</v>
      </c>
      <c r="E117" s="265" t="s">
        <v>5425</v>
      </c>
      <c r="F117" s="268" t="s">
        <v>5413</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5513</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5513</v>
      </c>
      <c r="B119" s="259" t="s">
        <v>5514</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5513</v>
      </c>
      <c r="B120" s="260" t="s">
        <v>5514</v>
      </c>
      <c r="C120" s="261" t="s">
        <v>5515</v>
      </c>
      <c r="D120" s="264" t="s">
        <v>5516</v>
      </c>
      <c r="E120" s="265" t="s">
        <v>5281</v>
      </c>
      <c r="F120" s="268" t="s">
        <v>5517</v>
      </c>
      <c r="G120" s="271" t="str">
        <f>IF(COUNTIF(H120:AU120,"&lt;&gt;")=0,"",SUMPRODUCT(((Recommendations[ImplStatus]="Implemented")+(Recommendations[ImplStatus]="Compensated"))*ISNUMBER(MATCH(Recommendations[Id],H120:AU120,0)))/COUNTIF(H120:AU120,"&lt;&gt;"))</f>
        <v/>
      </c>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5513</v>
      </c>
      <c r="B121" s="260" t="s">
        <v>5514</v>
      </c>
      <c r="C121" s="261" t="s">
        <v>5518</v>
      </c>
      <c r="D121" s="264" t="s">
        <v>5519</v>
      </c>
      <c r="E121" s="265" t="s">
        <v>5281</v>
      </c>
      <c r="F121" s="268" t="s">
        <v>5517</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5513</v>
      </c>
      <c r="B122" s="260" t="s">
        <v>5514</v>
      </c>
      <c r="C122" s="261" t="s">
        <v>5520</v>
      </c>
      <c r="D122" s="264" t="s">
        <v>5521</v>
      </c>
      <c r="E122" s="265" t="s">
        <v>5281</v>
      </c>
      <c r="F122" s="268" t="s">
        <v>5517</v>
      </c>
      <c r="G122" s="271" t="str">
        <f>IF(COUNTIF(H122:AU122,"&lt;&gt;")=0,"",SUMPRODUCT(((Recommendations[ImplStatus]="Implemented")+(Recommendations[ImplStatus]="Compensated"))*ISNUMBER(MATCH(Recommendations[Id],H122:AU122,0)))/COUNTIF(H122:AU122,"&lt;&gt;"))</f>
        <v/>
      </c>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5513</v>
      </c>
      <c r="B123" s="260" t="s">
        <v>5514</v>
      </c>
      <c r="C123" s="261" t="s">
        <v>5522</v>
      </c>
      <c r="D123" s="264" t="s">
        <v>5523</v>
      </c>
      <c r="E123" s="265" t="s">
        <v>5281</v>
      </c>
      <c r="F123" s="268" t="s">
        <v>5517</v>
      </c>
      <c r="G123" s="271" t="str">
        <f>IF(COUNTIF(H123:AU123,"&lt;&gt;")=0,"",SUMPRODUCT(((Recommendations[ImplStatus]="Implemented")+(Recommendations[ImplStatus]="Compensated"))*ISNUMBER(MATCH(Recommendations[Id],H123:AU123,0)))/COUNTIF(H123:AU123,"&lt;&gt;"))</f>
        <v/>
      </c>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5513</v>
      </c>
      <c r="B124" s="260" t="s">
        <v>5514</v>
      </c>
      <c r="C124" s="261" t="s">
        <v>5524</v>
      </c>
      <c r="D124" s="264" t="s">
        <v>5525</v>
      </c>
      <c r="E124" s="265" t="s">
        <v>5281</v>
      </c>
      <c r="F124" s="268" t="s">
        <v>5517</v>
      </c>
      <c r="G124" s="271" t="str">
        <f>IF(COUNTIF(H124:AU124,"&lt;&gt;")=0,"",SUMPRODUCT(((Recommendations[ImplStatus]="Implemented")+(Recommendations[ImplStatus]="Compensated"))*ISNUMBER(MATCH(Recommendations[Id],H124:AU124,0)))/COUNTIF(H124:AU124,"&lt;&gt;"))</f>
        <v/>
      </c>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5513</v>
      </c>
      <c r="B125" s="260" t="s">
        <v>5514</v>
      </c>
      <c r="C125" s="261" t="s">
        <v>5526</v>
      </c>
      <c r="D125" s="264" t="s">
        <v>5527</v>
      </c>
      <c r="E125" s="265" t="s">
        <v>5281</v>
      </c>
      <c r="F125" s="268" t="s">
        <v>5517</v>
      </c>
      <c r="G125" s="271" t="str">
        <f>IF(COUNTIF(H125:AU125,"&lt;&gt;")=0,"",SUMPRODUCT(((Recommendations[ImplStatus]="Implemented")+(Recommendations[ImplStatus]="Compensated"))*ISNUMBER(MATCH(Recommendations[Id],H125:AU125,0)))/COUNTIF(H125:AU125,"&lt;&gt;"))</f>
        <v/>
      </c>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5513</v>
      </c>
      <c r="B126" s="260" t="s">
        <v>5514</v>
      </c>
      <c r="C126" s="261" t="s">
        <v>5528</v>
      </c>
      <c r="D126" s="264" t="s">
        <v>5529</v>
      </c>
      <c r="E126" s="265" t="s">
        <v>5281</v>
      </c>
      <c r="F126" s="268" t="s">
        <v>5517</v>
      </c>
      <c r="G126" s="271" t="str">
        <f>IF(COUNTIF(H126:AU126,"&lt;&gt;")=0,"",SUMPRODUCT(((Recommendations[ImplStatus]="Implemented")+(Recommendations[ImplStatus]="Compensated"))*ISNUMBER(MATCH(Recommendations[Id],H126:AU126,0)))/COUNTIF(H126:AU126,"&lt;&gt;"))</f>
        <v/>
      </c>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5513</v>
      </c>
      <c r="B127" s="260" t="s">
        <v>5514</v>
      </c>
      <c r="C127" s="261" t="s">
        <v>5530</v>
      </c>
      <c r="D127" s="264" t="s">
        <v>5531</v>
      </c>
      <c r="E127" s="265" t="s">
        <v>5281</v>
      </c>
      <c r="F127" s="268" t="s">
        <v>5517</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5513</v>
      </c>
      <c r="B128" s="260" t="s">
        <v>5514</v>
      </c>
      <c r="C128" s="261" t="s">
        <v>5532</v>
      </c>
      <c r="D128" s="264" t="s">
        <v>5533</v>
      </c>
      <c r="E128" s="265" t="s">
        <v>5281</v>
      </c>
      <c r="F128" s="268" t="s">
        <v>5517</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5513</v>
      </c>
      <c r="B129" s="260" t="s">
        <v>5514</v>
      </c>
      <c r="C129" s="261" t="s">
        <v>5534</v>
      </c>
      <c r="D129" s="264" t="s">
        <v>5535</v>
      </c>
      <c r="E129" s="265" t="s">
        <v>5281</v>
      </c>
      <c r="F129" s="268" t="s">
        <v>5517</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5513</v>
      </c>
      <c r="B130" s="260" t="s">
        <v>5514</v>
      </c>
      <c r="C130" s="261" t="s">
        <v>5536</v>
      </c>
      <c r="D130" s="264" t="s">
        <v>5537</v>
      </c>
      <c r="E130" s="265" t="s">
        <v>5281</v>
      </c>
      <c r="F130" s="268" t="s">
        <v>5517</v>
      </c>
      <c r="G130" s="271" t="str">
        <f>IF(COUNTIF(H130:AU130,"&lt;&gt;")=0,"",SUMPRODUCT(((Recommendations[ImplStatus]="Implemented")+(Recommendations[ImplStatus]="Compensated"))*ISNUMBER(MATCH(Recommendations[Id],H130:AU130,0)))/COUNTIF(H130:AU130,"&lt;&gt;"))</f>
        <v/>
      </c>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5513</v>
      </c>
      <c r="B131" s="260" t="s">
        <v>5514</v>
      </c>
      <c r="C131" s="261" t="s">
        <v>5538</v>
      </c>
      <c r="D131" s="264" t="s">
        <v>5539</v>
      </c>
      <c r="E131" s="265" t="s">
        <v>5281</v>
      </c>
      <c r="F131" s="268" t="s">
        <v>5517</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5513</v>
      </c>
      <c r="B132" s="260" t="s">
        <v>5514</v>
      </c>
      <c r="C132" s="261" t="s">
        <v>5540</v>
      </c>
      <c r="D132" s="264" t="s">
        <v>5541</v>
      </c>
      <c r="E132" s="265" t="s">
        <v>5281</v>
      </c>
      <c r="F132" s="268" t="s">
        <v>5517</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5513</v>
      </c>
      <c r="B133" s="260" t="s">
        <v>5514</v>
      </c>
      <c r="C133" s="261" t="s">
        <v>5542</v>
      </c>
      <c r="D133" s="264" t="s">
        <v>5543</v>
      </c>
      <c r="E133" s="265" t="s">
        <v>5310</v>
      </c>
      <c r="F133" s="268" t="s">
        <v>5517</v>
      </c>
      <c r="G133" s="271" t="str">
        <f>IF(COUNTIF(H133:AU133,"&lt;&gt;")=0,"",SUMPRODUCT(((Recommendations[ImplStatus]="Implemented")+(Recommendations[ImplStatus]="Compensated"))*ISNUMBER(MATCH(Recommendations[Id],H133:AU133,0)))/COUNTIF(H133:AU133,"&lt;&gt;"))</f>
        <v/>
      </c>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5513</v>
      </c>
      <c r="B134" s="260" t="s">
        <v>5514</v>
      </c>
      <c r="C134" s="261" t="s">
        <v>5544</v>
      </c>
      <c r="D134" s="264" t="s">
        <v>5545</v>
      </c>
      <c r="E134" s="265" t="s">
        <v>5310</v>
      </c>
      <c r="F134" s="268" t="s">
        <v>5517</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5513</v>
      </c>
      <c r="B135" s="260" t="s">
        <v>5514</v>
      </c>
      <c r="C135" s="261" t="s">
        <v>5546</v>
      </c>
      <c r="D135" s="264" t="s">
        <v>5547</v>
      </c>
      <c r="E135" s="265" t="s">
        <v>5425</v>
      </c>
      <c r="F135" s="268" t="s">
        <v>5517</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5513</v>
      </c>
      <c r="B136" s="260" t="s">
        <v>5514</v>
      </c>
      <c r="C136" s="261" t="s">
        <v>5548</v>
      </c>
      <c r="D136" s="264" t="s">
        <v>5549</v>
      </c>
      <c r="E136" s="265" t="s">
        <v>5310</v>
      </c>
      <c r="F136" s="268" t="s">
        <v>5517</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5513</v>
      </c>
      <c r="B137" s="260" t="s">
        <v>5514</v>
      </c>
      <c r="C137" s="261" t="s">
        <v>5550</v>
      </c>
      <c r="D137" s="264" t="s">
        <v>5551</v>
      </c>
      <c r="E137" s="265" t="s">
        <v>5310</v>
      </c>
      <c r="F137" s="268" t="s">
        <v>5517</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5513</v>
      </c>
      <c r="B138" s="260" t="s">
        <v>5514</v>
      </c>
      <c r="C138" s="261" t="s">
        <v>5552</v>
      </c>
      <c r="D138" s="264" t="s">
        <v>5553</v>
      </c>
      <c r="E138" s="265" t="s">
        <v>5425</v>
      </c>
      <c r="F138" s="268" t="s">
        <v>5517</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5513</v>
      </c>
      <c r="B139" s="260" t="s">
        <v>5514</v>
      </c>
      <c r="C139" s="261" t="s">
        <v>5554</v>
      </c>
      <c r="D139" s="264" t="s">
        <v>5555</v>
      </c>
      <c r="E139" s="265" t="s">
        <v>5425</v>
      </c>
      <c r="F139" s="268" t="s">
        <v>5517</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5513</v>
      </c>
      <c r="B140" s="260" t="s">
        <v>5514</v>
      </c>
      <c r="C140" s="261" t="s">
        <v>5556</v>
      </c>
      <c r="D140" s="264" t="s">
        <v>5557</v>
      </c>
      <c r="E140" s="265" t="s">
        <v>5281</v>
      </c>
      <c r="F140" s="268" t="s">
        <v>5517</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5513</v>
      </c>
      <c r="B141" s="260" t="s">
        <v>5514</v>
      </c>
      <c r="C141" s="261" t="s">
        <v>5558</v>
      </c>
      <c r="D141" s="264" t="s">
        <v>5559</v>
      </c>
      <c r="E141" s="265" t="s">
        <v>5560</v>
      </c>
      <c r="F141" s="268" t="s">
        <v>5561</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5513</v>
      </c>
      <c r="B142" s="260" t="s">
        <v>5514</v>
      </c>
      <c r="C142" s="261" t="s">
        <v>5562</v>
      </c>
      <c r="D142" s="264" t="s">
        <v>5563</v>
      </c>
      <c r="E142" s="265" t="s">
        <v>5560</v>
      </c>
      <c r="F142" s="268" t="s">
        <v>5561</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5513</v>
      </c>
      <c r="B143" s="260" t="s">
        <v>5514</v>
      </c>
      <c r="C143" s="261" t="s">
        <v>5564</v>
      </c>
      <c r="D143" s="264" t="s">
        <v>5565</v>
      </c>
      <c r="E143" s="265" t="s">
        <v>5560</v>
      </c>
      <c r="F143" s="268" t="s">
        <v>5561</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5513</v>
      </c>
      <c r="B144" s="260" t="s">
        <v>5514</v>
      </c>
      <c r="C144" s="261" t="s">
        <v>5566</v>
      </c>
      <c r="D144" s="264" t="s">
        <v>5567</v>
      </c>
      <c r="E144" s="265" t="s">
        <v>5377</v>
      </c>
      <c r="F144" s="268" t="s">
        <v>5561</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5513</v>
      </c>
      <c r="B145" s="260" t="s">
        <v>5514</v>
      </c>
      <c r="C145" s="261" t="s">
        <v>5568</v>
      </c>
      <c r="D145" s="264" t="s">
        <v>5569</v>
      </c>
      <c r="E145" s="265" t="s">
        <v>5377</v>
      </c>
      <c r="F145" s="268" t="s">
        <v>5561</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5513</v>
      </c>
      <c r="B146" s="260" t="s">
        <v>5514</v>
      </c>
      <c r="C146" s="261" t="s">
        <v>5570</v>
      </c>
      <c r="D146" s="264" t="s">
        <v>5571</v>
      </c>
      <c r="E146" s="265" t="s">
        <v>5377</v>
      </c>
      <c r="F146" s="268" t="s">
        <v>5561</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5513</v>
      </c>
      <c r="B147" s="259" t="s">
        <v>5572</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5513</v>
      </c>
      <c r="B148" s="260" t="s">
        <v>5572</v>
      </c>
      <c r="C148" s="261" t="s">
        <v>5573</v>
      </c>
      <c r="D148" s="264" t="s">
        <v>5574</v>
      </c>
      <c r="E148" s="265" t="s">
        <v>5310</v>
      </c>
      <c r="F148" s="268" t="s">
        <v>5575</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5513</v>
      </c>
      <c r="B149" s="260" t="s">
        <v>5572</v>
      </c>
      <c r="C149" s="261" t="s">
        <v>5576</v>
      </c>
      <c r="D149" s="264" t="s">
        <v>5577</v>
      </c>
      <c r="E149" s="265" t="s">
        <v>5310</v>
      </c>
      <c r="F149" s="268" t="s">
        <v>5575</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5513</v>
      </c>
      <c r="B150" s="260" t="s">
        <v>5572</v>
      </c>
      <c r="C150" s="261" t="s">
        <v>5578</v>
      </c>
      <c r="D150" s="264" t="s">
        <v>5579</v>
      </c>
      <c r="E150" s="265" t="s">
        <v>5310</v>
      </c>
      <c r="F150" s="268" t="s">
        <v>5575</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5513</v>
      </c>
      <c r="B151" s="260" t="s">
        <v>5572</v>
      </c>
      <c r="C151" s="261" t="s">
        <v>5580</v>
      </c>
      <c r="D151" s="264" t="s">
        <v>5581</v>
      </c>
      <c r="E151" s="265" t="s">
        <v>5310</v>
      </c>
      <c r="F151" s="268" t="s">
        <v>5575</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5513</v>
      </c>
      <c r="B152" s="260" t="s">
        <v>5572</v>
      </c>
      <c r="C152" s="261" t="s">
        <v>5582</v>
      </c>
      <c r="D152" s="264" t="s">
        <v>5583</v>
      </c>
      <c r="E152" s="265" t="s">
        <v>5310</v>
      </c>
      <c r="F152" s="268" t="s">
        <v>5575</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5513</v>
      </c>
      <c r="B153" s="260" t="s">
        <v>5572</v>
      </c>
      <c r="C153" s="261" t="s">
        <v>5584</v>
      </c>
      <c r="D153" s="264" t="s">
        <v>5585</v>
      </c>
      <c r="E153" s="265" t="s">
        <v>5310</v>
      </c>
      <c r="F153" s="268" t="s">
        <v>5575</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5513</v>
      </c>
      <c r="B154" s="260" t="s">
        <v>5572</v>
      </c>
      <c r="C154" s="261" t="s">
        <v>5586</v>
      </c>
      <c r="D154" s="264" t="s">
        <v>5587</v>
      </c>
      <c r="E154" s="265" t="s">
        <v>5310</v>
      </c>
      <c r="F154" s="268" t="s">
        <v>5575</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5513</v>
      </c>
      <c r="B155" s="260" t="s">
        <v>5572</v>
      </c>
      <c r="C155" s="261" t="s">
        <v>5588</v>
      </c>
      <c r="D155" s="264" t="s">
        <v>5589</v>
      </c>
      <c r="E155" s="265" t="s">
        <v>5310</v>
      </c>
      <c r="F155" s="268" t="s">
        <v>5575</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5513</v>
      </c>
      <c r="B156" s="260" t="s">
        <v>5572</v>
      </c>
      <c r="C156" s="261" t="s">
        <v>5590</v>
      </c>
      <c r="D156" s="264" t="s">
        <v>5591</v>
      </c>
      <c r="E156" s="265" t="s">
        <v>5310</v>
      </c>
      <c r="F156" s="268" t="s">
        <v>5575</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5513</v>
      </c>
      <c r="B157" s="260" t="s">
        <v>5572</v>
      </c>
      <c r="C157" s="261" t="s">
        <v>5592</v>
      </c>
      <c r="D157" s="264" t="s">
        <v>5593</v>
      </c>
      <c r="E157" s="265" t="s">
        <v>5310</v>
      </c>
      <c r="F157" s="268" t="s">
        <v>5575</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5513</v>
      </c>
      <c r="B158" s="260" t="s">
        <v>5572</v>
      </c>
      <c r="C158" s="261" t="s">
        <v>5594</v>
      </c>
      <c r="D158" s="264" t="s">
        <v>5595</v>
      </c>
      <c r="E158" s="265" t="s">
        <v>5310</v>
      </c>
      <c r="F158" s="268" t="s">
        <v>5575</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5513</v>
      </c>
      <c r="B159" s="260" t="s">
        <v>5572</v>
      </c>
      <c r="C159" s="261" t="s">
        <v>5596</v>
      </c>
      <c r="D159" s="264" t="s">
        <v>5597</v>
      </c>
      <c r="E159" s="265" t="s">
        <v>5310</v>
      </c>
      <c r="F159" s="268" t="s">
        <v>5575</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5513</v>
      </c>
      <c r="B160" s="260" t="s">
        <v>5572</v>
      </c>
      <c r="C160" s="261" t="s">
        <v>5598</v>
      </c>
      <c r="D160" s="264" t="s">
        <v>5599</v>
      </c>
      <c r="E160" s="265" t="s">
        <v>5310</v>
      </c>
      <c r="F160" s="268" t="s">
        <v>5600</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5513</v>
      </c>
      <c r="B161" s="260" t="s">
        <v>5572</v>
      </c>
      <c r="C161" s="261" t="s">
        <v>5601</v>
      </c>
      <c r="D161" s="264" t="s">
        <v>5602</v>
      </c>
      <c r="E161" s="265" t="s">
        <v>5310</v>
      </c>
      <c r="F161" s="268" t="s">
        <v>5600</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5513</v>
      </c>
      <c r="B162" s="260" t="s">
        <v>5572</v>
      </c>
      <c r="C162" s="261" t="s">
        <v>5603</v>
      </c>
      <c r="D162" s="264" t="s">
        <v>5604</v>
      </c>
      <c r="E162" s="265" t="s">
        <v>5310</v>
      </c>
      <c r="F162" s="268" t="s">
        <v>5600</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5513</v>
      </c>
      <c r="B163" s="260" t="s">
        <v>5572</v>
      </c>
      <c r="C163" s="261" t="s">
        <v>5605</v>
      </c>
      <c r="D163" s="264" t="s">
        <v>5606</v>
      </c>
      <c r="E163" s="265" t="s">
        <v>5310</v>
      </c>
      <c r="F163" s="268" t="s">
        <v>5600</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5513</v>
      </c>
      <c r="B164" s="260" t="s">
        <v>5572</v>
      </c>
      <c r="C164" s="261" t="s">
        <v>5607</v>
      </c>
      <c r="D164" s="264" t="s">
        <v>5608</v>
      </c>
      <c r="E164" s="265" t="s">
        <v>5310</v>
      </c>
      <c r="F164" s="268" t="s">
        <v>5600</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5513</v>
      </c>
      <c r="B165" s="259" t="s">
        <v>5609</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5513</v>
      </c>
      <c r="B166" s="260" t="s">
        <v>5609</v>
      </c>
      <c r="C166" s="261" t="s">
        <v>5610</v>
      </c>
      <c r="D166" s="264" t="s">
        <v>5611</v>
      </c>
      <c r="E166" s="265" t="s">
        <v>5281</v>
      </c>
      <c r="F166" s="268" t="s">
        <v>5612</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5513</v>
      </c>
      <c r="B167" s="260" t="s">
        <v>5609</v>
      </c>
      <c r="C167" s="261" t="s">
        <v>5613</v>
      </c>
      <c r="D167" s="264" t="s">
        <v>5614</v>
      </c>
      <c r="E167" s="265" t="s">
        <v>5425</v>
      </c>
      <c r="F167" s="268" t="s">
        <v>5612</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5513</v>
      </c>
      <c r="B168" s="260" t="s">
        <v>5609</v>
      </c>
      <c r="C168" s="261" t="s">
        <v>5615</v>
      </c>
      <c r="D168" s="264" t="s">
        <v>5616</v>
      </c>
      <c r="E168" s="265" t="s">
        <v>5377</v>
      </c>
      <c r="F168" s="268" t="s">
        <v>5612</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5513</v>
      </c>
      <c r="B169" s="260" t="s">
        <v>5609</v>
      </c>
      <c r="C169" s="261" t="s">
        <v>5617</v>
      </c>
      <c r="D169" s="264" t="s">
        <v>5618</v>
      </c>
      <c r="E169" s="265" t="s">
        <v>5377</v>
      </c>
      <c r="F169" s="268" t="s">
        <v>5612</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5513</v>
      </c>
      <c r="B170" s="260" t="s">
        <v>5609</v>
      </c>
      <c r="C170" s="261" t="s">
        <v>5619</v>
      </c>
      <c r="D170" s="264" t="s">
        <v>5620</v>
      </c>
      <c r="E170" s="265" t="s">
        <v>5425</v>
      </c>
      <c r="F170" s="268" t="s">
        <v>5612</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5513</v>
      </c>
      <c r="B171" s="260" t="s">
        <v>5609</v>
      </c>
      <c r="C171" s="261" t="s">
        <v>5621</v>
      </c>
      <c r="D171" s="264" t="s">
        <v>5622</v>
      </c>
      <c r="E171" s="265" t="s">
        <v>5310</v>
      </c>
      <c r="F171" s="268" t="s">
        <v>5612</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5513</v>
      </c>
      <c r="B172" s="260" t="s">
        <v>5609</v>
      </c>
      <c r="C172" s="261" t="s">
        <v>5623</v>
      </c>
      <c r="D172" s="264" t="s">
        <v>5624</v>
      </c>
      <c r="E172" s="265" t="s">
        <v>5377</v>
      </c>
      <c r="F172" s="268" t="s">
        <v>5612</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5513</v>
      </c>
      <c r="B173" s="260" t="s">
        <v>5609</v>
      </c>
      <c r="C173" s="261" t="s">
        <v>5625</v>
      </c>
      <c r="D173" s="264" t="s">
        <v>5626</v>
      </c>
      <c r="E173" s="265" t="s">
        <v>5310</v>
      </c>
      <c r="F173" s="268" t="s">
        <v>5612</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5513</v>
      </c>
      <c r="B174" s="260" t="s">
        <v>5609</v>
      </c>
      <c r="C174" s="261" t="s">
        <v>5627</v>
      </c>
      <c r="D174" s="264" t="s">
        <v>5628</v>
      </c>
      <c r="E174" s="265" t="s">
        <v>5377</v>
      </c>
      <c r="F174" s="268" t="s">
        <v>5612</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5513</v>
      </c>
      <c r="B175" s="260" t="s">
        <v>5609</v>
      </c>
      <c r="C175" s="261" t="s">
        <v>5629</v>
      </c>
      <c r="D175" s="264" t="s">
        <v>5630</v>
      </c>
      <c r="E175" s="265" t="s">
        <v>5310</v>
      </c>
      <c r="F175" s="268" t="s">
        <v>5612</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5513</v>
      </c>
      <c r="B176" s="260" t="s">
        <v>5609</v>
      </c>
      <c r="C176" s="261" t="s">
        <v>5631</v>
      </c>
      <c r="D176" s="264" t="s">
        <v>5632</v>
      </c>
      <c r="E176" s="265" t="s">
        <v>5281</v>
      </c>
      <c r="F176" s="268" t="s">
        <v>5612</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5513</v>
      </c>
      <c r="B177" s="260" t="s">
        <v>5609</v>
      </c>
      <c r="C177" s="261" t="s">
        <v>5633</v>
      </c>
      <c r="D177" s="264" t="s">
        <v>5634</v>
      </c>
      <c r="E177" s="265" t="s">
        <v>5281</v>
      </c>
      <c r="F177" s="268" t="s">
        <v>5612</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5513</v>
      </c>
      <c r="B178" s="260" t="s">
        <v>5609</v>
      </c>
      <c r="C178" s="261" t="s">
        <v>5635</v>
      </c>
      <c r="D178" s="264" t="s">
        <v>5636</v>
      </c>
      <c r="E178" s="265" t="s">
        <v>5310</v>
      </c>
      <c r="F178" s="268" t="s">
        <v>5612</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5513</v>
      </c>
      <c r="B179" s="260" t="s">
        <v>5609</v>
      </c>
      <c r="C179" s="261" t="s">
        <v>5637</v>
      </c>
      <c r="D179" s="264" t="s">
        <v>5638</v>
      </c>
      <c r="E179" s="265" t="s">
        <v>5425</v>
      </c>
      <c r="F179" s="268" t="s">
        <v>5612</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5513</v>
      </c>
      <c r="B180" s="260" t="s">
        <v>5609</v>
      </c>
      <c r="C180" s="261" t="s">
        <v>5639</v>
      </c>
      <c r="D180" s="264" t="s">
        <v>5640</v>
      </c>
      <c r="E180" s="265" t="s">
        <v>5425</v>
      </c>
      <c r="F180" s="268" t="s">
        <v>5612</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5513</v>
      </c>
      <c r="B181" s="259" t="s">
        <v>5641</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5513</v>
      </c>
      <c r="B182" s="260" t="s">
        <v>5641</v>
      </c>
      <c r="C182" s="261" t="s">
        <v>5642</v>
      </c>
      <c r="D182" s="264" t="s">
        <v>5643</v>
      </c>
      <c r="E182" s="265" t="s">
        <v>5281</v>
      </c>
      <c r="F182" s="268" t="s">
        <v>5644</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5513</v>
      </c>
      <c r="B183" s="260" t="s">
        <v>5641</v>
      </c>
      <c r="C183" s="261" t="s">
        <v>5645</v>
      </c>
      <c r="D183" s="264" t="s">
        <v>5646</v>
      </c>
      <c r="E183" s="265" t="s">
        <v>5281</v>
      </c>
      <c r="F183" s="268" t="s">
        <v>5644</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5513</v>
      </c>
      <c r="B184" s="260" t="s">
        <v>5641</v>
      </c>
      <c r="C184" s="261" t="s">
        <v>5647</v>
      </c>
      <c r="D184" s="264" t="s">
        <v>5648</v>
      </c>
      <c r="E184" s="265" t="s">
        <v>5281</v>
      </c>
      <c r="F184" s="268" t="s">
        <v>5644</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5513</v>
      </c>
      <c r="B185" s="260" t="s">
        <v>5641</v>
      </c>
      <c r="C185" s="261" t="s">
        <v>5649</v>
      </c>
      <c r="D185" s="264" t="s">
        <v>5650</v>
      </c>
      <c r="E185" s="265" t="s">
        <v>5281</v>
      </c>
      <c r="F185" s="268" t="s">
        <v>5644</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5513</v>
      </c>
      <c r="B186" s="260" t="s">
        <v>5641</v>
      </c>
      <c r="C186" s="261" t="s">
        <v>5651</v>
      </c>
      <c r="D186" s="264" t="s">
        <v>5652</v>
      </c>
      <c r="E186" s="265" t="s">
        <v>5281</v>
      </c>
      <c r="F186" s="268" t="s">
        <v>5644</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5513</v>
      </c>
      <c r="B187" s="260" t="s">
        <v>5641</v>
      </c>
      <c r="C187" s="261" t="s">
        <v>5653</v>
      </c>
      <c r="D187" s="264" t="s">
        <v>5654</v>
      </c>
      <c r="E187" s="265" t="s">
        <v>5310</v>
      </c>
      <c r="F187" s="268" t="s">
        <v>5644</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5513</v>
      </c>
      <c r="B188" s="260" t="s">
        <v>5641</v>
      </c>
      <c r="C188" s="261" t="s">
        <v>5655</v>
      </c>
      <c r="D188" s="264" t="s">
        <v>5656</v>
      </c>
      <c r="E188" s="265" t="s">
        <v>5310</v>
      </c>
      <c r="F188" s="268" t="s">
        <v>5644</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5513</v>
      </c>
      <c r="B189" s="260" t="s">
        <v>5641</v>
      </c>
      <c r="C189" s="261" t="s">
        <v>5657</v>
      </c>
      <c r="D189" s="264" t="s">
        <v>5658</v>
      </c>
      <c r="E189" s="265" t="s">
        <v>5310</v>
      </c>
      <c r="F189" s="268" t="s">
        <v>5644</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5513</v>
      </c>
      <c r="B190" s="260" t="s">
        <v>5641</v>
      </c>
      <c r="C190" s="261" t="s">
        <v>5659</v>
      </c>
      <c r="D190" s="264" t="s">
        <v>5660</v>
      </c>
      <c r="E190" s="265" t="s">
        <v>5310</v>
      </c>
      <c r="F190" s="268" t="s">
        <v>5644</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5513</v>
      </c>
      <c r="B191" s="260" t="s">
        <v>5641</v>
      </c>
      <c r="C191" s="261" t="s">
        <v>5661</v>
      </c>
      <c r="D191" s="264" t="s">
        <v>5662</v>
      </c>
      <c r="E191" s="265" t="s">
        <v>5281</v>
      </c>
      <c r="F191" s="268" t="s">
        <v>5644</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5513</v>
      </c>
      <c r="B192" s="260" t="s">
        <v>5641</v>
      </c>
      <c r="C192" s="261" t="s">
        <v>5663</v>
      </c>
      <c r="D192" s="264" t="s">
        <v>5664</v>
      </c>
      <c r="E192" s="265" t="s">
        <v>5281</v>
      </c>
      <c r="F192" s="268" t="s">
        <v>5644</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5513</v>
      </c>
      <c r="B193" s="260" t="s">
        <v>5641</v>
      </c>
      <c r="C193" s="261" t="s">
        <v>5665</v>
      </c>
      <c r="D193" s="264" t="s">
        <v>5666</v>
      </c>
      <c r="E193" s="265" t="s">
        <v>5281</v>
      </c>
      <c r="F193" s="268" t="s">
        <v>5644</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5513</v>
      </c>
      <c r="B194" s="260" t="s">
        <v>5641</v>
      </c>
      <c r="C194" s="261" t="s">
        <v>5667</v>
      </c>
      <c r="D194" s="264" t="s">
        <v>5668</v>
      </c>
      <c r="E194" s="265" t="s">
        <v>5281</v>
      </c>
      <c r="F194" s="268" t="s">
        <v>5644</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5513</v>
      </c>
      <c r="B195" s="260" t="s">
        <v>5641</v>
      </c>
      <c r="C195" s="261" t="s">
        <v>5669</v>
      </c>
      <c r="D195" s="264" t="s">
        <v>5670</v>
      </c>
      <c r="E195" s="265" t="s">
        <v>5281</v>
      </c>
      <c r="F195" s="268" t="s">
        <v>5644</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5513</v>
      </c>
      <c r="B196" s="260" t="s">
        <v>5641</v>
      </c>
      <c r="C196" s="261" t="s">
        <v>5671</v>
      </c>
      <c r="D196" s="264" t="s">
        <v>5672</v>
      </c>
      <c r="E196" s="265" t="s">
        <v>5281</v>
      </c>
      <c r="F196" s="268" t="s">
        <v>5673</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5513</v>
      </c>
      <c r="B197" s="260" t="s">
        <v>5641</v>
      </c>
      <c r="C197" s="261" t="s">
        <v>5674</v>
      </c>
      <c r="D197" s="264" t="s">
        <v>5675</v>
      </c>
      <c r="E197" s="265" t="s">
        <v>5281</v>
      </c>
      <c r="F197" s="268" t="s">
        <v>5673</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5513</v>
      </c>
      <c r="B198" s="260" t="s">
        <v>5641</v>
      </c>
      <c r="C198" s="261" t="s">
        <v>5676</v>
      </c>
      <c r="D198" s="264" t="s">
        <v>5677</v>
      </c>
      <c r="E198" s="265" t="s">
        <v>5281</v>
      </c>
      <c r="F198" s="268" t="s">
        <v>5673</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5513</v>
      </c>
      <c r="B199" s="260" t="s">
        <v>5641</v>
      </c>
      <c r="C199" s="261" t="s">
        <v>5678</v>
      </c>
      <c r="D199" s="264" t="s">
        <v>5679</v>
      </c>
      <c r="E199" s="265" t="s">
        <v>5281</v>
      </c>
      <c r="F199" s="268" t="s">
        <v>5673</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5680</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5680</v>
      </c>
      <c r="B201" s="259" t="s">
        <v>5681</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5680</v>
      </c>
      <c r="B202" s="260" t="s">
        <v>5681</v>
      </c>
      <c r="C202" s="261" t="s">
        <v>5682</v>
      </c>
      <c r="D202" s="264" t="s">
        <v>5683</v>
      </c>
      <c r="E202" s="265" t="s">
        <v>5560</v>
      </c>
      <c r="F202" s="268" t="s">
        <v>5684</v>
      </c>
      <c r="G202" s="271" t="str">
        <f>IF(COUNTIF(H202:AU202,"&lt;&gt;")=0,"",SUMPRODUCT(((Recommendations[ImplStatus]="Implemented")+(Recommendations[ImplStatus]="Compensated"))*ISNUMBER(MATCH(Recommendations[Id],H202:AU202,0)))/COUNTIF(H202:AU202,"&lt;&gt;"))</f>
        <v/>
      </c>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5680</v>
      </c>
      <c r="B203" s="260" t="s">
        <v>5681</v>
      </c>
      <c r="C203" s="261" t="s">
        <v>5685</v>
      </c>
      <c r="D203" s="264" t="s">
        <v>5686</v>
      </c>
      <c r="E203" s="265" t="s">
        <v>5560</v>
      </c>
      <c r="F203" s="268" t="s">
        <v>5684</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5680</v>
      </c>
      <c r="B204" s="260" t="s">
        <v>5681</v>
      </c>
      <c r="C204" s="261" t="s">
        <v>5687</v>
      </c>
      <c r="D204" s="264" t="s">
        <v>5688</v>
      </c>
      <c r="E204" s="265" t="s">
        <v>5560</v>
      </c>
      <c r="F204" s="268" t="s">
        <v>5684</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5680</v>
      </c>
      <c r="B205" s="260" t="s">
        <v>5681</v>
      </c>
      <c r="C205" s="261" t="s">
        <v>5689</v>
      </c>
      <c r="D205" s="264" t="s">
        <v>5690</v>
      </c>
      <c r="E205" s="265" t="s">
        <v>5560</v>
      </c>
      <c r="F205" s="268" t="s">
        <v>5684</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5680</v>
      </c>
      <c r="B206" s="260" t="s">
        <v>5681</v>
      </c>
      <c r="C206" s="261" t="s">
        <v>5691</v>
      </c>
      <c r="D206" s="264" t="s">
        <v>5692</v>
      </c>
      <c r="E206" s="265" t="s">
        <v>5560</v>
      </c>
      <c r="F206" s="268" t="s">
        <v>5684</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5680</v>
      </c>
      <c r="B207" s="260" t="s">
        <v>5681</v>
      </c>
      <c r="C207" s="261" t="s">
        <v>5693</v>
      </c>
      <c r="D207" s="264" t="s">
        <v>5694</v>
      </c>
      <c r="E207" s="265" t="s">
        <v>5425</v>
      </c>
      <c r="F207" s="268" t="s">
        <v>5684</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5680</v>
      </c>
      <c r="B208" s="260" t="s">
        <v>5681</v>
      </c>
      <c r="C208" s="261" t="s">
        <v>5695</v>
      </c>
      <c r="D208" s="264" t="s">
        <v>5696</v>
      </c>
      <c r="E208" s="265" t="s">
        <v>5425</v>
      </c>
      <c r="F208" s="268" t="s">
        <v>5684</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5680</v>
      </c>
      <c r="B209" s="260" t="s">
        <v>5681</v>
      </c>
      <c r="C209" s="261" t="s">
        <v>5697</v>
      </c>
      <c r="D209" s="264" t="s">
        <v>5698</v>
      </c>
      <c r="E209" s="265" t="s">
        <v>5560</v>
      </c>
      <c r="F209" s="268" t="s">
        <v>5684</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5680</v>
      </c>
      <c r="B210" s="260" t="s">
        <v>5681</v>
      </c>
      <c r="C210" s="261" t="s">
        <v>5699</v>
      </c>
      <c r="D210" s="264" t="s">
        <v>5700</v>
      </c>
      <c r="E210" s="265" t="s">
        <v>5310</v>
      </c>
      <c r="F210" s="268" t="s">
        <v>5701</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5680</v>
      </c>
      <c r="B211" s="260" t="s">
        <v>5681</v>
      </c>
      <c r="C211" s="261" t="s">
        <v>5702</v>
      </c>
      <c r="D211" s="264" t="s">
        <v>5703</v>
      </c>
      <c r="E211" s="265" t="s">
        <v>5310</v>
      </c>
      <c r="F211" s="268" t="s">
        <v>5701</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5680</v>
      </c>
      <c r="B212" s="260" t="s">
        <v>5681</v>
      </c>
      <c r="C212" s="261" t="s">
        <v>5704</v>
      </c>
      <c r="D212" s="264" t="s">
        <v>5705</v>
      </c>
      <c r="E212" s="265" t="s">
        <v>5377</v>
      </c>
      <c r="F212" s="268" t="s">
        <v>5706</v>
      </c>
      <c r="G212" s="271" t="str">
        <f>IF(COUNTIF(H212:AU212,"&lt;&gt;")=0,"",SUMPRODUCT(((Recommendations[ImplStatus]="Implemented")+(Recommendations[ImplStatus]="Compensated"))*ISNUMBER(MATCH(Recommendations[Id],H212:AU212,0)))/COUNTIF(H212:AU212,"&lt;&gt;"))</f>
        <v/>
      </c>
      <c r="H212" s="272"/>
      <c r="I212" s="272"/>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5680</v>
      </c>
      <c r="B213" s="260" t="s">
        <v>5681</v>
      </c>
      <c r="C213" s="261" t="s">
        <v>5707</v>
      </c>
      <c r="D213" s="264" t="s">
        <v>5708</v>
      </c>
      <c r="E213" s="265" t="s">
        <v>5310</v>
      </c>
      <c r="F213" s="268" t="s">
        <v>5709</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5680</v>
      </c>
      <c r="B214" s="260" t="s">
        <v>5681</v>
      </c>
      <c r="C214" s="261" t="s">
        <v>5710</v>
      </c>
      <c r="D214" s="264" t="s">
        <v>5711</v>
      </c>
      <c r="E214" s="265" t="s">
        <v>5377</v>
      </c>
      <c r="F214" s="268" t="s">
        <v>5712</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5680</v>
      </c>
      <c r="B215" s="260" t="s">
        <v>5681</v>
      </c>
      <c r="C215" s="261" t="s">
        <v>5713</v>
      </c>
      <c r="D215" s="264" t="s">
        <v>5714</v>
      </c>
      <c r="E215" s="265" t="s">
        <v>5281</v>
      </c>
      <c r="F215" s="268" t="s">
        <v>5712</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5680</v>
      </c>
      <c r="B216" s="260" t="s">
        <v>5681</v>
      </c>
      <c r="C216" s="261" t="s">
        <v>5715</v>
      </c>
      <c r="D216" s="264" t="s">
        <v>5716</v>
      </c>
      <c r="E216" s="265" t="s">
        <v>5281</v>
      </c>
      <c r="F216" s="268" t="s">
        <v>5712</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5680</v>
      </c>
      <c r="B217" s="260" t="s">
        <v>5681</v>
      </c>
      <c r="C217" s="261" t="s">
        <v>5717</v>
      </c>
      <c r="D217" s="264" t="s">
        <v>5718</v>
      </c>
      <c r="E217" s="265" t="s">
        <v>5310</v>
      </c>
      <c r="F217" s="268" t="s">
        <v>5712</v>
      </c>
      <c r="G217" s="271" t="str">
        <f>IF(COUNTIF(H217:AU217,"&lt;&gt;")=0,"",SUMPRODUCT(((Recommendations[ImplStatus]="Implemented")+(Recommendations[ImplStatus]="Compensated"))*ISNUMBER(MATCH(Recommendations[Id],H217:AU217,0)))/COUNTIF(H217:AU217,"&lt;&gt;"))</f>
        <v/>
      </c>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5680</v>
      </c>
      <c r="B218" s="260" t="s">
        <v>5681</v>
      </c>
      <c r="C218" s="261" t="s">
        <v>5719</v>
      </c>
      <c r="D218" s="264" t="s">
        <v>5720</v>
      </c>
      <c r="E218" s="265" t="s">
        <v>5310</v>
      </c>
      <c r="F218" s="268" t="s">
        <v>5712</v>
      </c>
      <c r="G218" s="271" t="str">
        <f>IF(COUNTIF(H218:AU218,"&lt;&gt;")=0,"",SUMPRODUCT(((Recommendations[ImplStatus]="Implemented")+(Recommendations[ImplStatus]="Compensated"))*ISNUMBER(MATCH(Recommendations[Id],H218:AU218,0)))/COUNTIF(H218:AU218,"&lt;&gt;"))</f>
        <v/>
      </c>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5680</v>
      </c>
      <c r="B219" s="260" t="s">
        <v>5681</v>
      </c>
      <c r="C219" s="261" t="s">
        <v>5721</v>
      </c>
      <c r="D219" s="264" t="s">
        <v>5722</v>
      </c>
      <c r="E219" s="265" t="s">
        <v>5310</v>
      </c>
      <c r="F219" s="268" t="s">
        <v>5712</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5680</v>
      </c>
      <c r="B220" s="260" t="s">
        <v>5681</v>
      </c>
      <c r="C220" s="261" t="s">
        <v>5723</v>
      </c>
      <c r="D220" s="264" t="s">
        <v>5724</v>
      </c>
      <c r="E220" s="265" t="s">
        <v>5310</v>
      </c>
      <c r="F220" s="268" t="s">
        <v>5712</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5680</v>
      </c>
      <c r="B221" s="259" t="s">
        <v>5725</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5680</v>
      </c>
      <c r="B222" s="260" t="s">
        <v>5725</v>
      </c>
      <c r="C222" s="261" t="s">
        <v>5726</v>
      </c>
      <c r="D222" s="264" t="s">
        <v>5727</v>
      </c>
      <c r="E222" s="265" t="s">
        <v>5377</v>
      </c>
      <c r="F222" s="268" t="s">
        <v>5728</v>
      </c>
      <c r="G222" s="271" t="str">
        <f>IF(COUNTIF(H222:AU222,"&lt;&gt;")=0,"",SUMPRODUCT(((Recommendations[ImplStatus]="Implemented")+(Recommendations[ImplStatus]="Compensated"))*ISNUMBER(MATCH(Recommendations[Id],H222:AU222,0)))/COUNTIF(H222:AU222,"&lt;&gt;"))</f>
        <v/>
      </c>
      <c r="H222" s="272"/>
      <c r="I222" s="272"/>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5680</v>
      </c>
      <c r="B223" s="260" t="s">
        <v>5725</v>
      </c>
      <c r="C223" s="261" t="s">
        <v>5729</v>
      </c>
      <c r="D223" s="264" t="s">
        <v>5730</v>
      </c>
      <c r="E223" s="265" t="s">
        <v>5377</v>
      </c>
      <c r="F223" s="268" t="s">
        <v>5728</v>
      </c>
      <c r="G223" s="271">
        <f>IF(COUNTIF(H223:AU223,"&lt;&gt;")=0,"",SUMPRODUCT(((Recommendations[ImplStatus]="Implemented")+(Recommendations[ImplStatus]="Compensated"))*ISNUMBER(MATCH(Recommendations[Id],H223:AU223,0)))/COUNTIF(H223:AU223,"&lt;&gt;"))</f>
        <v>0</v>
      </c>
      <c r="H223" s="272" t="s">
        <v>133</v>
      </c>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5680</v>
      </c>
      <c r="B224" s="260" t="s">
        <v>5725</v>
      </c>
      <c r="C224" s="261" t="s">
        <v>5731</v>
      </c>
      <c r="D224" s="264" t="s">
        <v>5732</v>
      </c>
      <c r="E224" s="265" t="s">
        <v>5377</v>
      </c>
      <c r="F224" s="268" t="s">
        <v>5728</v>
      </c>
      <c r="G224" s="271" t="str">
        <f>IF(COUNTIF(H224:AU224,"&lt;&gt;")=0,"",SUMPRODUCT(((Recommendations[ImplStatus]="Implemented")+(Recommendations[ImplStatus]="Compensated"))*ISNUMBER(MATCH(Recommendations[Id],H224:AU224,0)))/COUNTIF(H224:AU224,"&lt;&gt;"))</f>
        <v/>
      </c>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5680</v>
      </c>
      <c r="B225" s="260" t="s">
        <v>5725</v>
      </c>
      <c r="C225" s="261" t="s">
        <v>5733</v>
      </c>
      <c r="D225" s="264" t="s">
        <v>5734</v>
      </c>
      <c r="E225" s="265" t="s">
        <v>5377</v>
      </c>
      <c r="F225" s="268" t="s">
        <v>5728</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5680</v>
      </c>
      <c r="B226" s="260" t="s">
        <v>5725</v>
      </c>
      <c r="C226" s="261" t="s">
        <v>5735</v>
      </c>
      <c r="D226" s="264" t="s">
        <v>5736</v>
      </c>
      <c r="E226" s="265" t="s">
        <v>5377</v>
      </c>
      <c r="F226" s="268" t="s">
        <v>5728</v>
      </c>
      <c r="G226" s="271" t="str">
        <f>IF(COUNTIF(H226:AU226,"&lt;&gt;")=0,"",SUMPRODUCT(((Recommendations[ImplStatus]="Implemented")+(Recommendations[ImplStatus]="Compensated"))*ISNUMBER(MATCH(Recommendations[Id],H226:AU226,0)))/COUNTIF(H226:AU226,"&lt;&gt;"))</f>
        <v/>
      </c>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5680</v>
      </c>
      <c r="B227" s="260" t="s">
        <v>5725</v>
      </c>
      <c r="C227" s="261" t="s">
        <v>5737</v>
      </c>
      <c r="D227" s="264" t="s">
        <v>5738</v>
      </c>
      <c r="E227" s="265" t="s">
        <v>5377</v>
      </c>
      <c r="F227" s="268" t="s">
        <v>5728</v>
      </c>
      <c r="G227" s="271" t="str">
        <f>IF(COUNTIF(H227:AU227,"&lt;&gt;")=0,"",SUMPRODUCT(((Recommendations[ImplStatus]="Implemented")+(Recommendations[ImplStatus]="Compensated"))*ISNUMBER(MATCH(Recommendations[Id],H227:AU227,0)))/COUNTIF(H227:AU227,"&lt;&gt;"))</f>
        <v/>
      </c>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5680</v>
      </c>
      <c r="B228" s="260" t="s">
        <v>5725</v>
      </c>
      <c r="C228" s="261" t="s">
        <v>5739</v>
      </c>
      <c r="D228" s="264" t="s">
        <v>5740</v>
      </c>
      <c r="E228" s="265" t="s">
        <v>5377</v>
      </c>
      <c r="F228" s="268" t="s">
        <v>5728</v>
      </c>
      <c r="G228" s="271" t="str">
        <f>IF(COUNTIF(H228:AU228,"&lt;&gt;")=0,"",SUMPRODUCT(((Recommendations[ImplStatus]="Implemented")+(Recommendations[ImplStatus]="Compensated"))*ISNUMBER(MATCH(Recommendations[Id],H228:AU228,0)))/COUNTIF(H228:AU228,"&lt;&gt;"))</f>
        <v/>
      </c>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5680</v>
      </c>
      <c r="B229" s="260" t="s">
        <v>5725</v>
      </c>
      <c r="C229" s="261" t="s">
        <v>5741</v>
      </c>
      <c r="D229" s="264" t="s">
        <v>5742</v>
      </c>
      <c r="E229" s="265" t="s">
        <v>5281</v>
      </c>
      <c r="F229" s="268" t="s">
        <v>5728</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5680</v>
      </c>
      <c r="B230" s="260" t="s">
        <v>5725</v>
      </c>
      <c r="C230" s="261" t="s">
        <v>5743</v>
      </c>
      <c r="D230" s="264" t="s">
        <v>5744</v>
      </c>
      <c r="E230" s="265" t="s">
        <v>5281</v>
      </c>
      <c r="F230" s="268" t="s">
        <v>5728</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5680</v>
      </c>
      <c r="B231" s="260" t="s">
        <v>5725</v>
      </c>
      <c r="C231" s="261" t="s">
        <v>5745</v>
      </c>
      <c r="D231" s="264" t="s">
        <v>5746</v>
      </c>
      <c r="E231" s="265" t="s">
        <v>5377</v>
      </c>
      <c r="F231" s="268" t="s">
        <v>5747</v>
      </c>
      <c r="G231" s="271" t="str">
        <f>IF(COUNTIF(H231:AU231,"&lt;&gt;")=0,"",SUMPRODUCT(((Recommendations[ImplStatus]="Implemented")+(Recommendations[ImplStatus]="Compensated"))*ISNUMBER(MATCH(Recommendations[Id],H231:AU231,0)))/COUNTIF(H231:AU231,"&lt;&gt;"))</f>
        <v/>
      </c>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5680</v>
      </c>
      <c r="B232" s="260" t="s">
        <v>5725</v>
      </c>
      <c r="C232" s="261" t="s">
        <v>5748</v>
      </c>
      <c r="D232" s="264" t="s">
        <v>5749</v>
      </c>
      <c r="E232" s="265" t="s">
        <v>5377</v>
      </c>
      <c r="F232" s="268" t="s">
        <v>5747</v>
      </c>
      <c r="G232" s="271" t="str">
        <f>IF(COUNTIF(H232:AU232,"&lt;&gt;")=0,"",SUMPRODUCT(((Recommendations[ImplStatus]="Implemented")+(Recommendations[ImplStatus]="Compensated"))*ISNUMBER(MATCH(Recommendations[Id],H232:AU232,0)))/COUNTIF(H232:AU232,"&lt;&gt;"))</f>
        <v/>
      </c>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5680</v>
      </c>
      <c r="B233" s="260" t="s">
        <v>5725</v>
      </c>
      <c r="C233" s="261" t="s">
        <v>5750</v>
      </c>
      <c r="D233" s="264" t="s">
        <v>5751</v>
      </c>
      <c r="E233" s="265" t="s">
        <v>5310</v>
      </c>
      <c r="F233" s="268" t="s">
        <v>5747</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5680</v>
      </c>
      <c r="B234" s="260" t="s">
        <v>5725</v>
      </c>
      <c r="C234" s="261" t="s">
        <v>5752</v>
      </c>
      <c r="D234" s="264" t="s">
        <v>5753</v>
      </c>
      <c r="E234" s="265" t="s">
        <v>5310</v>
      </c>
      <c r="F234" s="268" t="s">
        <v>5747</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5680</v>
      </c>
      <c r="B235" s="260" t="s">
        <v>5725</v>
      </c>
      <c r="C235" s="261" t="s">
        <v>5754</v>
      </c>
      <c r="D235" s="264" t="s">
        <v>5755</v>
      </c>
      <c r="E235" s="265" t="s">
        <v>5377</v>
      </c>
      <c r="F235" s="268" t="s">
        <v>5747</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5680</v>
      </c>
      <c r="B236" s="260" t="s">
        <v>5725</v>
      </c>
      <c r="C236" s="261" t="s">
        <v>5756</v>
      </c>
      <c r="D236" s="264" t="s">
        <v>5757</v>
      </c>
      <c r="E236" s="265" t="s">
        <v>5310</v>
      </c>
      <c r="F236" s="268" t="s">
        <v>5747</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5680</v>
      </c>
      <c r="B237" s="259" t="s">
        <v>1914</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5680</v>
      </c>
      <c r="B238" s="260" t="s">
        <v>1914</v>
      </c>
      <c r="C238" s="261" t="s">
        <v>5758</v>
      </c>
      <c r="D238" s="264" t="s">
        <v>5759</v>
      </c>
      <c r="E238" s="265" t="s">
        <v>5281</v>
      </c>
      <c r="F238" s="268" t="s">
        <v>5760</v>
      </c>
      <c r="G238" s="271">
        <f>IF(COUNTIF(H238:AU238,"&lt;&gt;")=0,"",SUMPRODUCT(((Recommendations[ImplStatus]="Implemented")+(Recommendations[ImplStatus]="Compensated"))*ISNUMBER(MATCH(Recommendations[Id],H238:AU238,0)))/COUNTIF(H238:AU238,"&lt;&gt;"))</f>
        <v>0</v>
      </c>
      <c r="H238" s="272" t="s">
        <v>143</v>
      </c>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5680</v>
      </c>
      <c r="B239" s="260" t="s">
        <v>1914</v>
      </c>
      <c r="C239" s="261" t="s">
        <v>5761</v>
      </c>
      <c r="D239" s="264" t="s">
        <v>5762</v>
      </c>
      <c r="E239" s="265" t="s">
        <v>5281</v>
      </c>
      <c r="F239" s="268" t="s">
        <v>5760</v>
      </c>
      <c r="G239" s="271">
        <f>IF(COUNTIF(H239:AU239,"&lt;&gt;")=0,"",SUMPRODUCT(((Recommendations[ImplStatus]="Implemented")+(Recommendations[ImplStatus]="Compensated"))*ISNUMBER(MATCH(Recommendations[Id],H239:AU239,0)))/COUNTIF(H239:AU239,"&lt;&gt;"))</f>
        <v>0</v>
      </c>
      <c r="H239" s="272" t="s">
        <v>133</v>
      </c>
      <c r="I239" s="272"/>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5680</v>
      </c>
      <c r="B240" s="260" t="s">
        <v>1914</v>
      </c>
      <c r="C240" s="261" t="s">
        <v>5763</v>
      </c>
      <c r="D240" s="264" t="s">
        <v>5764</v>
      </c>
      <c r="E240" s="265" t="s">
        <v>5281</v>
      </c>
      <c r="F240" s="268" t="s">
        <v>5760</v>
      </c>
      <c r="G240" s="271">
        <f>IF(COUNTIF(H240:AU240,"&lt;&gt;")=0,"",SUMPRODUCT(((Recommendations[ImplStatus]="Implemented")+(Recommendations[ImplStatus]="Compensated"))*ISNUMBER(MATCH(Recommendations[Id],H240:AU240,0)))/COUNTIF(H240:AU240,"&lt;&gt;"))</f>
        <v>0</v>
      </c>
      <c r="H240" s="272" t="s">
        <v>14</v>
      </c>
      <c r="I240" s="272" t="s">
        <v>153</v>
      </c>
      <c r="J240" s="272" t="s">
        <v>291</v>
      </c>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5680</v>
      </c>
      <c r="B241" s="260" t="s">
        <v>1914</v>
      </c>
      <c r="C241" s="261" t="s">
        <v>5765</v>
      </c>
      <c r="D241" s="264" t="s">
        <v>5766</v>
      </c>
      <c r="E241" s="265" t="s">
        <v>5281</v>
      </c>
      <c r="F241" s="268" t="s">
        <v>5760</v>
      </c>
      <c r="G241" s="271">
        <f>IF(COUNTIF(H241:AU241,"&lt;&gt;")=0,"",SUMPRODUCT(((Recommendations[ImplStatus]="Implemented")+(Recommendations[ImplStatus]="Compensated"))*ISNUMBER(MATCH(Recommendations[Id],H241:AU241,0)))/COUNTIF(H241:AU241,"&lt;&gt;"))</f>
        <v>0</v>
      </c>
      <c r="H241" s="272" t="s">
        <v>153</v>
      </c>
      <c r="I241" s="272" t="s">
        <v>291</v>
      </c>
      <c r="J241" s="272"/>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5680</v>
      </c>
      <c r="B242" s="260" t="s">
        <v>1914</v>
      </c>
      <c r="C242" s="261" t="s">
        <v>5767</v>
      </c>
      <c r="D242" s="264" t="s">
        <v>5768</v>
      </c>
      <c r="E242" s="265" t="s">
        <v>5281</v>
      </c>
      <c r="F242" s="268" t="s">
        <v>5760</v>
      </c>
      <c r="G242" s="271">
        <f>IF(COUNTIF(H242:AU242,"&lt;&gt;")=0,"",SUMPRODUCT(((Recommendations[ImplStatus]="Implemented")+(Recommendations[ImplStatus]="Compensated"))*ISNUMBER(MATCH(Recommendations[Id],H242:AU242,0)))/COUNTIF(H242:AU242,"&lt;&gt;"))</f>
        <v>0</v>
      </c>
      <c r="H242" s="272" t="s">
        <v>348</v>
      </c>
      <c r="I242" s="272" t="s">
        <v>353</v>
      </c>
      <c r="J242" s="272"/>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5680</v>
      </c>
      <c r="B243" s="260" t="s">
        <v>1914</v>
      </c>
      <c r="C243" s="261" t="s">
        <v>5769</v>
      </c>
      <c r="D243" s="264" t="s">
        <v>5770</v>
      </c>
      <c r="E243" s="265" t="s">
        <v>5281</v>
      </c>
      <c r="F243" s="268" t="s">
        <v>5760</v>
      </c>
      <c r="G243" s="271" t="str">
        <f>IF(COUNTIF(H243:AU243,"&lt;&gt;")=0,"",SUMPRODUCT(((Recommendations[ImplStatus]="Implemented")+(Recommendations[ImplStatus]="Compensated"))*ISNUMBER(MATCH(Recommendations[Id],H243:AU243,0)))/COUNTIF(H243:AU243,"&lt;&gt;"))</f>
        <v/>
      </c>
      <c r="H243" s="272"/>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5680</v>
      </c>
      <c r="B244" s="260" t="s">
        <v>1914</v>
      </c>
      <c r="C244" s="261" t="s">
        <v>5771</v>
      </c>
      <c r="D244" s="264" t="s">
        <v>5772</v>
      </c>
      <c r="E244" s="265" t="s">
        <v>5281</v>
      </c>
      <c r="F244" s="268" t="s">
        <v>5760</v>
      </c>
      <c r="G244" s="271" t="str">
        <f>IF(COUNTIF(H244:AU244,"&lt;&gt;")=0,"",SUMPRODUCT(((Recommendations[ImplStatus]="Implemented")+(Recommendations[ImplStatus]="Compensated"))*ISNUMBER(MATCH(Recommendations[Id],H244:AU244,0)))/COUNTIF(H244:AU244,"&lt;&gt;"))</f>
        <v/>
      </c>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5680</v>
      </c>
      <c r="B245" s="260" t="s">
        <v>1914</v>
      </c>
      <c r="C245" s="261" t="s">
        <v>5773</v>
      </c>
      <c r="D245" s="264" t="s">
        <v>5774</v>
      </c>
      <c r="E245" s="265" t="s">
        <v>5281</v>
      </c>
      <c r="F245" s="268" t="s">
        <v>5760</v>
      </c>
      <c r="G245" s="271" t="str">
        <f>IF(COUNTIF(H245:AU245,"&lt;&gt;")=0,"",SUMPRODUCT(((Recommendations[ImplStatus]="Implemented")+(Recommendations[ImplStatus]="Compensated"))*ISNUMBER(MATCH(Recommendations[Id],H245:AU245,0)))/COUNTIF(H245:AU245,"&lt;&gt;"))</f>
        <v/>
      </c>
      <c r="H245" s="272"/>
      <c r="I245" s="272"/>
      <c r="J245" s="272"/>
      <c r="K245" s="272"/>
      <c r="L245" s="272"/>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5680</v>
      </c>
      <c r="B246" s="260" t="s">
        <v>1914</v>
      </c>
      <c r="C246" s="261" t="s">
        <v>5775</v>
      </c>
      <c r="D246" s="264" t="s">
        <v>5776</v>
      </c>
      <c r="E246" s="265" t="s">
        <v>5281</v>
      </c>
      <c r="F246" s="268" t="s">
        <v>5760</v>
      </c>
      <c r="G246" s="271" t="str">
        <f>IF(COUNTIF(H246:AU246,"&lt;&gt;")=0,"",SUMPRODUCT(((Recommendations[ImplStatus]="Implemented")+(Recommendations[ImplStatus]="Compensated"))*ISNUMBER(MATCH(Recommendations[Id],H246:AU246,0)))/COUNTIF(H246:AU246,"&lt;&gt;"))</f>
        <v/>
      </c>
      <c r="H246" s="272"/>
      <c r="I246" s="272"/>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5680</v>
      </c>
      <c r="B247" s="260" t="s">
        <v>1914</v>
      </c>
      <c r="C247" s="261" t="s">
        <v>5777</v>
      </c>
      <c r="D247" s="264" t="s">
        <v>5778</v>
      </c>
      <c r="E247" s="265" t="s">
        <v>5281</v>
      </c>
      <c r="F247" s="268" t="s">
        <v>5760</v>
      </c>
      <c r="G247" s="271" t="str">
        <f>IF(COUNTIF(H247:AU247,"&lt;&gt;")=0,"",SUMPRODUCT(((Recommendations[ImplStatus]="Implemented")+(Recommendations[ImplStatus]="Compensated"))*ISNUMBER(MATCH(Recommendations[Id],H247:AU247,0)))/COUNTIF(H247:AU247,"&lt;&gt;"))</f>
        <v/>
      </c>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5680</v>
      </c>
      <c r="B248" s="260" t="s">
        <v>1914</v>
      </c>
      <c r="C248" s="261" t="s">
        <v>5779</v>
      </c>
      <c r="D248" s="264" t="s">
        <v>5780</v>
      </c>
      <c r="E248" s="265" t="s">
        <v>5310</v>
      </c>
      <c r="F248" s="268" t="s">
        <v>5760</v>
      </c>
      <c r="G248" s="271" t="str">
        <f>IF(COUNTIF(H248:AU248,"&lt;&gt;")=0,"",SUMPRODUCT(((Recommendations[ImplStatus]="Implemented")+(Recommendations[ImplStatus]="Compensated"))*ISNUMBER(MATCH(Recommendations[Id],H248:AU248,0)))/COUNTIF(H248:AU248,"&lt;&gt;"))</f>
        <v/>
      </c>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5680</v>
      </c>
      <c r="B249" s="260" t="s">
        <v>1914</v>
      </c>
      <c r="C249" s="261" t="s">
        <v>5781</v>
      </c>
      <c r="D249" s="264" t="s">
        <v>5782</v>
      </c>
      <c r="E249" s="265" t="s">
        <v>5310</v>
      </c>
      <c r="F249" s="268" t="s">
        <v>5783</v>
      </c>
      <c r="G249" s="271" t="str">
        <f>IF(COUNTIF(H249:AU249,"&lt;&gt;")=0,"",SUMPRODUCT(((Recommendations[ImplStatus]="Implemented")+(Recommendations[ImplStatus]="Compensated"))*ISNUMBER(MATCH(Recommendations[Id],H249:AU249,0)))/COUNTIF(H249:AU249,"&lt;&gt;"))</f>
        <v/>
      </c>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5680</v>
      </c>
      <c r="B250" s="260" t="s">
        <v>1914</v>
      </c>
      <c r="C250" s="261" t="s">
        <v>5784</v>
      </c>
      <c r="D250" s="264" t="s">
        <v>5785</v>
      </c>
      <c r="E250" s="265" t="s">
        <v>5310</v>
      </c>
      <c r="F250" s="268" t="s">
        <v>5783</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5680</v>
      </c>
      <c r="B251" s="259" t="s">
        <v>5786</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5680</v>
      </c>
      <c r="B252" s="260" t="s">
        <v>5786</v>
      </c>
      <c r="C252" s="261" t="s">
        <v>5787</v>
      </c>
      <c r="D252" s="264" t="s">
        <v>5788</v>
      </c>
      <c r="E252" s="265" t="s">
        <v>5377</v>
      </c>
      <c r="F252" s="268" t="s">
        <v>5789</v>
      </c>
      <c r="G252" s="271" t="str">
        <f>IF(COUNTIF(H252:AU252,"&lt;&gt;")=0,"",SUMPRODUCT(((Recommendations[ImplStatus]="Implemented")+(Recommendations[ImplStatus]="Compensated"))*ISNUMBER(MATCH(Recommendations[Id],H252:AU252,0)))/COUNTIF(H252:AU252,"&lt;&gt;"))</f>
        <v/>
      </c>
      <c r="H252" s="272"/>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5680</v>
      </c>
      <c r="B253" s="260" t="s">
        <v>5786</v>
      </c>
      <c r="C253" s="261" t="s">
        <v>5790</v>
      </c>
      <c r="D253" s="264" t="s">
        <v>5791</v>
      </c>
      <c r="E253" s="265" t="s">
        <v>5377</v>
      </c>
      <c r="F253" s="268" t="s">
        <v>5789</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5680</v>
      </c>
      <c r="B254" s="260" t="s">
        <v>5786</v>
      </c>
      <c r="C254" s="261" t="s">
        <v>5792</v>
      </c>
      <c r="D254" s="264" t="s">
        <v>5793</v>
      </c>
      <c r="E254" s="265" t="s">
        <v>5377</v>
      </c>
      <c r="F254" s="268" t="s">
        <v>5789</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5680</v>
      </c>
      <c r="B255" s="260" t="s">
        <v>5786</v>
      </c>
      <c r="C255" s="261" t="s">
        <v>5794</v>
      </c>
      <c r="D255" s="264" t="s">
        <v>5795</v>
      </c>
      <c r="E255" s="265" t="s">
        <v>5377</v>
      </c>
      <c r="F255" s="268" t="s">
        <v>5789</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5680</v>
      </c>
      <c r="B256" s="260" t="s">
        <v>5786</v>
      </c>
      <c r="C256" s="261" t="s">
        <v>5796</v>
      </c>
      <c r="D256" s="264" t="s">
        <v>5797</v>
      </c>
      <c r="E256" s="265" t="s">
        <v>5377</v>
      </c>
      <c r="F256" s="268" t="s">
        <v>5789</v>
      </c>
      <c r="G256" s="271" t="str">
        <f>IF(COUNTIF(H256:AU256,"&lt;&gt;")=0,"",SUMPRODUCT(((Recommendations[ImplStatus]="Implemented")+(Recommendations[ImplStatus]="Compensated"))*ISNUMBER(MATCH(Recommendations[Id],H256:AU256,0)))/COUNTIF(H256:AU256,"&lt;&gt;"))</f>
        <v/>
      </c>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5680</v>
      </c>
      <c r="B257" s="260" t="s">
        <v>5786</v>
      </c>
      <c r="C257" s="261" t="s">
        <v>5798</v>
      </c>
      <c r="D257" s="264" t="s">
        <v>5799</v>
      </c>
      <c r="E257" s="265" t="s">
        <v>5281</v>
      </c>
      <c r="F257" s="268" t="s">
        <v>5789</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5680</v>
      </c>
      <c r="B258" s="260" t="s">
        <v>5786</v>
      </c>
      <c r="C258" s="261" t="s">
        <v>5800</v>
      </c>
      <c r="D258" s="264" t="s">
        <v>5801</v>
      </c>
      <c r="E258" s="265" t="s">
        <v>5281</v>
      </c>
      <c r="F258" s="268" t="s">
        <v>5789</v>
      </c>
      <c r="G258" s="271" t="str">
        <f>IF(COUNTIF(H258:AU258,"&lt;&gt;")=0,"",SUMPRODUCT(((Recommendations[ImplStatus]="Implemented")+(Recommendations[ImplStatus]="Compensated"))*ISNUMBER(MATCH(Recommendations[Id],H258:AU258,0)))/COUNTIF(H258:AU258,"&lt;&gt;"))</f>
        <v/>
      </c>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5680</v>
      </c>
      <c r="B259" s="260" t="s">
        <v>5786</v>
      </c>
      <c r="C259" s="261" t="s">
        <v>5802</v>
      </c>
      <c r="D259" s="264" t="s">
        <v>5803</v>
      </c>
      <c r="E259" s="265" t="s">
        <v>5281</v>
      </c>
      <c r="F259" s="268" t="s">
        <v>5789</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5680</v>
      </c>
      <c r="B260" s="260" t="s">
        <v>5786</v>
      </c>
      <c r="C260" s="261" t="s">
        <v>5804</v>
      </c>
      <c r="D260" s="264" t="s">
        <v>5805</v>
      </c>
      <c r="E260" s="265" t="s">
        <v>5281</v>
      </c>
      <c r="F260" s="268" t="s">
        <v>5789</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5680</v>
      </c>
      <c r="B261" s="260" t="s">
        <v>5786</v>
      </c>
      <c r="C261" s="261" t="s">
        <v>5806</v>
      </c>
      <c r="D261" s="264" t="s">
        <v>5807</v>
      </c>
      <c r="E261" s="265" t="s">
        <v>5425</v>
      </c>
      <c r="F261" s="268" t="s">
        <v>5789</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5680</v>
      </c>
      <c r="B262" s="260" t="s">
        <v>5786</v>
      </c>
      <c r="C262" s="261" t="s">
        <v>5808</v>
      </c>
      <c r="D262" s="264" t="s">
        <v>5809</v>
      </c>
      <c r="E262" s="265" t="s">
        <v>5425</v>
      </c>
      <c r="F262" s="268" t="s">
        <v>5789</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5680</v>
      </c>
      <c r="B263" s="260" t="s">
        <v>5786</v>
      </c>
      <c r="C263" s="261" t="s">
        <v>5810</v>
      </c>
      <c r="D263" s="264" t="s">
        <v>5811</v>
      </c>
      <c r="E263" s="265" t="s">
        <v>5425</v>
      </c>
      <c r="F263" s="268" t="s">
        <v>5789</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5680</v>
      </c>
      <c r="B264" s="259" t="s">
        <v>5812</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5680</v>
      </c>
      <c r="B265" s="260" t="s">
        <v>5812</v>
      </c>
      <c r="C265" s="261" t="s">
        <v>5813</v>
      </c>
      <c r="D265" s="264" t="s">
        <v>5814</v>
      </c>
      <c r="E265" s="265" t="s">
        <v>5310</v>
      </c>
      <c r="F265" s="268" t="s">
        <v>5815</v>
      </c>
      <c r="G265" s="271" t="str">
        <f>IF(COUNTIF(H265:AU265,"&lt;&gt;")=0,"",SUMPRODUCT(((Recommendations[ImplStatus]="Implemented")+(Recommendations[ImplStatus]="Compensated"))*ISNUMBER(MATCH(Recommendations[Id],H265:AU265,0)))/COUNTIF(H265:AU265,"&lt;&gt;"))</f>
        <v/>
      </c>
      <c r="H265" s="272"/>
      <c r="I265" s="272"/>
      <c r="J265" s="272"/>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5680</v>
      </c>
      <c r="B266" s="260" t="s">
        <v>5812</v>
      </c>
      <c r="C266" s="261" t="s">
        <v>5816</v>
      </c>
      <c r="D266" s="264" t="s">
        <v>5817</v>
      </c>
      <c r="E266" s="265" t="s">
        <v>5310</v>
      </c>
      <c r="F266" s="268" t="s">
        <v>5815</v>
      </c>
      <c r="G266" s="271" t="str">
        <f>IF(COUNTIF(H266:AU266,"&lt;&gt;")=0,"",SUMPRODUCT(((Recommendations[ImplStatus]="Implemented")+(Recommendations[ImplStatus]="Compensated"))*ISNUMBER(MATCH(Recommendations[Id],H266:AU266,0)))/COUNTIF(H266:AU266,"&lt;&gt;"))</f>
        <v/>
      </c>
      <c r="H266" s="272"/>
      <c r="I266" s="272"/>
      <c r="J266" s="272"/>
      <c r="K266" s="272"/>
      <c r="L266" s="272"/>
      <c r="M266" s="272"/>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5680</v>
      </c>
      <c r="B267" s="260" t="s">
        <v>5812</v>
      </c>
      <c r="C267" s="261" t="s">
        <v>5818</v>
      </c>
      <c r="D267" s="264" t="s">
        <v>5819</v>
      </c>
      <c r="E267" s="265" t="s">
        <v>5310</v>
      </c>
      <c r="F267" s="268" t="s">
        <v>5815</v>
      </c>
      <c r="G267" s="271" t="str">
        <f>IF(COUNTIF(H267:AU267,"&lt;&gt;")=0,"",SUMPRODUCT(((Recommendations[ImplStatus]="Implemented")+(Recommendations[ImplStatus]="Compensated"))*ISNUMBER(MATCH(Recommendations[Id],H267:AU267,0)))/COUNTIF(H267:AU267,"&lt;&gt;"))</f>
        <v/>
      </c>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5680</v>
      </c>
      <c r="B268" s="260" t="s">
        <v>5812</v>
      </c>
      <c r="C268" s="261" t="s">
        <v>5820</v>
      </c>
      <c r="D268" s="264" t="s">
        <v>5821</v>
      </c>
      <c r="E268" s="265" t="s">
        <v>5310</v>
      </c>
      <c r="F268" s="268" t="s">
        <v>5815</v>
      </c>
      <c r="G268" s="271" t="str">
        <f>IF(COUNTIF(H268:AU268,"&lt;&gt;")=0,"",SUMPRODUCT(((Recommendations[ImplStatus]="Implemented")+(Recommendations[ImplStatus]="Compensated"))*ISNUMBER(MATCH(Recommendations[Id],H268:AU268,0)))/COUNTIF(H268:AU268,"&lt;&gt;"))</f>
        <v/>
      </c>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5680</v>
      </c>
      <c r="B269" s="260" t="s">
        <v>5812</v>
      </c>
      <c r="C269" s="261" t="s">
        <v>5822</v>
      </c>
      <c r="D269" s="264" t="s">
        <v>5823</v>
      </c>
      <c r="E269" s="265" t="s">
        <v>5310</v>
      </c>
      <c r="F269" s="268" t="s">
        <v>5815</v>
      </c>
      <c r="G269" s="271" t="str">
        <f>IF(COUNTIF(H269:AU269,"&lt;&gt;")=0,"",SUMPRODUCT(((Recommendations[ImplStatus]="Implemented")+(Recommendations[ImplStatus]="Compensated"))*ISNUMBER(MATCH(Recommendations[Id],H269:AU269,0)))/COUNTIF(H269:AU269,"&lt;&gt;"))</f>
        <v/>
      </c>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5680</v>
      </c>
      <c r="B270" s="260" t="s">
        <v>5812</v>
      </c>
      <c r="C270" s="261" t="s">
        <v>5824</v>
      </c>
      <c r="D270" s="264" t="s">
        <v>5825</v>
      </c>
      <c r="E270" s="265" t="s">
        <v>5310</v>
      </c>
      <c r="F270" s="268" t="s">
        <v>5815</v>
      </c>
      <c r="G270" s="271" t="str">
        <f>IF(COUNTIF(H270:AU270,"&lt;&gt;")=0,"",SUMPRODUCT(((Recommendations[ImplStatus]="Implemented")+(Recommendations[ImplStatus]="Compensated"))*ISNUMBER(MATCH(Recommendations[Id],H270:AU270,0)))/COUNTIF(H270:AU270,"&lt;&gt;"))</f>
        <v/>
      </c>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5680</v>
      </c>
      <c r="B271" s="260" t="s">
        <v>5812</v>
      </c>
      <c r="C271" s="261" t="s">
        <v>5826</v>
      </c>
      <c r="D271" s="264" t="s">
        <v>5827</v>
      </c>
      <c r="E271" s="265" t="s">
        <v>5310</v>
      </c>
      <c r="F271" s="268" t="s">
        <v>5815</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5680</v>
      </c>
      <c r="B272" s="260" t="s">
        <v>5812</v>
      </c>
      <c r="C272" s="261" t="s">
        <v>5828</v>
      </c>
      <c r="D272" s="264" t="s">
        <v>5829</v>
      </c>
      <c r="E272" s="265" t="s">
        <v>5310</v>
      </c>
      <c r="F272" s="268" t="s">
        <v>5815</v>
      </c>
      <c r="G272" s="271" t="str">
        <f>IF(COUNTIF(H272:AU272,"&lt;&gt;")=0,"",SUMPRODUCT(((Recommendations[ImplStatus]="Implemented")+(Recommendations[ImplStatus]="Compensated"))*ISNUMBER(MATCH(Recommendations[Id],H272:AU272,0)))/COUNTIF(H272:AU272,"&lt;&gt;"))</f>
        <v/>
      </c>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5680</v>
      </c>
      <c r="B273" s="260" t="s">
        <v>5812</v>
      </c>
      <c r="C273" s="261" t="s">
        <v>5830</v>
      </c>
      <c r="D273" s="264" t="s">
        <v>5831</v>
      </c>
      <c r="E273" s="265" t="s">
        <v>5310</v>
      </c>
      <c r="F273" s="268" t="s">
        <v>5815</v>
      </c>
      <c r="G273" s="271" t="str">
        <f>IF(COUNTIF(H273:AU273,"&lt;&gt;")=0,"",SUMPRODUCT(((Recommendations[ImplStatus]="Implemented")+(Recommendations[ImplStatus]="Compensated"))*ISNUMBER(MATCH(Recommendations[Id],H273:AU273,0)))/COUNTIF(H273:AU273,"&lt;&gt;"))</f>
        <v/>
      </c>
      <c r="H273" s="272"/>
      <c r="I273" s="272"/>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5832</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5832</v>
      </c>
      <c r="B275" s="259" t="s">
        <v>5833</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5832</v>
      </c>
      <c r="B276" s="260" t="s">
        <v>5833</v>
      </c>
      <c r="C276" s="261" t="s">
        <v>5834</v>
      </c>
      <c r="D276" s="264" t="s">
        <v>5835</v>
      </c>
      <c r="E276" s="265" t="s">
        <v>5281</v>
      </c>
      <c r="F276" s="268" t="s">
        <v>5836</v>
      </c>
      <c r="G276" s="271" t="str">
        <f>IF(COUNTIF(H276:AU276,"&lt;&gt;")=0,"",SUMPRODUCT(((Recommendations[ImplStatus]="Implemented")+(Recommendations[ImplStatus]="Compensated"))*ISNUMBER(MATCH(Recommendations[Id],H276:AU276,0)))/COUNTIF(H276:AU276,"&lt;&gt;"))</f>
        <v/>
      </c>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86"/>
    </row>
    <row r="277" spans="1:47" ht="60" customHeight="1" x14ac:dyDescent="0.35">
      <c r="A277" s="282" t="s">
        <v>5832</v>
      </c>
      <c r="B277" s="260" t="s">
        <v>5833</v>
      </c>
      <c r="C277" s="261" t="s">
        <v>5837</v>
      </c>
      <c r="D277" s="264" t="s">
        <v>5838</v>
      </c>
      <c r="E277" s="265" t="s">
        <v>5281</v>
      </c>
      <c r="F277" s="268" t="s">
        <v>5836</v>
      </c>
      <c r="G277" s="271">
        <f>IF(COUNTIF(H277:AU277,"&lt;&gt;")=0,"",SUMPRODUCT(((Recommendations[ImplStatus]="Implemented")+(Recommendations[ImplStatus]="Compensated"))*ISNUMBER(MATCH(Recommendations[Id],H277:AU277,0)))/COUNTIF(H277:AU277,"&lt;&gt;"))</f>
        <v>0</v>
      </c>
      <c r="H277" s="272" t="s">
        <v>330</v>
      </c>
      <c r="I277" s="272" t="s">
        <v>335</v>
      </c>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5832</v>
      </c>
      <c r="B278" s="260" t="s">
        <v>5833</v>
      </c>
      <c r="C278" s="261" t="s">
        <v>5839</v>
      </c>
      <c r="D278" s="264" t="s">
        <v>5840</v>
      </c>
      <c r="E278" s="265" t="s">
        <v>5281</v>
      </c>
      <c r="F278" s="268" t="s">
        <v>5836</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5832</v>
      </c>
      <c r="B279" s="260" t="s">
        <v>5833</v>
      </c>
      <c r="C279" s="261" t="s">
        <v>5841</v>
      </c>
      <c r="D279" s="264" t="s">
        <v>5842</v>
      </c>
      <c r="E279" s="265" t="s">
        <v>5281</v>
      </c>
      <c r="F279" s="268" t="s">
        <v>5836</v>
      </c>
      <c r="G279" s="271">
        <f>IF(COUNTIF(H279:AU279,"&lt;&gt;")=0,"",SUMPRODUCT(((Recommendations[ImplStatus]="Implemented")+(Recommendations[ImplStatus]="Compensated"))*ISNUMBER(MATCH(Recommendations[Id],H279:AU279,0)))/COUNTIF(H279:AU279,"&lt;&gt;"))</f>
        <v>0</v>
      </c>
      <c r="H279" s="272" t="s">
        <v>241</v>
      </c>
      <c r="I279" s="272" t="s">
        <v>246</v>
      </c>
      <c r="J279" s="272" t="s">
        <v>251</v>
      </c>
      <c r="K279" s="272" t="s">
        <v>276</v>
      </c>
      <c r="L279" s="272" t="s">
        <v>281</v>
      </c>
      <c r="M279" s="272" t="s">
        <v>286</v>
      </c>
      <c r="N279" s="272" t="s">
        <v>325</v>
      </c>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5832</v>
      </c>
      <c r="B280" s="260" t="s">
        <v>5833</v>
      </c>
      <c r="C280" s="261" t="s">
        <v>5843</v>
      </c>
      <c r="D280" s="264" t="s">
        <v>5844</v>
      </c>
      <c r="E280" s="265" t="s">
        <v>5281</v>
      </c>
      <c r="F280" s="268" t="s">
        <v>5836</v>
      </c>
      <c r="G280" s="271" t="str">
        <f>IF(COUNTIF(H280:AU280,"&lt;&gt;")=0,"",SUMPRODUCT(((Recommendations[ImplStatus]="Implemented")+(Recommendations[ImplStatus]="Compensated"))*ISNUMBER(MATCH(Recommendations[Id],H280:AU280,0)))/COUNTIF(H280:AU280,"&lt;&gt;"))</f>
        <v/>
      </c>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5832</v>
      </c>
      <c r="B281" s="260" t="s">
        <v>5833</v>
      </c>
      <c r="C281" s="261" t="s">
        <v>5845</v>
      </c>
      <c r="D281" s="264" t="s">
        <v>5846</v>
      </c>
      <c r="E281" s="265" t="s">
        <v>5281</v>
      </c>
      <c r="F281" s="268" t="s">
        <v>5836</v>
      </c>
      <c r="G281" s="271" t="str">
        <f>IF(COUNTIF(H281:AU281,"&lt;&gt;")=0,"",SUMPRODUCT(((Recommendations[ImplStatus]="Implemented")+(Recommendations[ImplStatus]="Compensated"))*ISNUMBER(MATCH(Recommendations[Id],H281:AU281,0)))/COUNTIF(H281:AU281,"&lt;&gt;"))</f>
        <v/>
      </c>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5832</v>
      </c>
      <c r="B282" s="260" t="s">
        <v>5833</v>
      </c>
      <c r="C282" s="261" t="s">
        <v>5847</v>
      </c>
      <c r="D282" s="264" t="s">
        <v>5848</v>
      </c>
      <c r="E282" s="265" t="s">
        <v>5281</v>
      </c>
      <c r="F282" s="268" t="s">
        <v>5836</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5832</v>
      </c>
      <c r="B283" s="260" t="s">
        <v>5833</v>
      </c>
      <c r="C283" s="261" t="s">
        <v>5849</v>
      </c>
      <c r="D283" s="264" t="s">
        <v>5850</v>
      </c>
      <c r="E283" s="265" t="s">
        <v>5377</v>
      </c>
      <c r="F283" s="268" t="s">
        <v>5851</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5832</v>
      </c>
      <c r="B284" s="260" t="s">
        <v>5833</v>
      </c>
      <c r="C284" s="261" t="s">
        <v>5852</v>
      </c>
      <c r="D284" s="264" t="s">
        <v>5853</v>
      </c>
      <c r="E284" s="265" t="s">
        <v>5377</v>
      </c>
      <c r="F284" s="268" t="s">
        <v>5851</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5832</v>
      </c>
      <c r="B285" s="260" t="s">
        <v>5833</v>
      </c>
      <c r="C285" s="261" t="s">
        <v>5854</v>
      </c>
      <c r="D285" s="264" t="s">
        <v>5855</v>
      </c>
      <c r="E285" s="265" t="s">
        <v>5281</v>
      </c>
      <c r="F285" s="268" t="s">
        <v>5851</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5832</v>
      </c>
      <c r="B286" s="260" t="s">
        <v>5833</v>
      </c>
      <c r="C286" s="261" t="s">
        <v>5856</v>
      </c>
      <c r="D286" s="264" t="s">
        <v>5857</v>
      </c>
      <c r="E286" s="265" t="s">
        <v>5310</v>
      </c>
      <c r="F286" s="268" t="s">
        <v>5851</v>
      </c>
      <c r="G286" s="271" t="str">
        <f>IF(COUNTIF(H286:AU286,"&lt;&gt;")=0,"",SUMPRODUCT(((Recommendations[ImplStatus]="Implemented")+(Recommendations[ImplStatus]="Compensated"))*ISNUMBER(MATCH(Recommendations[Id],H286:AU286,0)))/COUNTIF(H286:AU286,"&lt;&gt;"))</f>
        <v/>
      </c>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5832</v>
      </c>
      <c r="B287" s="260" t="s">
        <v>5833</v>
      </c>
      <c r="C287" s="261" t="s">
        <v>5858</v>
      </c>
      <c r="D287" s="264" t="s">
        <v>5859</v>
      </c>
      <c r="E287" s="265" t="s">
        <v>5310</v>
      </c>
      <c r="F287" s="268" t="s">
        <v>5851</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5832</v>
      </c>
      <c r="B288" s="260" t="s">
        <v>5833</v>
      </c>
      <c r="C288" s="261" t="s">
        <v>5860</v>
      </c>
      <c r="D288" s="264" t="s">
        <v>5861</v>
      </c>
      <c r="E288" s="265" t="s">
        <v>5310</v>
      </c>
      <c r="F288" s="268" t="s">
        <v>5851</v>
      </c>
      <c r="G288" s="271" t="str">
        <f>IF(COUNTIF(H288:AU288,"&lt;&gt;")=0,"",SUMPRODUCT(((Recommendations[ImplStatus]="Implemented")+(Recommendations[ImplStatus]="Compensated"))*ISNUMBER(MATCH(Recommendations[Id],H288:AU288,0)))/COUNTIF(H288:AU288,"&lt;&gt;"))</f>
        <v/>
      </c>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5832</v>
      </c>
      <c r="B289" s="260" t="s">
        <v>5833</v>
      </c>
      <c r="C289" s="261" t="s">
        <v>5862</v>
      </c>
      <c r="D289" s="264" t="s">
        <v>5863</v>
      </c>
      <c r="E289" s="265" t="s">
        <v>5310</v>
      </c>
      <c r="F289" s="268" t="s">
        <v>5851</v>
      </c>
      <c r="G289" s="271" t="str">
        <f>IF(COUNTIF(H289:AU289,"&lt;&gt;")=0,"",SUMPRODUCT(((Recommendations[ImplStatus]="Implemented")+(Recommendations[ImplStatus]="Compensated"))*ISNUMBER(MATCH(Recommendations[Id],H289:AU289,0)))/COUNTIF(H289:AU289,"&lt;&gt;"))</f>
        <v/>
      </c>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5832</v>
      </c>
      <c r="B290" s="260" t="s">
        <v>5833</v>
      </c>
      <c r="C290" s="261" t="s">
        <v>5864</v>
      </c>
      <c r="D290" s="264" t="s">
        <v>5865</v>
      </c>
      <c r="E290" s="265" t="s">
        <v>5281</v>
      </c>
      <c r="F290" s="268" t="s">
        <v>5851</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5832</v>
      </c>
      <c r="B291" s="260" t="s">
        <v>5833</v>
      </c>
      <c r="C291" s="261" t="s">
        <v>5866</v>
      </c>
      <c r="D291" s="264" t="s">
        <v>5867</v>
      </c>
      <c r="E291" s="265" t="s">
        <v>5310</v>
      </c>
      <c r="F291" s="268" t="s">
        <v>5868</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5832</v>
      </c>
      <c r="B292" s="260" t="s">
        <v>5833</v>
      </c>
      <c r="C292" s="261" t="s">
        <v>5869</v>
      </c>
      <c r="D292" s="264" t="s">
        <v>5870</v>
      </c>
      <c r="E292" s="265" t="s">
        <v>5310</v>
      </c>
      <c r="F292" s="268" t="s">
        <v>5868</v>
      </c>
      <c r="G292" s="271" t="str">
        <f>IF(COUNTIF(H292:AU292,"&lt;&gt;")=0,"",SUMPRODUCT(((Recommendations[ImplStatus]="Implemented")+(Recommendations[ImplStatus]="Compensated"))*ISNUMBER(MATCH(Recommendations[Id],H292:AU292,0)))/COUNTIF(H292:AU292,"&lt;&gt;"))</f>
        <v/>
      </c>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5832</v>
      </c>
      <c r="B293" s="260" t="s">
        <v>5833</v>
      </c>
      <c r="C293" s="261" t="s">
        <v>5871</v>
      </c>
      <c r="D293" s="264" t="s">
        <v>5872</v>
      </c>
      <c r="E293" s="265" t="s">
        <v>5560</v>
      </c>
      <c r="F293" s="268" t="s">
        <v>5851</v>
      </c>
      <c r="G293" s="271" t="str">
        <f>IF(COUNTIF(H293:AU293,"&lt;&gt;")=0,"",SUMPRODUCT(((Recommendations[ImplStatus]="Implemented")+(Recommendations[ImplStatus]="Compensated"))*ISNUMBER(MATCH(Recommendations[Id],H293:AU293,0)))/COUNTIF(H293:AU293,"&lt;&gt;"))</f>
        <v/>
      </c>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5832</v>
      </c>
      <c r="B294" s="260" t="s">
        <v>5833</v>
      </c>
      <c r="C294" s="261" t="s">
        <v>5873</v>
      </c>
      <c r="D294" s="264" t="s">
        <v>5874</v>
      </c>
      <c r="E294" s="265" t="s">
        <v>5560</v>
      </c>
      <c r="F294" s="268" t="s">
        <v>5851</v>
      </c>
      <c r="G294" s="271" t="str">
        <f>IF(COUNTIF(H294:AU294,"&lt;&gt;")=0,"",SUMPRODUCT(((Recommendations[ImplStatus]="Implemented")+(Recommendations[ImplStatus]="Compensated"))*ISNUMBER(MATCH(Recommendations[Id],H294:AU294,0)))/COUNTIF(H294:AU294,"&lt;&gt;"))</f>
        <v/>
      </c>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5832</v>
      </c>
      <c r="B295" s="260" t="s">
        <v>5833</v>
      </c>
      <c r="C295" s="261" t="s">
        <v>5875</v>
      </c>
      <c r="D295" s="264" t="s">
        <v>5876</v>
      </c>
      <c r="E295" s="265" t="s">
        <v>5377</v>
      </c>
      <c r="F295" s="268" t="s">
        <v>5851</v>
      </c>
      <c r="G295" s="271" t="str">
        <f>IF(COUNTIF(H295:AU295,"&lt;&gt;")=0,"",SUMPRODUCT(((Recommendations[ImplStatus]="Implemented")+(Recommendations[ImplStatus]="Compensated"))*ISNUMBER(MATCH(Recommendations[Id],H295:AU295,0)))/COUNTIF(H295:AU295,"&lt;&gt;"))</f>
        <v/>
      </c>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5832</v>
      </c>
      <c r="B296" s="260" t="s">
        <v>5833</v>
      </c>
      <c r="C296" s="261" t="s">
        <v>5877</v>
      </c>
      <c r="D296" s="264" t="s">
        <v>5878</v>
      </c>
      <c r="E296" s="265" t="s">
        <v>5377</v>
      </c>
      <c r="F296" s="268" t="s">
        <v>5851</v>
      </c>
      <c r="G296" s="271" t="str">
        <f>IF(COUNTIF(H296:AU296,"&lt;&gt;")=0,"",SUMPRODUCT(((Recommendations[ImplStatus]="Implemented")+(Recommendations[ImplStatus]="Compensated"))*ISNUMBER(MATCH(Recommendations[Id],H296:AU296,0)))/COUNTIF(H296:AU296,"&lt;&gt;"))</f>
        <v/>
      </c>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5832</v>
      </c>
      <c r="B297" s="260" t="s">
        <v>5833</v>
      </c>
      <c r="C297" s="261" t="s">
        <v>5879</v>
      </c>
      <c r="D297" s="264" t="s">
        <v>5880</v>
      </c>
      <c r="E297" s="265" t="s">
        <v>5281</v>
      </c>
      <c r="F297" s="268" t="s">
        <v>5851</v>
      </c>
      <c r="G297" s="271" t="str">
        <f>IF(COUNTIF(H297:AU297,"&lt;&gt;")=0,"",SUMPRODUCT(((Recommendations[ImplStatus]="Implemented")+(Recommendations[ImplStatus]="Compensated"))*ISNUMBER(MATCH(Recommendations[Id],H297:AU297,0)))/COUNTIF(H297:AU297,"&lt;&gt;"))</f>
        <v/>
      </c>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5832</v>
      </c>
      <c r="B298" s="260" t="s">
        <v>5833</v>
      </c>
      <c r="C298" s="261" t="s">
        <v>5881</v>
      </c>
      <c r="D298" s="264" t="s">
        <v>5882</v>
      </c>
      <c r="E298" s="265" t="s">
        <v>5377</v>
      </c>
      <c r="F298" s="268" t="s">
        <v>5851</v>
      </c>
      <c r="G298" s="271" t="str">
        <f>IF(COUNTIF(H298:AU298,"&lt;&gt;")=0,"",SUMPRODUCT(((Recommendations[ImplStatus]="Implemented")+(Recommendations[ImplStatus]="Compensated"))*ISNUMBER(MATCH(Recommendations[Id],H298:AU298,0)))/COUNTIF(H298:AU298,"&lt;&gt;"))</f>
        <v/>
      </c>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5832</v>
      </c>
      <c r="B299" s="260" t="s">
        <v>5833</v>
      </c>
      <c r="C299" s="261" t="s">
        <v>5883</v>
      </c>
      <c r="D299" s="264" t="s">
        <v>5884</v>
      </c>
      <c r="E299" s="265" t="s">
        <v>5310</v>
      </c>
      <c r="F299" s="268" t="s">
        <v>5851</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5832</v>
      </c>
      <c r="B300" s="260" t="s">
        <v>5833</v>
      </c>
      <c r="C300" s="261" t="s">
        <v>5885</v>
      </c>
      <c r="D300" s="264" t="s">
        <v>5886</v>
      </c>
      <c r="E300" s="265" t="s">
        <v>5377</v>
      </c>
      <c r="F300" s="268" t="s">
        <v>5851</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5832</v>
      </c>
      <c r="B301" s="260" t="s">
        <v>5833</v>
      </c>
      <c r="C301" s="261" t="s">
        <v>5887</v>
      </c>
      <c r="D301" s="264" t="s">
        <v>5888</v>
      </c>
      <c r="E301" s="265" t="s">
        <v>5425</v>
      </c>
      <c r="F301" s="268" t="s">
        <v>5851</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5832</v>
      </c>
      <c r="B302" s="260" t="s">
        <v>5833</v>
      </c>
      <c r="C302" s="261" t="s">
        <v>5889</v>
      </c>
      <c r="D302" s="264" t="s">
        <v>5890</v>
      </c>
      <c r="E302" s="265" t="s">
        <v>5425</v>
      </c>
      <c r="F302" s="268" t="s">
        <v>5851</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5832</v>
      </c>
      <c r="B303" s="259" t="s">
        <v>1647</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5832</v>
      </c>
      <c r="B304" s="260" t="s">
        <v>1647</v>
      </c>
      <c r="C304" s="261" t="s">
        <v>5891</v>
      </c>
      <c r="D304" s="264" t="s">
        <v>5892</v>
      </c>
      <c r="E304" s="265" t="s">
        <v>5281</v>
      </c>
      <c r="F304" s="268" t="s">
        <v>5893</v>
      </c>
      <c r="G304" s="271">
        <f>IF(COUNTIF(H304:AU304,"&lt;&gt;")=0,"",SUMPRODUCT(((Recommendations[ImplStatus]="Implemented")+(Recommendations[ImplStatus]="Compensated"))*ISNUMBER(MATCH(Recommendations[Id],H304:AU304,0)))/COUNTIF(H304:AU304,"&lt;&gt;"))</f>
        <v>0</v>
      </c>
      <c r="H304" s="272" t="s">
        <v>97</v>
      </c>
      <c r="I304" s="272" t="s">
        <v>102</v>
      </c>
      <c r="J304" s="272" t="s">
        <v>256</v>
      </c>
      <c r="K304" s="272" t="s">
        <v>363</v>
      </c>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5832</v>
      </c>
      <c r="B305" s="260" t="s">
        <v>1647</v>
      </c>
      <c r="C305" s="261" t="s">
        <v>5894</v>
      </c>
      <c r="D305" s="264" t="s">
        <v>5895</v>
      </c>
      <c r="E305" s="265" t="s">
        <v>5281</v>
      </c>
      <c r="F305" s="268" t="s">
        <v>5893</v>
      </c>
      <c r="G305" s="271">
        <f>IF(COUNTIF(H305:AU305,"&lt;&gt;")=0,"",SUMPRODUCT(((Recommendations[ImplStatus]="Implemented")+(Recommendations[ImplStatus]="Compensated"))*ISNUMBER(MATCH(Recommendations[Id],H305:AU305,0)))/COUNTIF(H305:AU305,"&lt;&gt;"))</f>
        <v>0</v>
      </c>
      <c r="H305" s="272" t="s">
        <v>87</v>
      </c>
      <c r="I305" s="272" t="s">
        <v>92</v>
      </c>
      <c r="J305" s="272" t="s">
        <v>102</v>
      </c>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5832</v>
      </c>
      <c r="B306" s="260" t="s">
        <v>1647</v>
      </c>
      <c r="C306" s="261" t="s">
        <v>5896</v>
      </c>
      <c r="D306" s="264" t="s">
        <v>5897</v>
      </c>
      <c r="E306" s="265" t="s">
        <v>5281</v>
      </c>
      <c r="F306" s="268" t="s">
        <v>5893</v>
      </c>
      <c r="G306" s="271" t="str">
        <f>IF(COUNTIF(H306:AU306,"&lt;&gt;")=0,"",SUMPRODUCT(((Recommendations[ImplStatus]="Implemented")+(Recommendations[ImplStatus]="Compensated"))*ISNUMBER(MATCH(Recommendations[Id],H306:AU306,0)))/COUNTIF(H306:AU306,"&lt;&gt;"))</f>
        <v/>
      </c>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5832</v>
      </c>
      <c r="B307" s="260" t="s">
        <v>1647</v>
      </c>
      <c r="C307" s="261" t="s">
        <v>5898</v>
      </c>
      <c r="D307" s="264" t="s">
        <v>5899</v>
      </c>
      <c r="E307" s="265" t="s">
        <v>5281</v>
      </c>
      <c r="F307" s="268" t="s">
        <v>5893</v>
      </c>
      <c r="G307" s="271" t="str">
        <f>IF(COUNTIF(H307:AU307,"&lt;&gt;")=0,"",SUMPRODUCT(((Recommendations[ImplStatus]="Implemented")+(Recommendations[ImplStatus]="Compensated"))*ISNUMBER(MATCH(Recommendations[Id],H307:AU307,0)))/COUNTIF(H307:AU307,"&lt;&gt;"))</f>
        <v/>
      </c>
      <c r="H307" s="272"/>
      <c r="I307" s="272"/>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5832</v>
      </c>
      <c r="B308" s="260" t="s">
        <v>1647</v>
      </c>
      <c r="C308" s="261" t="s">
        <v>5900</v>
      </c>
      <c r="D308" s="264" t="s">
        <v>5901</v>
      </c>
      <c r="E308" s="265" t="s">
        <v>5377</v>
      </c>
      <c r="F308" s="268" t="s">
        <v>5893</v>
      </c>
      <c r="G308" s="271" t="str">
        <f>IF(COUNTIF(H308:AU308,"&lt;&gt;")=0,"",SUMPRODUCT(((Recommendations[ImplStatus]="Implemented")+(Recommendations[ImplStatus]="Compensated"))*ISNUMBER(MATCH(Recommendations[Id],H308:AU308,0)))/COUNTIF(H308:AU308,"&lt;&gt;"))</f>
        <v/>
      </c>
      <c r="H308" s="272"/>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5832</v>
      </c>
      <c r="B309" s="260" t="s">
        <v>1647</v>
      </c>
      <c r="C309" s="261" t="s">
        <v>5902</v>
      </c>
      <c r="D309" s="264" t="s">
        <v>5903</v>
      </c>
      <c r="E309" s="265" t="s">
        <v>5377</v>
      </c>
      <c r="F309" s="268" t="s">
        <v>5893</v>
      </c>
      <c r="G309" s="271" t="str">
        <f>IF(COUNTIF(H309:AU309,"&lt;&gt;")=0,"",SUMPRODUCT(((Recommendations[ImplStatus]="Implemented")+(Recommendations[ImplStatus]="Compensated"))*ISNUMBER(MATCH(Recommendations[Id],H309:AU309,0)))/COUNTIF(H309:AU309,"&lt;&gt;"))</f>
        <v/>
      </c>
      <c r="H309" s="272"/>
      <c r="I309" s="272"/>
      <c r="J309" s="272"/>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5832</v>
      </c>
      <c r="B310" s="260" t="s">
        <v>1647</v>
      </c>
      <c r="C310" s="261" t="s">
        <v>5904</v>
      </c>
      <c r="D310" s="264" t="s">
        <v>5905</v>
      </c>
      <c r="E310" s="265" t="s">
        <v>5377</v>
      </c>
      <c r="F310" s="268" t="s">
        <v>5893</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5832</v>
      </c>
      <c r="B311" s="260" t="s">
        <v>1647</v>
      </c>
      <c r="C311" s="261" t="s">
        <v>5906</v>
      </c>
      <c r="D311" s="264" t="s">
        <v>5907</v>
      </c>
      <c r="E311" s="265" t="s">
        <v>5377</v>
      </c>
      <c r="F311" s="268" t="s">
        <v>5893</v>
      </c>
      <c r="G311" s="271" t="str">
        <f>IF(COUNTIF(H311:AU311,"&lt;&gt;")=0,"",SUMPRODUCT(((Recommendations[ImplStatus]="Implemented")+(Recommendations[ImplStatus]="Compensated"))*ISNUMBER(MATCH(Recommendations[Id],H311:AU311,0)))/COUNTIF(H311:AU311,"&lt;&gt;"))</f>
        <v/>
      </c>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5832</v>
      </c>
      <c r="B312" s="260" t="s">
        <v>1647</v>
      </c>
      <c r="C312" s="261" t="s">
        <v>5908</v>
      </c>
      <c r="D312" s="264" t="s">
        <v>5909</v>
      </c>
      <c r="E312" s="265" t="s">
        <v>5377</v>
      </c>
      <c r="F312" s="268" t="s">
        <v>5893</v>
      </c>
      <c r="G312" s="271" t="str">
        <f>IF(COUNTIF(H312:AU312,"&lt;&gt;")=0,"",SUMPRODUCT(((Recommendations[ImplStatus]="Implemented")+(Recommendations[ImplStatus]="Compensated"))*ISNUMBER(MATCH(Recommendations[Id],H312:AU312,0)))/COUNTIF(H312:AU312,"&lt;&gt;"))</f>
        <v/>
      </c>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5832</v>
      </c>
      <c r="B313" s="260" t="s">
        <v>1647</v>
      </c>
      <c r="C313" s="261" t="s">
        <v>5910</v>
      </c>
      <c r="D313" s="264" t="s">
        <v>5911</v>
      </c>
      <c r="E313" s="265" t="s">
        <v>5310</v>
      </c>
      <c r="F313" s="268" t="s">
        <v>5893</v>
      </c>
      <c r="G313" s="271" t="str">
        <f>IF(COUNTIF(H313:AU313,"&lt;&gt;")=0,"",SUMPRODUCT(((Recommendations[ImplStatus]="Implemented")+(Recommendations[ImplStatus]="Compensated"))*ISNUMBER(MATCH(Recommendations[Id],H313:AU313,0)))/COUNTIF(H313:AU313,"&lt;&gt;"))</f>
        <v/>
      </c>
      <c r="H313" s="272"/>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5832</v>
      </c>
      <c r="B314" s="260" t="s">
        <v>1647</v>
      </c>
      <c r="C314" s="261" t="s">
        <v>5912</v>
      </c>
      <c r="D314" s="264" t="s">
        <v>5913</v>
      </c>
      <c r="E314" s="265" t="s">
        <v>5310</v>
      </c>
      <c r="F314" s="268" t="s">
        <v>5893</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5832</v>
      </c>
      <c r="B315" s="260" t="s">
        <v>1647</v>
      </c>
      <c r="C315" s="261" t="s">
        <v>5914</v>
      </c>
      <c r="D315" s="264" t="s">
        <v>5915</v>
      </c>
      <c r="E315" s="265" t="s">
        <v>5310</v>
      </c>
      <c r="F315" s="268" t="s">
        <v>5893</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5832</v>
      </c>
      <c r="B316" s="260" t="s">
        <v>1647</v>
      </c>
      <c r="C316" s="261" t="s">
        <v>5916</v>
      </c>
      <c r="D316" s="264" t="s">
        <v>5917</v>
      </c>
      <c r="E316" s="265" t="s">
        <v>5310</v>
      </c>
      <c r="F316" s="268" t="s">
        <v>5893</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5832</v>
      </c>
      <c r="B317" s="260" t="s">
        <v>1647</v>
      </c>
      <c r="C317" s="261" t="s">
        <v>5918</v>
      </c>
      <c r="D317" s="264" t="s">
        <v>5919</v>
      </c>
      <c r="E317" s="265" t="s">
        <v>5377</v>
      </c>
      <c r="F317" s="268" t="s">
        <v>5851</v>
      </c>
      <c r="G317" s="271" t="str">
        <f>IF(COUNTIF(H317:AU317,"&lt;&gt;")=0,"",SUMPRODUCT(((Recommendations[ImplStatus]="Implemented")+(Recommendations[ImplStatus]="Compensated"))*ISNUMBER(MATCH(Recommendations[Id],H317:AU317,0)))/COUNTIF(H317:AU317,"&lt;&gt;"))</f>
        <v/>
      </c>
      <c r="H317" s="272"/>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5832</v>
      </c>
      <c r="B318" s="260" t="s">
        <v>1647</v>
      </c>
      <c r="C318" s="261" t="s">
        <v>5920</v>
      </c>
      <c r="D318" s="264" t="s">
        <v>5921</v>
      </c>
      <c r="E318" s="265" t="s">
        <v>5425</v>
      </c>
      <c r="F318" s="268" t="s">
        <v>5851</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5832</v>
      </c>
      <c r="B319" s="260" t="s">
        <v>1647</v>
      </c>
      <c r="C319" s="261" t="s">
        <v>5922</v>
      </c>
      <c r="D319" s="264" t="s">
        <v>5923</v>
      </c>
      <c r="E319" s="265" t="s">
        <v>5425</v>
      </c>
      <c r="F319" s="268" t="s">
        <v>5851</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5832</v>
      </c>
      <c r="B320" s="259" t="s">
        <v>5924</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5832</v>
      </c>
      <c r="B321" s="260" t="s">
        <v>5924</v>
      </c>
      <c r="C321" s="261" t="s">
        <v>5925</v>
      </c>
      <c r="D321" s="264" t="s">
        <v>5926</v>
      </c>
      <c r="E321" s="265" t="s">
        <v>5310</v>
      </c>
      <c r="F321" s="268" t="s">
        <v>5927</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5832</v>
      </c>
      <c r="B322" s="260" t="s">
        <v>5924</v>
      </c>
      <c r="C322" s="261" t="s">
        <v>5928</v>
      </c>
      <c r="D322" s="264" t="s">
        <v>5929</v>
      </c>
      <c r="E322" s="265" t="s">
        <v>5310</v>
      </c>
      <c r="F322" s="268" t="s">
        <v>5927</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5832</v>
      </c>
      <c r="B323" s="260" t="s">
        <v>5924</v>
      </c>
      <c r="C323" s="261" t="s">
        <v>5930</v>
      </c>
      <c r="D323" s="264" t="s">
        <v>5931</v>
      </c>
      <c r="E323" s="265" t="s">
        <v>5310</v>
      </c>
      <c r="F323" s="268" t="s">
        <v>5927</v>
      </c>
      <c r="G323" s="271" t="str">
        <f>IF(COUNTIF(H323:AU323,"&lt;&gt;")=0,"",SUMPRODUCT(((Recommendations[ImplStatus]="Implemented")+(Recommendations[ImplStatus]="Compensated"))*ISNUMBER(MATCH(Recommendations[Id],H323:AU323,0)))/COUNTIF(H323:AU323,"&lt;&gt;"))</f>
        <v/>
      </c>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5832</v>
      </c>
      <c r="B324" s="260" t="s">
        <v>5924</v>
      </c>
      <c r="C324" s="261" t="s">
        <v>5932</v>
      </c>
      <c r="D324" s="264" t="s">
        <v>5933</v>
      </c>
      <c r="E324" s="265" t="s">
        <v>5310</v>
      </c>
      <c r="F324" s="268" t="s">
        <v>5927</v>
      </c>
      <c r="G324" s="271" t="str">
        <f>IF(COUNTIF(H324:AU324,"&lt;&gt;")=0,"",SUMPRODUCT(((Recommendations[ImplStatus]="Implemented")+(Recommendations[ImplStatus]="Compensated"))*ISNUMBER(MATCH(Recommendations[Id],H324:AU324,0)))/COUNTIF(H324:AU324,"&lt;&gt;"))</f>
        <v/>
      </c>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5832</v>
      </c>
      <c r="B325" s="260" t="s">
        <v>5924</v>
      </c>
      <c r="C325" s="261" t="s">
        <v>5934</v>
      </c>
      <c r="D325" s="264" t="s">
        <v>5935</v>
      </c>
      <c r="E325" s="265" t="s">
        <v>5310</v>
      </c>
      <c r="F325" s="268" t="s">
        <v>5927</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5832</v>
      </c>
      <c r="B326" s="260" t="s">
        <v>5924</v>
      </c>
      <c r="C326" s="261" t="s">
        <v>5936</v>
      </c>
      <c r="D326" s="264" t="s">
        <v>5937</v>
      </c>
      <c r="E326" s="265" t="s">
        <v>5310</v>
      </c>
      <c r="F326" s="268" t="s">
        <v>5927</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5832</v>
      </c>
      <c r="B327" s="260" t="s">
        <v>5924</v>
      </c>
      <c r="C327" s="261" t="s">
        <v>5938</v>
      </c>
      <c r="D327" s="264" t="s">
        <v>5939</v>
      </c>
      <c r="E327" s="265" t="s">
        <v>5310</v>
      </c>
      <c r="F327" s="268" t="s">
        <v>5927</v>
      </c>
      <c r="G327" s="271" t="str">
        <f>IF(COUNTIF(H327:AU327,"&lt;&gt;")=0,"",SUMPRODUCT(((Recommendations[ImplStatus]="Implemented")+(Recommendations[ImplStatus]="Compensated"))*ISNUMBER(MATCH(Recommendations[Id],H327:AU327,0)))/COUNTIF(H327:AU327,"&lt;&gt;"))</f>
        <v/>
      </c>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5832</v>
      </c>
      <c r="B328" s="260" t="s">
        <v>5924</v>
      </c>
      <c r="C328" s="261" t="s">
        <v>5940</v>
      </c>
      <c r="D328" s="264" t="s">
        <v>5941</v>
      </c>
      <c r="E328" s="265" t="s">
        <v>5310</v>
      </c>
      <c r="F328" s="268" t="s">
        <v>5927</v>
      </c>
      <c r="G328" s="271">
        <f>IF(COUNTIF(H328:AU328,"&lt;&gt;")=0,"",SUMPRODUCT(((Recommendations[ImplStatus]="Implemented")+(Recommendations[ImplStatus]="Compensated"))*ISNUMBER(MATCH(Recommendations[Id],H328:AU328,0)))/COUNTIF(H328:AU328,"&lt;&gt;"))</f>
        <v>0</v>
      </c>
      <c r="H328" s="272" t="s">
        <v>241</v>
      </c>
      <c r="I328" s="272" t="s">
        <v>246</v>
      </c>
      <c r="J328" s="272" t="s">
        <v>251</v>
      </c>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5832</v>
      </c>
      <c r="B329" s="260" t="s">
        <v>5924</v>
      </c>
      <c r="C329" s="261" t="s">
        <v>5942</v>
      </c>
      <c r="D329" s="264" t="s">
        <v>5943</v>
      </c>
      <c r="E329" s="265" t="s">
        <v>5310</v>
      </c>
      <c r="F329" s="268" t="s">
        <v>5927</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5832</v>
      </c>
      <c r="B330" s="260" t="s">
        <v>5924</v>
      </c>
      <c r="C330" s="261" t="s">
        <v>5944</v>
      </c>
      <c r="D330" s="264" t="s">
        <v>5945</v>
      </c>
      <c r="E330" s="265" t="s">
        <v>5310</v>
      </c>
      <c r="F330" s="268" t="s">
        <v>5927</v>
      </c>
      <c r="G330" s="271" t="str">
        <f>IF(COUNTIF(H330:AU330,"&lt;&gt;")=0,"",SUMPRODUCT(((Recommendations[ImplStatus]="Implemented")+(Recommendations[ImplStatus]="Compensated"))*ISNUMBER(MATCH(Recommendations[Id],H330:AU330,0)))/COUNTIF(H330:AU330,"&lt;&gt;"))</f>
        <v/>
      </c>
      <c r="H330" s="272"/>
      <c r="I330" s="272"/>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5832</v>
      </c>
      <c r="B331" s="260" t="s">
        <v>5924</v>
      </c>
      <c r="C331" s="261" t="s">
        <v>5946</v>
      </c>
      <c r="D331" s="264" t="s">
        <v>5947</v>
      </c>
      <c r="E331" s="265" t="s">
        <v>5310</v>
      </c>
      <c r="F331" s="268" t="s">
        <v>5927</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5832</v>
      </c>
      <c r="B332" s="260" t="s">
        <v>5924</v>
      </c>
      <c r="C332" s="261" t="s">
        <v>5948</v>
      </c>
      <c r="D332" s="264" t="s">
        <v>5949</v>
      </c>
      <c r="E332" s="265" t="s">
        <v>5310</v>
      </c>
      <c r="F332" s="268" t="s">
        <v>5927</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5832</v>
      </c>
      <c r="B333" s="260" t="s">
        <v>5924</v>
      </c>
      <c r="C333" s="261" t="s">
        <v>5950</v>
      </c>
      <c r="D333" s="264" t="s">
        <v>5951</v>
      </c>
      <c r="E333" s="265" t="s">
        <v>5310</v>
      </c>
      <c r="F333" s="268" t="s">
        <v>5927</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5832</v>
      </c>
      <c r="B334" s="260" t="s">
        <v>5924</v>
      </c>
      <c r="C334" s="261" t="s">
        <v>5952</v>
      </c>
      <c r="D334" s="264" t="s">
        <v>5953</v>
      </c>
      <c r="E334" s="265" t="s">
        <v>5310</v>
      </c>
      <c r="F334" s="268" t="s">
        <v>5927</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5832</v>
      </c>
      <c r="B335" s="260" t="s">
        <v>5924</v>
      </c>
      <c r="C335" s="261" t="s">
        <v>5954</v>
      </c>
      <c r="D335" s="264" t="s">
        <v>5955</v>
      </c>
      <c r="E335" s="265" t="s">
        <v>5310</v>
      </c>
      <c r="F335" s="268" t="s">
        <v>5927</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5832</v>
      </c>
      <c r="B336" s="260" t="s">
        <v>5924</v>
      </c>
      <c r="C336" s="261" t="s">
        <v>5956</v>
      </c>
      <c r="D336" s="264" t="s">
        <v>5957</v>
      </c>
      <c r="E336" s="265" t="s">
        <v>5425</v>
      </c>
      <c r="F336" s="268" t="s">
        <v>5927</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5832</v>
      </c>
      <c r="B337" s="260" t="s">
        <v>5924</v>
      </c>
      <c r="C337" s="261" t="s">
        <v>5958</v>
      </c>
      <c r="D337" s="264" t="s">
        <v>5959</v>
      </c>
      <c r="E337" s="265" t="s">
        <v>5425</v>
      </c>
      <c r="F337" s="268" t="s">
        <v>5927</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5832</v>
      </c>
      <c r="B338" s="260" t="s">
        <v>5924</v>
      </c>
      <c r="C338" s="261" t="s">
        <v>5960</v>
      </c>
      <c r="D338" s="264" t="s">
        <v>5961</v>
      </c>
      <c r="E338" s="265" t="s">
        <v>5310</v>
      </c>
      <c r="F338" s="268" t="s">
        <v>5927</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5832</v>
      </c>
      <c r="B339" s="260" t="s">
        <v>5924</v>
      </c>
      <c r="C339" s="261" t="s">
        <v>5962</v>
      </c>
      <c r="D339" s="264" t="s">
        <v>5963</v>
      </c>
      <c r="E339" s="265" t="s">
        <v>5310</v>
      </c>
      <c r="F339" s="268" t="s">
        <v>5927</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5832</v>
      </c>
      <c r="B340" s="259" t="s">
        <v>5964</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5832</v>
      </c>
      <c r="B341" s="260" t="s">
        <v>5964</v>
      </c>
      <c r="C341" s="261" t="s">
        <v>5965</v>
      </c>
      <c r="D341" s="264" t="s">
        <v>5966</v>
      </c>
      <c r="E341" s="265" t="s">
        <v>5281</v>
      </c>
      <c r="F341" s="268" t="s">
        <v>5851</v>
      </c>
      <c r="G341" s="271" t="str">
        <f>IF(COUNTIF(H341:AU341,"&lt;&gt;")=0,"",SUMPRODUCT(((Recommendations[ImplStatus]="Implemented")+(Recommendations[ImplStatus]="Compensated"))*ISNUMBER(MATCH(Recommendations[Id],H341:AU341,0)))/COUNTIF(H341:AU341,"&lt;&gt;"))</f>
        <v/>
      </c>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5832</v>
      </c>
      <c r="B342" s="260" t="s">
        <v>5964</v>
      </c>
      <c r="C342" s="261" t="s">
        <v>5967</v>
      </c>
      <c r="D342" s="264" t="s">
        <v>5968</v>
      </c>
      <c r="E342" s="265" t="s">
        <v>5281</v>
      </c>
      <c r="F342" s="268" t="s">
        <v>5851</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5832</v>
      </c>
      <c r="B343" s="260" t="s">
        <v>5964</v>
      </c>
      <c r="C343" s="261" t="s">
        <v>5969</v>
      </c>
      <c r="D343" s="264" t="s">
        <v>5970</v>
      </c>
      <c r="E343" s="265" t="s">
        <v>5377</v>
      </c>
      <c r="F343" s="268" t="s">
        <v>5971</v>
      </c>
      <c r="G343" s="271" t="str">
        <f>IF(COUNTIF(H343:AU343,"&lt;&gt;")=0,"",SUMPRODUCT(((Recommendations[ImplStatus]="Implemented")+(Recommendations[ImplStatus]="Compensated"))*ISNUMBER(MATCH(Recommendations[Id],H343:AU343,0)))/COUNTIF(H343:AU343,"&lt;&gt;"))</f>
        <v/>
      </c>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5832</v>
      </c>
      <c r="B344" s="260" t="s">
        <v>5964</v>
      </c>
      <c r="C344" s="261" t="s">
        <v>5972</v>
      </c>
      <c r="D344" s="264" t="s">
        <v>5973</v>
      </c>
      <c r="E344" s="265" t="s">
        <v>5310</v>
      </c>
      <c r="F344" s="268" t="s">
        <v>5971</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5832</v>
      </c>
      <c r="B345" s="260" t="s">
        <v>5964</v>
      </c>
      <c r="C345" s="261" t="s">
        <v>5974</v>
      </c>
      <c r="D345" s="264" t="s">
        <v>5975</v>
      </c>
      <c r="E345" s="265" t="s">
        <v>5310</v>
      </c>
      <c r="F345" s="268" t="s">
        <v>5971</v>
      </c>
      <c r="G345" s="271" t="str">
        <f>IF(COUNTIF(H345:AU345,"&lt;&gt;")=0,"",SUMPRODUCT(((Recommendations[ImplStatus]="Implemented")+(Recommendations[ImplStatus]="Compensated"))*ISNUMBER(MATCH(Recommendations[Id],H345:AU345,0)))/COUNTIF(H345:AU345,"&lt;&gt;"))</f>
        <v/>
      </c>
      <c r="H345" s="272"/>
      <c r="I345" s="272"/>
      <c r="J345" s="272"/>
      <c r="K345" s="272"/>
      <c r="L345" s="272"/>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5832</v>
      </c>
      <c r="B346" s="260" t="s">
        <v>5964</v>
      </c>
      <c r="C346" s="261" t="s">
        <v>5976</v>
      </c>
      <c r="D346" s="264" t="s">
        <v>5977</v>
      </c>
      <c r="E346" s="265" t="s">
        <v>5310</v>
      </c>
      <c r="F346" s="268" t="s">
        <v>5971</v>
      </c>
      <c r="G346" s="271" t="str">
        <f>IF(COUNTIF(H346:AU346,"&lt;&gt;")=0,"",SUMPRODUCT(((Recommendations[ImplStatus]="Implemented")+(Recommendations[ImplStatus]="Compensated"))*ISNUMBER(MATCH(Recommendations[Id],H346:AU346,0)))/COUNTIF(H346:AU346,"&lt;&gt;"))</f>
        <v/>
      </c>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86"/>
    </row>
    <row r="347" spans="1:47" ht="60" customHeight="1" x14ac:dyDescent="0.35">
      <c r="A347" s="282" t="s">
        <v>5832</v>
      </c>
      <c r="B347" s="260" t="s">
        <v>5964</v>
      </c>
      <c r="C347" s="261" t="s">
        <v>5978</v>
      </c>
      <c r="D347" s="264" t="s">
        <v>5979</v>
      </c>
      <c r="E347" s="265" t="s">
        <v>5310</v>
      </c>
      <c r="F347" s="268" t="s">
        <v>5971</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5832</v>
      </c>
      <c r="B348" s="260" t="s">
        <v>5964</v>
      </c>
      <c r="C348" s="261" t="s">
        <v>5980</v>
      </c>
      <c r="D348" s="264" t="s">
        <v>5981</v>
      </c>
      <c r="E348" s="265" t="s">
        <v>5310</v>
      </c>
      <c r="F348" s="268" t="s">
        <v>5971</v>
      </c>
      <c r="G348" s="271" t="str">
        <f>IF(COUNTIF(H348:AU348,"&lt;&gt;")=0,"",SUMPRODUCT(((Recommendations[ImplStatus]="Implemented")+(Recommendations[ImplStatus]="Compensated"))*ISNUMBER(MATCH(Recommendations[Id],H348:AU348,0)))/COUNTIF(H348:AU348,"&lt;&gt;"))</f>
        <v/>
      </c>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5832</v>
      </c>
      <c r="B349" s="260" t="s">
        <v>5964</v>
      </c>
      <c r="C349" s="261" t="s">
        <v>5982</v>
      </c>
      <c r="D349" s="264" t="s">
        <v>5983</v>
      </c>
      <c r="E349" s="265" t="s">
        <v>5310</v>
      </c>
      <c r="F349" s="268" t="s">
        <v>5971</v>
      </c>
      <c r="G349" s="271" t="str">
        <f>IF(COUNTIF(H349:AU349,"&lt;&gt;")=0,"",SUMPRODUCT(((Recommendations[ImplStatus]="Implemented")+(Recommendations[ImplStatus]="Compensated"))*ISNUMBER(MATCH(Recommendations[Id],H349:AU349,0)))/COUNTIF(H349:AU349,"&lt;&gt;"))</f>
        <v/>
      </c>
      <c r="H349" s="272"/>
      <c r="I349" s="272"/>
      <c r="J349" s="272"/>
      <c r="K349" s="272"/>
      <c r="L349" s="272"/>
      <c r="M349" s="272"/>
      <c r="N349" s="272"/>
      <c r="O349" s="272"/>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2"/>
      <c r="AR349" s="272"/>
      <c r="AS349" s="272"/>
      <c r="AT349" s="272"/>
      <c r="AU349" s="286"/>
    </row>
    <row r="350" spans="1:47" ht="60" customHeight="1" x14ac:dyDescent="0.35">
      <c r="A350" s="282" t="s">
        <v>5832</v>
      </c>
      <c r="B350" s="260" t="s">
        <v>5964</v>
      </c>
      <c r="C350" s="261" t="s">
        <v>5984</v>
      </c>
      <c r="D350" s="264" t="s">
        <v>5985</v>
      </c>
      <c r="E350" s="265" t="s">
        <v>5281</v>
      </c>
      <c r="F350" s="268" t="s">
        <v>5971</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5832</v>
      </c>
      <c r="B351" s="260" t="s">
        <v>5964</v>
      </c>
      <c r="C351" s="261" t="s">
        <v>5986</v>
      </c>
      <c r="D351" s="264" t="s">
        <v>5987</v>
      </c>
      <c r="E351" s="265" t="s">
        <v>5281</v>
      </c>
      <c r="F351" s="268" t="s">
        <v>5971</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5832</v>
      </c>
      <c r="B352" s="260" t="s">
        <v>5964</v>
      </c>
      <c r="C352" s="261" t="s">
        <v>5988</v>
      </c>
      <c r="D352" s="264" t="s">
        <v>5989</v>
      </c>
      <c r="E352" s="265" t="s">
        <v>5281</v>
      </c>
      <c r="F352" s="268" t="s">
        <v>5971</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5832</v>
      </c>
      <c r="B353" s="260" t="s">
        <v>5964</v>
      </c>
      <c r="C353" s="261" t="s">
        <v>5990</v>
      </c>
      <c r="D353" s="264" t="s">
        <v>5991</v>
      </c>
      <c r="E353" s="265" t="s">
        <v>5377</v>
      </c>
      <c r="F353" s="268" t="s">
        <v>5851</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5832</v>
      </c>
      <c r="B354" s="259" t="s">
        <v>5992</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5832</v>
      </c>
      <c r="B355" s="260" t="s">
        <v>5992</v>
      </c>
      <c r="C355" s="261" t="s">
        <v>5993</v>
      </c>
      <c r="D355" s="264" t="s">
        <v>5994</v>
      </c>
      <c r="E355" s="265" t="s">
        <v>5377</v>
      </c>
      <c r="F355" s="268" t="s">
        <v>5995</v>
      </c>
      <c r="G355" s="271">
        <f>IF(COUNTIF(H355:AU355,"&lt;&gt;")=0,"",SUMPRODUCT(((Recommendations[ImplStatus]="Implemented")+(Recommendations[ImplStatus]="Compensated"))*ISNUMBER(MATCH(Recommendations[Id],H355:AU355,0)))/COUNTIF(H355:AU355,"&lt;&gt;"))</f>
        <v>0</v>
      </c>
      <c r="H355" s="272" t="s">
        <v>102</v>
      </c>
      <c r="I355" s="272" t="s">
        <v>117</v>
      </c>
      <c r="J355" s="272" t="s">
        <v>123</v>
      </c>
      <c r="K355" s="272" t="s">
        <v>128</v>
      </c>
      <c r="L355" s="272" t="s">
        <v>418</v>
      </c>
      <c r="M355" s="272" t="s">
        <v>423</v>
      </c>
      <c r="N355" s="272" t="s">
        <v>428</v>
      </c>
      <c r="O355" s="272"/>
      <c r="P355" s="272"/>
      <c r="Q355" s="272"/>
      <c r="R355" s="272"/>
      <c r="S355" s="272"/>
      <c r="T355" s="272"/>
      <c r="U355" s="272"/>
      <c r="V355" s="272"/>
      <c r="W355" s="272"/>
      <c r="X355" s="272"/>
      <c r="Y355" s="272"/>
      <c r="Z355" s="272"/>
      <c r="AA355" s="272"/>
      <c r="AB355" s="272"/>
      <c r="AC355" s="272"/>
      <c r="AD355" s="272"/>
      <c r="AE355" s="272"/>
      <c r="AF355" s="272"/>
      <c r="AG355" s="272"/>
      <c r="AH355" s="272"/>
      <c r="AI355" s="272"/>
      <c r="AJ355" s="272"/>
      <c r="AK355" s="272"/>
      <c r="AL355" s="272"/>
      <c r="AM355" s="272"/>
      <c r="AN355" s="272"/>
      <c r="AO355" s="272"/>
      <c r="AP355" s="272"/>
      <c r="AQ355" s="272"/>
      <c r="AR355" s="272"/>
      <c r="AS355" s="272"/>
      <c r="AT355" s="272"/>
      <c r="AU355" s="286"/>
    </row>
    <row r="356" spans="1:47" ht="60" customHeight="1" x14ac:dyDescent="0.35">
      <c r="A356" s="282" t="s">
        <v>5832</v>
      </c>
      <c r="B356" s="260" t="s">
        <v>5992</v>
      </c>
      <c r="C356" s="261" t="s">
        <v>5996</v>
      </c>
      <c r="D356" s="264" t="s">
        <v>5997</v>
      </c>
      <c r="E356" s="265" t="s">
        <v>5377</v>
      </c>
      <c r="F356" s="268" t="s">
        <v>5995</v>
      </c>
      <c r="G356" s="271">
        <f>IF(COUNTIF(H356:AU356,"&lt;&gt;")=0,"",SUMPRODUCT(((Recommendations[ImplStatus]="Implemented")+(Recommendations[ImplStatus]="Compensated"))*ISNUMBER(MATCH(Recommendations[Id],H356:AU356,0)))/COUNTIF(H356:AU356,"&lt;&gt;"))</f>
        <v>0</v>
      </c>
      <c r="H356" s="272" t="s">
        <v>123</v>
      </c>
      <c r="I356" s="272" t="s">
        <v>418</v>
      </c>
      <c r="J356" s="272" t="s">
        <v>423</v>
      </c>
      <c r="K356" s="272"/>
      <c r="L356" s="272"/>
      <c r="M356" s="272"/>
      <c r="N356" s="272"/>
      <c r="O356" s="272"/>
      <c r="P356" s="272"/>
      <c r="Q356" s="272"/>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5832</v>
      </c>
      <c r="B357" s="260" t="s">
        <v>5992</v>
      </c>
      <c r="C357" s="261" t="s">
        <v>5998</v>
      </c>
      <c r="D357" s="264" t="s">
        <v>5999</v>
      </c>
      <c r="E357" s="265" t="s">
        <v>5425</v>
      </c>
      <c r="F357" s="268" t="s">
        <v>5995</v>
      </c>
      <c r="G357" s="271">
        <f>IF(COUNTIF(H357:AU357,"&lt;&gt;")=0,"",SUMPRODUCT(((Recommendations[ImplStatus]="Implemented")+(Recommendations[ImplStatus]="Compensated"))*ISNUMBER(MATCH(Recommendations[Id],H357:AU357,0)))/COUNTIF(H357:AU357,"&lt;&gt;"))</f>
        <v>0</v>
      </c>
      <c r="H357" s="272" t="s">
        <v>117</v>
      </c>
      <c r="I357" s="272" t="s">
        <v>428</v>
      </c>
      <c r="J357" s="272"/>
      <c r="K357" s="272"/>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5832</v>
      </c>
      <c r="B358" s="260" t="s">
        <v>5992</v>
      </c>
      <c r="C358" s="261" t="s">
        <v>6000</v>
      </c>
      <c r="D358" s="264" t="s">
        <v>6001</v>
      </c>
      <c r="E358" s="265" t="s">
        <v>5425</v>
      </c>
      <c r="F358" s="268" t="s">
        <v>5995</v>
      </c>
      <c r="G358" s="271" t="str">
        <f>IF(COUNTIF(H358:AU358,"&lt;&gt;")=0,"",SUMPRODUCT(((Recommendations[ImplStatus]="Implemented")+(Recommendations[ImplStatus]="Compensated"))*ISNUMBER(MATCH(Recommendations[Id],H358:AU358,0)))/COUNTIF(H358:AU358,"&lt;&gt;"))</f>
        <v/>
      </c>
      <c r="H358" s="272"/>
      <c r="I358" s="272"/>
      <c r="J358" s="272"/>
      <c r="K358" s="272"/>
      <c r="L358" s="272"/>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5832</v>
      </c>
      <c r="B359" s="260" t="s">
        <v>5992</v>
      </c>
      <c r="C359" s="261" t="s">
        <v>6002</v>
      </c>
      <c r="D359" s="264" t="s">
        <v>6003</v>
      </c>
      <c r="E359" s="265" t="s">
        <v>5425</v>
      </c>
      <c r="F359" s="268" t="s">
        <v>5995</v>
      </c>
      <c r="G359" s="271">
        <f>IF(COUNTIF(H359:AU359,"&lt;&gt;")=0,"",SUMPRODUCT(((Recommendations[ImplStatus]="Implemented")+(Recommendations[ImplStatus]="Compensated"))*ISNUMBER(MATCH(Recommendations[Id],H359:AU359,0)))/COUNTIF(H359:AU359,"&lt;&gt;"))</f>
        <v>0</v>
      </c>
      <c r="H359" s="272" t="s">
        <v>128</v>
      </c>
      <c r="I359" s="272" t="s">
        <v>163</v>
      </c>
      <c r="J359" s="272"/>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5832</v>
      </c>
      <c r="B360" s="260" t="s">
        <v>5992</v>
      </c>
      <c r="C360" s="261" t="s">
        <v>6004</v>
      </c>
      <c r="D360" s="264" t="s">
        <v>6005</v>
      </c>
      <c r="E360" s="265" t="s">
        <v>5377</v>
      </c>
      <c r="F360" s="268" t="s">
        <v>5995</v>
      </c>
      <c r="G360" s="271" t="str">
        <f>IF(COUNTIF(H360:AU360,"&lt;&gt;")=0,"",SUMPRODUCT(((Recommendations[ImplStatus]="Implemented")+(Recommendations[ImplStatus]="Compensated"))*ISNUMBER(MATCH(Recommendations[Id],H360:AU360,0)))/COUNTIF(H360:AU360,"&lt;&gt;"))</f>
        <v/>
      </c>
      <c r="H360" s="272"/>
      <c r="I360" s="272"/>
      <c r="J360" s="272"/>
      <c r="K360" s="272"/>
      <c r="L360" s="272"/>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5832</v>
      </c>
      <c r="B361" s="260" t="s">
        <v>5992</v>
      </c>
      <c r="C361" s="261" t="s">
        <v>6006</v>
      </c>
      <c r="D361" s="264" t="s">
        <v>6007</v>
      </c>
      <c r="E361" s="265" t="s">
        <v>5310</v>
      </c>
      <c r="F361" s="268" t="s">
        <v>5995</v>
      </c>
      <c r="G361" s="271" t="str">
        <f>IF(COUNTIF(H361:AU361,"&lt;&gt;")=0,"",SUMPRODUCT(((Recommendations[ImplStatus]="Implemented")+(Recommendations[ImplStatus]="Compensated"))*ISNUMBER(MATCH(Recommendations[Id],H361:AU361,0)))/COUNTIF(H361:AU361,"&lt;&gt;"))</f>
        <v/>
      </c>
      <c r="H361" s="272"/>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5832</v>
      </c>
      <c r="B362" s="260" t="s">
        <v>5992</v>
      </c>
      <c r="C362" s="261" t="s">
        <v>6008</v>
      </c>
      <c r="D362" s="264" t="s">
        <v>6009</v>
      </c>
      <c r="E362" s="265" t="s">
        <v>5425</v>
      </c>
      <c r="F362" s="268" t="s">
        <v>5995</v>
      </c>
      <c r="G362" s="271" t="str">
        <f>IF(COUNTIF(H362:AU362,"&lt;&gt;")=0,"",SUMPRODUCT(((Recommendations[ImplStatus]="Implemented")+(Recommendations[ImplStatus]="Compensated"))*ISNUMBER(MATCH(Recommendations[Id],H362:AU362,0)))/COUNTIF(H362:AU362,"&lt;&gt;"))</f>
        <v/>
      </c>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5832</v>
      </c>
      <c r="B363" s="260" t="s">
        <v>5992</v>
      </c>
      <c r="C363" s="261" t="s">
        <v>6010</v>
      </c>
      <c r="D363" s="264" t="s">
        <v>6011</v>
      </c>
      <c r="E363" s="265" t="s">
        <v>5425</v>
      </c>
      <c r="F363" s="268" t="s">
        <v>5995</v>
      </c>
      <c r="G363" s="271" t="str">
        <f>IF(COUNTIF(H363:AU363,"&lt;&gt;")=0,"",SUMPRODUCT(((Recommendations[ImplStatus]="Implemented")+(Recommendations[ImplStatus]="Compensated"))*ISNUMBER(MATCH(Recommendations[Id],H363:AU363,0)))/COUNTIF(H363:AU363,"&lt;&gt;"))</f>
        <v/>
      </c>
      <c r="H363" s="272"/>
      <c r="I363" s="272"/>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5832</v>
      </c>
      <c r="B364" s="260" t="s">
        <v>5992</v>
      </c>
      <c r="C364" s="261" t="s">
        <v>6012</v>
      </c>
      <c r="D364" s="264" t="s">
        <v>6013</v>
      </c>
      <c r="E364" s="265" t="s">
        <v>5425</v>
      </c>
      <c r="F364" s="268" t="s">
        <v>5995</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5832</v>
      </c>
      <c r="B365" s="260" t="s">
        <v>5992</v>
      </c>
      <c r="C365" s="261" t="s">
        <v>6014</v>
      </c>
      <c r="D365" s="264" t="s">
        <v>6015</v>
      </c>
      <c r="E365" s="265" t="s">
        <v>5425</v>
      </c>
      <c r="F365" s="268" t="s">
        <v>5995</v>
      </c>
      <c r="G365" s="271" t="str">
        <f>IF(COUNTIF(H365:AU365,"&lt;&gt;")=0,"",SUMPRODUCT(((Recommendations[ImplStatus]="Implemented")+(Recommendations[ImplStatus]="Compensated"))*ISNUMBER(MATCH(Recommendations[Id],H365:AU365,0)))/COUNTIF(H365:AU365,"&lt;&gt;"))</f>
        <v/>
      </c>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5832</v>
      </c>
      <c r="B366" s="260" t="s">
        <v>5992</v>
      </c>
      <c r="C366" s="261" t="s">
        <v>6016</v>
      </c>
      <c r="D366" s="264" t="s">
        <v>6017</v>
      </c>
      <c r="E366" s="265" t="s">
        <v>5425</v>
      </c>
      <c r="F366" s="268" t="s">
        <v>5995</v>
      </c>
      <c r="G366" s="271" t="str">
        <f>IF(COUNTIF(H366:AU366,"&lt;&gt;")=0,"",SUMPRODUCT(((Recommendations[ImplStatus]="Implemented")+(Recommendations[ImplStatus]="Compensated"))*ISNUMBER(MATCH(Recommendations[Id],H366:AU366,0)))/COUNTIF(H366:AU366,"&lt;&gt;"))</f>
        <v/>
      </c>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5832</v>
      </c>
      <c r="B367" s="260" t="s">
        <v>5992</v>
      </c>
      <c r="C367" s="261" t="s">
        <v>6018</v>
      </c>
      <c r="D367" s="264" t="s">
        <v>6019</v>
      </c>
      <c r="E367" s="265" t="s">
        <v>5425</v>
      </c>
      <c r="F367" s="268" t="s">
        <v>5995</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5832</v>
      </c>
      <c r="B368" s="260" t="s">
        <v>5992</v>
      </c>
      <c r="C368" s="261" t="s">
        <v>6020</v>
      </c>
      <c r="D368" s="264" t="s">
        <v>6021</v>
      </c>
      <c r="E368" s="265" t="s">
        <v>5425</v>
      </c>
      <c r="F368" s="268" t="s">
        <v>5995</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5832</v>
      </c>
      <c r="B369" s="260" t="s">
        <v>5992</v>
      </c>
      <c r="C369" s="261" t="s">
        <v>6022</v>
      </c>
      <c r="D369" s="264" t="s">
        <v>6023</v>
      </c>
      <c r="E369" s="265" t="s">
        <v>5425</v>
      </c>
      <c r="F369" s="268" t="s">
        <v>5995</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6024</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6024</v>
      </c>
      <c r="B371" s="259" t="s">
        <v>6025</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6024</v>
      </c>
      <c r="B372" s="260" t="s">
        <v>6025</v>
      </c>
      <c r="C372" s="261" t="s">
        <v>6026</v>
      </c>
      <c r="D372" s="264" t="s">
        <v>6027</v>
      </c>
      <c r="E372" s="265" t="s">
        <v>5281</v>
      </c>
      <c r="F372" s="268" t="s">
        <v>6028</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6024</v>
      </c>
      <c r="B373" s="260" t="s">
        <v>6025</v>
      </c>
      <c r="C373" s="261" t="s">
        <v>6029</v>
      </c>
      <c r="D373" s="264" t="s">
        <v>6030</v>
      </c>
      <c r="E373" s="265" t="s">
        <v>5281</v>
      </c>
      <c r="F373" s="268" t="s">
        <v>6031</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6024</v>
      </c>
      <c r="B374" s="260" t="s">
        <v>6025</v>
      </c>
      <c r="C374" s="261" t="s">
        <v>6032</v>
      </c>
      <c r="D374" s="264" t="s">
        <v>6033</v>
      </c>
      <c r="E374" s="265" t="s">
        <v>5310</v>
      </c>
      <c r="F374" s="268" t="s">
        <v>6031</v>
      </c>
      <c r="G374" s="271" t="str">
        <f>IF(COUNTIF(H374:AU374,"&lt;&gt;")=0,"",SUMPRODUCT(((Recommendations[ImplStatus]="Implemented")+(Recommendations[ImplStatus]="Compensated"))*ISNUMBER(MATCH(Recommendations[Id],H374:AU374,0)))/COUNTIF(H374:AU374,"&lt;&gt;"))</f>
        <v/>
      </c>
      <c r="H374" s="272"/>
      <c r="I374" s="272"/>
      <c r="J374" s="272"/>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6024</v>
      </c>
      <c r="B375" s="260" t="s">
        <v>6025</v>
      </c>
      <c r="C375" s="261" t="s">
        <v>6034</v>
      </c>
      <c r="D375" s="264" t="s">
        <v>6035</v>
      </c>
      <c r="E375" s="265" t="s">
        <v>5310</v>
      </c>
      <c r="F375" s="268" t="s">
        <v>6031</v>
      </c>
      <c r="G375" s="271" t="str">
        <f>IF(COUNTIF(H375:AU375,"&lt;&gt;")=0,"",SUMPRODUCT(((Recommendations[ImplStatus]="Implemented")+(Recommendations[ImplStatus]="Compensated"))*ISNUMBER(MATCH(Recommendations[Id],H375:AU375,0)))/COUNTIF(H375:AU375,"&lt;&gt;"))</f>
        <v/>
      </c>
      <c r="H375" s="272"/>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6024</v>
      </c>
      <c r="B376" s="260" t="s">
        <v>6025</v>
      </c>
      <c r="C376" s="261" t="s">
        <v>6036</v>
      </c>
      <c r="D376" s="264" t="s">
        <v>6037</v>
      </c>
      <c r="E376" s="265" t="s">
        <v>5310</v>
      </c>
      <c r="F376" s="268" t="s">
        <v>5893</v>
      </c>
      <c r="G376" s="271">
        <f>IF(COUNTIF(H376:AU376,"&lt;&gt;")=0,"",SUMPRODUCT(((Recommendations[ImplStatus]="Implemented")+(Recommendations[ImplStatus]="Compensated"))*ISNUMBER(MATCH(Recommendations[Id],H376:AU376,0)))/COUNTIF(H376:AU376,"&lt;&gt;"))</f>
        <v>0</v>
      </c>
      <c r="H376" s="272" t="s">
        <v>163</v>
      </c>
      <c r="I376" s="272"/>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6024</v>
      </c>
      <c r="B377" s="260" t="s">
        <v>6025</v>
      </c>
      <c r="C377" s="261" t="s">
        <v>6038</v>
      </c>
      <c r="D377" s="264" t="s">
        <v>6039</v>
      </c>
      <c r="E377" s="265" t="s">
        <v>5377</v>
      </c>
      <c r="F377" s="268" t="s">
        <v>5851</v>
      </c>
      <c r="G377" s="271" t="str">
        <f>IF(COUNTIF(H377:AU377,"&lt;&gt;")=0,"",SUMPRODUCT(((Recommendations[ImplStatus]="Implemented")+(Recommendations[ImplStatus]="Compensated"))*ISNUMBER(MATCH(Recommendations[Id],H377:AU377,0)))/COUNTIF(H377:AU377,"&lt;&gt;"))</f>
        <v/>
      </c>
      <c r="H377" s="272"/>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6024</v>
      </c>
      <c r="B378" s="260" t="s">
        <v>6025</v>
      </c>
      <c r="C378" s="261" t="s">
        <v>6040</v>
      </c>
      <c r="D378" s="264" t="s">
        <v>6041</v>
      </c>
      <c r="E378" s="265" t="s">
        <v>5377</v>
      </c>
      <c r="F378" s="268" t="s">
        <v>6031</v>
      </c>
      <c r="G378" s="271">
        <f>IF(COUNTIF(H378:AU378,"&lt;&gt;")=0,"",SUMPRODUCT(((Recommendations[ImplStatus]="Implemented")+(Recommendations[ImplStatus]="Compensated"))*ISNUMBER(MATCH(Recommendations[Id],H378:AU378,0)))/COUNTIF(H378:AU378,"&lt;&gt;"))</f>
        <v>0</v>
      </c>
      <c r="H378" s="272" t="s">
        <v>468</v>
      </c>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6024</v>
      </c>
      <c r="B379" s="260" t="s">
        <v>6025</v>
      </c>
      <c r="C379" s="261" t="s">
        <v>6042</v>
      </c>
      <c r="D379" s="264" t="s">
        <v>6043</v>
      </c>
      <c r="E379" s="265" t="s">
        <v>5377</v>
      </c>
      <c r="F379" s="268" t="s">
        <v>6028</v>
      </c>
      <c r="G379" s="271">
        <f>IF(COUNTIF(H379:AU379,"&lt;&gt;")=0,"",SUMPRODUCT(((Recommendations[ImplStatus]="Implemented")+(Recommendations[ImplStatus]="Compensated"))*ISNUMBER(MATCH(Recommendations[Id],H379:AU379,0)))/COUNTIF(H379:AU379,"&lt;&gt;"))</f>
        <v>0</v>
      </c>
      <c r="H379" s="272" t="s">
        <v>206</v>
      </c>
      <c r="I379" s="272" t="s">
        <v>310</v>
      </c>
      <c r="J379" s="272" t="s">
        <v>372</v>
      </c>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6024</v>
      </c>
      <c r="B380" s="260" t="s">
        <v>6025</v>
      </c>
      <c r="C380" s="261" t="s">
        <v>6044</v>
      </c>
      <c r="D380" s="264" t="s">
        <v>6045</v>
      </c>
      <c r="E380" s="265" t="s">
        <v>5377</v>
      </c>
      <c r="F380" s="268" t="s">
        <v>6028</v>
      </c>
      <c r="G380" s="271">
        <f>IF(COUNTIF(H380:AU380,"&lt;&gt;")=0,"",SUMPRODUCT(((Recommendations[ImplStatus]="Implemented")+(Recommendations[ImplStatus]="Compensated"))*ISNUMBER(MATCH(Recommendations[Id],H380:AU380,0)))/COUNTIF(H380:AU380,"&lt;&gt;"))</f>
        <v>0</v>
      </c>
      <c r="H380" s="272" t="s">
        <v>112</v>
      </c>
      <c r="I380" s="272" t="s">
        <v>216</v>
      </c>
      <c r="J380" s="272" t="s">
        <v>266</v>
      </c>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6024</v>
      </c>
      <c r="B381" s="260" t="s">
        <v>6025</v>
      </c>
      <c r="C381" s="261" t="s">
        <v>6046</v>
      </c>
      <c r="D381" s="264" t="s">
        <v>6047</v>
      </c>
      <c r="E381" s="265" t="s">
        <v>5377</v>
      </c>
      <c r="F381" s="268" t="s">
        <v>6028</v>
      </c>
      <c r="G381" s="271">
        <f>IF(COUNTIF(H381:AU381,"&lt;&gt;")=0,"",SUMPRODUCT(((Recommendations[ImplStatus]="Implemented")+(Recommendations[ImplStatus]="Compensated"))*ISNUMBER(MATCH(Recommendations[Id],H381:AU381,0)))/COUNTIF(H381:AU381,"&lt;&gt;"))</f>
        <v>0</v>
      </c>
      <c r="H381" s="272" t="s">
        <v>81</v>
      </c>
      <c r="I381" s="272" t="s">
        <v>225</v>
      </c>
      <c r="J381" s="272" t="s">
        <v>372</v>
      </c>
      <c r="K381" s="272" t="s">
        <v>402</v>
      </c>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6024</v>
      </c>
      <c r="B382" s="260" t="s">
        <v>6025</v>
      </c>
      <c r="C382" s="261" t="s">
        <v>6048</v>
      </c>
      <c r="D382" s="264" t="s">
        <v>6049</v>
      </c>
      <c r="E382" s="265" t="s">
        <v>5425</v>
      </c>
      <c r="F382" s="268" t="s">
        <v>6028</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6024</v>
      </c>
      <c r="B383" s="260" t="s">
        <v>6025</v>
      </c>
      <c r="C383" s="261" t="s">
        <v>6050</v>
      </c>
      <c r="D383" s="264" t="s">
        <v>6051</v>
      </c>
      <c r="E383" s="265" t="s">
        <v>5425</v>
      </c>
      <c r="F383" s="268" t="s">
        <v>6028</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6024</v>
      </c>
      <c r="B384" s="260" t="s">
        <v>6025</v>
      </c>
      <c r="C384" s="261" t="s">
        <v>6052</v>
      </c>
      <c r="D384" s="264" t="s">
        <v>6053</v>
      </c>
      <c r="E384" s="265" t="s">
        <v>5425</v>
      </c>
      <c r="F384" s="268" t="s">
        <v>6028</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6024</v>
      </c>
      <c r="B385" s="260" t="s">
        <v>6025</v>
      </c>
      <c r="C385" s="261" t="s">
        <v>6054</v>
      </c>
      <c r="D385" s="264" t="s">
        <v>6055</v>
      </c>
      <c r="E385" s="265" t="s">
        <v>5377</v>
      </c>
      <c r="F385" s="268" t="s">
        <v>6028</v>
      </c>
      <c r="G385" s="271">
        <f>IF(COUNTIF(H385:AU385,"&lt;&gt;")=0,"",SUMPRODUCT(((Recommendations[ImplStatus]="Implemented")+(Recommendations[ImplStatus]="Compensated"))*ISNUMBER(MATCH(Recommendations[Id],H385:AU385,0)))/COUNTIF(H385:AU385,"&lt;&gt;"))</f>
        <v>0</v>
      </c>
      <c r="H385" s="272" t="s">
        <v>468</v>
      </c>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6024</v>
      </c>
      <c r="B386" s="259" t="s">
        <v>6056</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6024</v>
      </c>
      <c r="B387" s="260" t="s">
        <v>6056</v>
      </c>
      <c r="C387" s="261" t="s">
        <v>6057</v>
      </c>
      <c r="D387" s="264" t="s">
        <v>6058</v>
      </c>
      <c r="E387" s="265" t="s">
        <v>5281</v>
      </c>
      <c r="F387" s="268" t="s">
        <v>6059</v>
      </c>
      <c r="G387" s="271">
        <f>IF(COUNTIF(H387:AU387,"&lt;&gt;")=0,"",SUMPRODUCT(((Recommendations[ImplStatus]="Implemented")+(Recommendations[ImplStatus]="Compensated"))*ISNUMBER(MATCH(Recommendations[Id],H387:AU387,0)))/COUNTIF(H387:AU387,"&lt;&gt;"))</f>
        <v>0</v>
      </c>
      <c r="H387" s="272" t="s">
        <v>220</v>
      </c>
      <c r="I387" s="272" t="s">
        <v>368</v>
      </c>
      <c r="J387" s="272" t="s">
        <v>407</v>
      </c>
      <c r="K387" s="272" t="s">
        <v>413</v>
      </c>
      <c r="L387" s="272" t="s">
        <v>453</v>
      </c>
      <c r="M387" s="272" t="s">
        <v>473</v>
      </c>
      <c r="N387" s="272"/>
      <c r="O387" s="272"/>
      <c r="P387" s="272"/>
      <c r="Q387" s="272"/>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6024</v>
      </c>
      <c r="B388" s="260" t="s">
        <v>6056</v>
      </c>
      <c r="C388" s="261" t="s">
        <v>6060</v>
      </c>
      <c r="D388" s="264" t="s">
        <v>6061</v>
      </c>
      <c r="E388" s="265" t="s">
        <v>5281</v>
      </c>
      <c r="F388" s="268" t="s">
        <v>6059</v>
      </c>
      <c r="G388" s="271">
        <f>IF(COUNTIF(H388:AU388,"&lt;&gt;")=0,"",SUMPRODUCT(((Recommendations[ImplStatus]="Implemented")+(Recommendations[ImplStatus]="Compensated"))*ISNUMBER(MATCH(Recommendations[Id],H388:AU388,0)))/COUNTIF(H388:AU388,"&lt;&gt;"))</f>
        <v>0</v>
      </c>
      <c r="H388" s="272" t="s">
        <v>276</v>
      </c>
      <c r="I388" s="272" t="s">
        <v>281</v>
      </c>
      <c r="J388" s="272" t="s">
        <v>286</v>
      </c>
      <c r="K388" s="272" t="s">
        <v>407</v>
      </c>
      <c r="L388" s="272" t="s">
        <v>413</v>
      </c>
      <c r="M388" s="272" t="s">
        <v>453</v>
      </c>
      <c r="N388" s="272" t="s">
        <v>473</v>
      </c>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6024</v>
      </c>
      <c r="B389" s="260" t="s">
        <v>6056</v>
      </c>
      <c r="C389" s="261" t="s">
        <v>6062</v>
      </c>
      <c r="D389" s="264" t="s">
        <v>6063</v>
      </c>
      <c r="E389" s="265" t="s">
        <v>5560</v>
      </c>
      <c r="F389" s="268" t="s">
        <v>6059</v>
      </c>
      <c r="G389" s="271" t="str">
        <f>IF(COUNTIF(H389:AU389,"&lt;&gt;")=0,"",SUMPRODUCT(((Recommendations[ImplStatus]="Implemented")+(Recommendations[ImplStatus]="Compensated"))*ISNUMBER(MATCH(Recommendations[Id],H389:AU389,0)))/COUNTIF(H389:AU389,"&lt;&gt;"))</f>
        <v/>
      </c>
      <c r="H389" s="272"/>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6024</v>
      </c>
      <c r="B390" s="260" t="s">
        <v>6056</v>
      </c>
      <c r="C390" s="261" t="s">
        <v>6064</v>
      </c>
      <c r="D390" s="264" t="s">
        <v>6065</v>
      </c>
      <c r="E390" s="265" t="s">
        <v>5377</v>
      </c>
      <c r="F390" s="268" t="s">
        <v>6059</v>
      </c>
      <c r="G390" s="271" t="str">
        <f>IF(COUNTIF(H390:AU390,"&lt;&gt;")=0,"",SUMPRODUCT(((Recommendations[ImplStatus]="Implemented")+(Recommendations[ImplStatus]="Compensated"))*ISNUMBER(MATCH(Recommendations[Id],H390:AU390,0)))/COUNTIF(H390:AU390,"&lt;&gt;"))</f>
        <v/>
      </c>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6024</v>
      </c>
      <c r="B391" s="260" t="s">
        <v>6056</v>
      </c>
      <c r="C391" s="261" t="s">
        <v>6066</v>
      </c>
      <c r="D391" s="264" t="s">
        <v>6067</v>
      </c>
      <c r="E391" s="265" t="s">
        <v>5560</v>
      </c>
      <c r="F391" s="268" t="s">
        <v>6059</v>
      </c>
      <c r="G391" s="271" t="str">
        <f>IF(COUNTIF(H391:AU391,"&lt;&gt;")=0,"",SUMPRODUCT(((Recommendations[ImplStatus]="Implemented")+(Recommendations[ImplStatus]="Compensated"))*ISNUMBER(MATCH(Recommendations[Id],H391:AU391,0)))/COUNTIF(H391:AU391,"&lt;&gt;"))</f>
        <v/>
      </c>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6024</v>
      </c>
      <c r="B392" s="260" t="s">
        <v>6056</v>
      </c>
      <c r="C392" s="261" t="s">
        <v>6068</v>
      </c>
      <c r="D392" s="264" t="s">
        <v>6069</v>
      </c>
      <c r="E392" s="265" t="s">
        <v>5310</v>
      </c>
      <c r="F392" s="268" t="s">
        <v>6059</v>
      </c>
      <c r="G392" s="271" t="str">
        <f>IF(COUNTIF(H392:AU392,"&lt;&gt;")=0,"",SUMPRODUCT(((Recommendations[ImplStatus]="Implemented")+(Recommendations[ImplStatus]="Compensated"))*ISNUMBER(MATCH(Recommendations[Id],H392:AU392,0)))/COUNTIF(H392:AU392,"&lt;&gt;"))</f>
        <v/>
      </c>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6024</v>
      </c>
      <c r="B393" s="260" t="s">
        <v>6056</v>
      </c>
      <c r="C393" s="261" t="s">
        <v>6070</v>
      </c>
      <c r="D393" s="264" t="s">
        <v>6071</v>
      </c>
      <c r="E393" s="265" t="s">
        <v>5310</v>
      </c>
      <c r="F393" s="268" t="s">
        <v>6059</v>
      </c>
      <c r="G393" s="271" t="str">
        <f>IF(COUNTIF(H393:AU393,"&lt;&gt;")=0,"",SUMPRODUCT(((Recommendations[ImplStatus]="Implemented")+(Recommendations[ImplStatus]="Compensated"))*ISNUMBER(MATCH(Recommendations[Id],H393:AU393,0)))/COUNTIF(H393:AU393,"&lt;&gt;"))</f>
        <v/>
      </c>
      <c r="H393" s="272"/>
      <c r="I393" s="272"/>
      <c r="J393" s="272"/>
      <c r="K393" s="272"/>
      <c r="L393" s="272"/>
      <c r="M393" s="272"/>
      <c r="N393" s="272"/>
      <c r="O393" s="272"/>
      <c r="P393" s="272"/>
      <c r="Q393" s="272"/>
      <c r="R393" s="272"/>
      <c r="S393" s="272"/>
      <c r="T393" s="272"/>
      <c r="U393" s="272"/>
      <c r="V393" s="272"/>
      <c r="W393" s="272"/>
      <c r="X393" s="272"/>
      <c r="Y393" s="272"/>
      <c r="Z393" s="272"/>
      <c r="AA393" s="272"/>
      <c r="AB393" s="272"/>
      <c r="AC393" s="272"/>
      <c r="AD393" s="272"/>
      <c r="AE393" s="272"/>
      <c r="AF393" s="272"/>
      <c r="AG393" s="272"/>
      <c r="AH393" s="272"/>
      <c r="AI393" s="272"/>
      <c r="AJ393" s="272"/>
      <c r="AK393" s="272"/>
      <c r="AL393" s="272"/>
      <c r="AM393" s="272"/>
      <c r="AN393" s="272"/>
      <c r="AO393" s="272"/>
      <c r="AP393" s="272"/>
      <c r="AQ393" s="272"/>
      <c r="AR393" s="272"/>
      <c r="AS393" s="272"/>
      <c r="AT393" s="272"/>
      <c r="AU393" s="286"/>
    </row>
    <row r="394" spans="1:47" ht="60" customHeight="1" x14ac:dyDescent="0.35">
      <c r="A394" s="282" t="s">
        <v>6024</v>
      </c>
      <c r="B394" s="260" t="s">
        <v>6056</v>
      </c>
      <c r="C394" s="261" t="s">
        <v>6072</v>
      </c>
      <c r="D394" s="264" t="s">
        <v>6073</v>
      </c>
      <c r="E394" s="265" t="s">
        <v>5560</v>
      </c>
      <c r="F394" s="268" t="s">
        <v>6059</v>
      </c>
      <c r="G394" s="271" t="str">
        <f>IF(COUNTIF(H394:AU394,"&lt;&gt;")=0,"",SUMPRODUCT(((Recommendations[ImplStatus]="Implemented")+(Recommendations[ImplStatus]="Compensated"))*ISNUMBER(MATCH(Recommendations[Id],H394:AU394,0)))/COUNTIF(H394:AU394,"&lt;&gt;"))</f>
        <v/>
      </c>
      <c r="H394" s="272"/>
      <c r="I394" s="272"/>
      <c r="J394" s="272"/>
      <c r="K394" s="272"/>
      <c r="L394" s="272"/>
      <c r="M394" s="272"/>
      <c r="N394" s="272"/>
      <c r="O394" s="272"/>
      <c r="P394" s="272"/>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6024</v>
      </c>
      <c r="B395" s="260" t="s">
        <v>6056</v>
      </c>
      <c r="C395" s="261" t="s">
        <v>6074</v>
      </c>
      <c r="D395" s="264" t="s">
        <v>6075</v>
      </c>
      <c r="E395" s="265" t="s">
        <v>5377</v>
      </c>
      <c r="F395" s="268" t="s">
        <v>6059</v>
      </c>
      <c r="G395" s="271">
        <f>IF(COUNTIF(H395:AU395,"&lt;&gt;")=0,"",SUMPRODUCT(((Recommendations[ImplStatus]="Implemented")+(Recommendations[ImplStatus]="Compensated"))*ISNUMBER(MATCH(Recommendations[Id],H395:AU395,0)))/COUNTIF(H395:AU395,"&lt;&gt;"))</f>
        <v>0</v>
      </c>
      <c r="H395" s="272" t="s">
        <v>231</v>
      </c>
      <c r="I395" s="272"/>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6024</v>
      </c>
      <c r="B396" s="260" t="s">
        <v>6056</v>
      </c>
      <c r="C396" s="261" t="s">
        <v>6076</v>
      </c>
      <c r="D396" s="264" t="s">
        <v>6077</v>
      </c>
      <c r="E396" s="265" t="s">
        <v>5560</v>
      </c>
      <c r="F396" s="268" t="s">
        <v>6059</v>
      </c>
      <c r="G396" s="271" t="str">
        <f>IF(COUNTIF(H396:AU396,"&lt;&gt;")=0,"",SUMPRODUCT(((Recommendations[ImplStatus]="Implemented")+(Recommendations[ImplStatus]="Compensated"))*ISNUMBER(MATCH(Recommendations[Id],H396:AU396,0)))/COUNTIF(H396:AU396,"&lt;&gt;"))</f>
        <v/>
      </c>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6024</v>
      </c>
      <c r="B397" s="260" t="s">
        <v>6056</v>
      </c>
      <c r="C397" s="261" t="s">
        <v>6078</v>
      </c>
      <c r="D397" s="264" t="s">
        <v>6079</v>
      </c>
      <c r="E397" s="265" t="s">
        <v>5310</v>
      </c>
      <c r="F397" s="268" t="s">
        <v>6059</v>
      </c>
      <c r="G397" s="271" t="str">
        <f>IF(COUNTIF(H397:AU397,"&lt;&gt;")=0,"",SUMPRODUCT(((Recommendations[ImplStatus]="Implemented")+(Recommendations[ImplStatus]="Compensated"))*ISNUMBER(MATCH(Recommendations[Id],H397:AU397,0)))/COUNTIF(H397:AU397,"&lt;&gt;"))</f>
        <v/>
      </c>
      <c r="H397" s="272"/>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6024</v>
      </c>
      <c r="B398" s="260" t="s">
        <v>6056</v>
      </c>
      <c r="C398" s="261" t="s">
        <v>6080</v>
      </c>
      <c r="D398" s="264" t="s">
        <v>6081</v>
      </c>
      <c r="E398" s="265" t="s">
        <v>5425</v>
      </c>
      <c r="F398" s="268" t="s">
        <v>6059</v>
      </c>
      <c r="G398" s="271" t="str">
        <f>IF(COUNTIF(H398:AU398,"&lt;&gt;")=0,"",SUMPRODUCT(((Recommendations[ImplStatus]="Implemented")+(Recommendations[ImplStatus]="Compensated"))*ISNUMBER(MATCH(Recommendations[Id],H398:AU398,0)))/COUNTIF(H398:AU398,"&lt;&gt;"))</f>
        <v/>
      </c>
      <c r="H398" s="272"/>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6024</v>
      </c>
      <c r="B399" s="260" t="s">
        <v>6056</v>
      </c>
      <c r="C399" s="261" t="s">
        <v>6082</v>
      </c>
      <c r="D399" s="264" t="s">
        <v>6083</v>
      </c>
      <c r="E399" s="265" t="s">
        <v>5560</v>
      </c>
      <c r="F399" s="268" t="s">
        <v>6059</v>
      </c>
      <c r="G399" s="271" t="str">
        <f>IF(COUNTIF(H399:AU399,"&lt;&gt;")=0,"",SUMPRODUCT(((Recommendations[ImplStatus]="Implemented")+(Recommendations[ImplStatus]="Compensated"))*ISNUMBER(MATCH(Recommendations[Id],H399:AU399,0)))/COUNTIF(H399:AU399,"&lt;&gt;"))</f>
        <v/>
      </c>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6024</v>
      </c>
      <c r="B400" s="260" t="s">
        <v>6056</v>
      </c>
      <c r="C400" s="261" t="s">
        <v>6084</v>
      </c>
      <c r="D400" s="264" t="s">
        <v>6085</v>
      </c>
      <c r="E400" s="265" t="s">
        <v>5560</v>
      </c>
      <c r="F400" s="268" t="s">
        <v>6059</v>
      </c>
      <c r="G400" s="271" t="str">
        <f>IF(COUNTIF(H400:AU400,"&lt;&gt;")=0,"",SUMPRODUCT(((Recommendations[ImplStatus]="Implemented")+(Recommendations[ImplStatus]="Compensated"))*ISNUMBER(MATCH(Recommendations[Id],H400:AU400,0)))/COUNTIF(H400:AU400,"&lt;&gt;"))</f>
        <v/>
      </c>
      <c r="H400" s="272"/>
      <c r="I400" s="272"/>
      <c r="J400" s="272"/>
      <c r="K400" s="272"/>
      <c r="L400" s="272"/>
      <c r="M400" s="272"/>
      <c r="N400" s="272"/>
      <c r="O400" s="272"/>
      <c r="P400" s="272"/>
      <c r="Q400" s="272"/>
      <c r="R400" s="272"/>
      <c r="S400" s="272"/>
      <c r="T400" s="272"/>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6024</v>
      </c>
      <c r="B401" s="260" t="s">
        <v>6056</v>
      </c>
      <c r="C401" s="261" t="s">
        <v>6086</v>
      </c>
      <c r="D401" s="264" t="s">
        <v>6087</v>
      </c>
      <c r="E401" s="265" t="s">
        <v>5310</v>
      </c>
      <c r="F401" s="268" t="s">
        <v>6059</v>
      </c>
      <c r="G401" s="271">
        <f>IF(COUNTIF(H401:AU401,"&lt;&gt;")=0,"",SUMPRODUCT(((Recommendations[ImplStatus]="Implemented")+(Recommendations[ImplStatus]="Compensated"))*ISNUMBER(MATCH(Recommendations[Id],H401:AU401,0)))/COUNTIF(H401:AU401,"&lt;&gt;"))</f>
        <v>0</v>
      </c>
      <c r="H401" s="272" t="s">
        <v>76</v>
      </c>
      <c r="I401" s="272" t="s">
        <v>315</v>
      </c>
      <c r="J401" s="272" t="s">
        <v>320</v>
      </c>
      <c r="K401" s="272" t="s">
        <v>438</v>
      </c>
      <c r="L401" s="272" t="s">
        <v>448</v>
      </c>
      <c r="M401" s="272"/>
      <c r="N401" s="272"/>
      <c r="O401" s="272"/>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6024</v>
      </c>
      <c r="B402" s="260" t="s">
        <v>6056</v>
      </c>
      <c r="C402" s="261" t="s">
        <v>6088</v>
      </c>
      <c r="D402" s="264" t="s">
        <v>6089</v>
      </c>
      <c r="E402" s="265" t="s">
        <v>5310</v>
      </c>
      <c r="F402" s="268" t="s">
        <v>6059</v>
      </c>
      <c r="G402" s="271">
        <f>IF(COUNTIF(H402:AU402,"&lt;&gt;")=0,"",SUMPRODUCT(((Recommendations[ImplStatus]="Implemented")+(Recommendations[ImplStatus]="Compensated"))*ISNUMBER(MATCH(Recommendations[Id],H402:AU402,0)))/COUNTIF(H402:AU402,"&lt;&gt;"))</f>
        <v>0</v>
      </c>
      <c r="H402" s="272" t="s">
        <v>315</v>
      </c>
      <c r="I402" s="272" t="s">
        <v>320</v>
      </c>
      <c r="J402" s="272" t="s">
        <v>438</v>
      </c>
      <c r="K402" s="272" t="s">
        <v>448</v>
      </c>
      <c r="L402" s="272"/>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6024</v>
      </c>
      <c r="B403" s="260" t="s">
        <v>6056</v>
      </c>
      <c r="C403" s="261" t="s">
        <v>6090</v>
      </c>
      <c r="D403" s="264" t="s">
        <v>6091</v>
      </c>
      <c r="E403" s="265" t="s">
        <v>5310</v>
      </c>
      <c r="F403" s="268" t="s">
        <v>6059</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6024</v>
      </c>
      <c r="B404" s="260" t="s">
        <v>6056</v>
      </c>
      <c r="C404" s="261" t="s">
        <v>6092</v>
      </c>
      <c r="D404" s="264" t="s">
        <v>6093</v>
      </c>
      <c r="E404" s="265" t="s">
        <v>5425</v>
      </c>
      <c r="F404" s="268" t="s">
        <v>6059</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6024</v>
      </c>
      <c r="B405" s="260" t="s">
        <v>6056</v>
      </c>
      <c r="C405" s="261" t="s">
        <v>6094</v>
      </c>
      <c r="D405" s="264" t="s">
        <v>6095</v>
      </c>
      <c r="E405" s="265" t="s">
        <v>5425</v>
      </c>
      <c r="F405" s="268" t="s">
        <v>6059</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6024</v>
      </c>
      <c r="B406" s="260" t="s">
        <v>6056</v>
      </c>
      <c r="C406" s="261" t="s">
        <v>6096</v>
      </c>
      <c r="D406" s="264" t="s">
        <v>6097</v>
      </c>
      <c r="E406" s="265" t="s">
        <v>5425</v>
      </c>
      <c r="F406" s="268" t="s">
        <v>6098</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6024</v>
      </c>
      <c r="B407" s="260" t="s">
        <v>6056</v>
      </c>
      <c r="C407" s="261" t="s">
        <v>6099</v>
      </c>
      <c r="D407" s="264" t="s">
        <v>6100</v>
      </c>
      <c r="E407" s="265" t="s">
        <v>5425</v>
      </c>
      <c r="F407" s="268" t="s">
        <v>6059</v>
      </c>
      <c r="G407" s="271">
        <f>IF(COUNTIF(H407:AU407,"&lt;&gt;")=0,"",SUMPRODUCT(((Recommendations[ImplStatus]="Implemented")+(Recommendations[ImplStatus]="Compensated"))*ISNUMBER(MATCH(Recommendations[Id],H407:AU407,0)))/COUNTIF(H407:AU407,"&lt;&gt;"))</f>
        <v>0</v>
      </c>
      <c r="H407" s="272" t="s">
        <v>14</v>
      </c>
      <c r="I407" s="272" t="s">
        <v>25</v>
      </c>
      <c r="J407" s="272" t="s">
        <v>30</v>
      </c>
      <c r="K407" s="272" t="s">
        <v>35</v>
      </c>
      <c r="L407" s="272" t="s">
        <v>40</v>
      </c>
      <c r="M407" s="272" t="s">
        <v>45</v>
      </c>
      <c r="N407" s="272" t="s">
        <v>50</v>
      </c>
      <c r="O407" s="272" t="s">
        <v>56</v>
      </c>
      <c r="P407" s="272" t="s">
        <v>61</v>
      </c>
      <c r="Q407" s="272" t="s">
        <v>66</v>
      </c>
      <c r="R407" s="272" t="s">
        <v>71</v>
      </c>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6024</v>
      </c>
      <c r="B408" s="260" t="s">
        <v>6056</v>
      </c>
      <c r="C408" s="261" t="s">
        <v>6101</v>
      </c>
      <c r="D408" s="264" t="s">
        <v>6102</v>
      </c>
      <c r="E408" s="265" t="s">
        <v>5425</v>
      </c>
      <c r="F408" s="268" t="s">
        <v>6059</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6024</v>
      </c>
      <c r="B409" s="260" t="s">
        <v>6056</v>
      </c>
      <c r="C409" s="261" t="s">
        <v>6103</v>
      </c>
      <c r="D409" s="264" t="s">
        <v>6104</v>
      </c>
      <c r="E409" s="265" t="s">
        <v>5425</v>
      </c>
      <c r="F409" s="268" t="s">
        <v>6105</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6024</v>
      </c>
      <c r="B410" s="259" t="s">
        <v>6106</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6024</v>
      </c>
      <c r="B411" s="260" t="s">
        <v>6106</v>
      </c>
      <c r="C411" s="261" t="s">
        <v>6107</v>
      </c>
      <c r="D411" s="264" t="s">
        <v>6108</v>
      </c>
      <c r="E411" s="265" t="s">
        <v>5281</v>
      </c>
      <c r="F411" s="268" t="s">
        <v>6031</v>
      </c>
      <c r="G411" s="271">
        <f>IF(COUNTIF(H411:AU411,"&lt;&gt;")=0,"",SUMPRODUCT(((Recommendations[ImplStatus]="Implemented")+(Recommendations[ImplStatus]="Compensated"))*ISNUMBER(MATCH(Recommendations[Id],H411:AU411,0)))/COUNTIF(H411:AU411,"&lt;&gt;"))</f>
        <v>0</v>
      </c>
      <c r="H411" s="272" t="s">
        <v>87</v>
      </c>
      <c r="I411" s="272" t="s">
        <v>92</v>
      </c>
      <c r="J411" s="272"/>
      <c r="K411" s="272"/>
      <c r="L411" s="272"/>
      <c r="M411" s="272"/>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6024</v>
      </c>
      <c r="B412" s="260" t="s">
        <v>6106</v>
      </c>
      <c r="C412" s="261" t="s">
        <v>6109</v>
      </c>
      <c r="D412" s="264" t="s">
        <v>6110</v>
      </c>
      <c r="E412" s="265" t="s">
        <v>5281</v>
      </c>
      <c r="F412" s="268" t="s">
        <v>6031</v>
      </c>
      <c r="G412" s="271" t="str">
        <f>IF(COUNTIF(H412:AU412,"&lt;&gt;")=0,"",SUMPRODUCT(((Recommendations[ImplStatus]="Implemented")+(Recommendations[ImplStatus]="Compensated"))*ISNUMBER(MATCH(Recommendations[Id],H412:AU412,0)))/COUNTIF(H412:AU412,"&lt;&gt;"))</f>
        <v/>
      </c>
      <c r="H412" s="272"/>
      <c r="I412" s="272"/>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6024</v>
      </c>
      <c r="B413" s="260" t="s">
        <v>6106</v>
      </c>
      <c r="C413" s="261" t="s">
        <v>6111</v>
      </c>
      <c r="D413" s="264" t="s">
        <v>6112</v>
      </c>
      <c r="E413" s="265" t="s">
        <v>5281</v>
      </c>
      <c r="F413" s="268" t="s">
        <v>6031</v>
      </c>
      <c r="G413" s="271">
        <f>IF(COUNTIF(H413:AU413,"&lt;&gt;")=0,"",SUMPRODUCT(((Recommendations[ImplStatus]="Implemented")+(Recommendations[ImplStatus]="Compensated"))*ISNUMBER(MATCH(Recommendations[Id],H413:AU413,0)))/COUNTIF(H413:AU413,"&lt;&gt;"))</f>
        <v>0</v>
      </c>
      <c r="H413" s="272" t="s">
        <v>231</v>
      </c>
      <c r="I413" s="272"/>
      <c r="J413" s="272"/>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6024</v>
      </c>
      <c r="B414" s="260" t="s">
        <v>6106</v>
      </c>
      <c r="C414" s="261" t="s">
        <v>6113</v>
      </c>
      <c r="D414" s="264" t="s">
        <v>6114</v>
      </c>
      <c r="E414" s="265" t="s">
        <v>5281</v>
      </c>
      <c r="F414" s="268" t="s">
        <v>6031</v>
      </c>
      <c r="G414" s="271">
        <f>IF(COUNTIF(H414:AU414,"&lt;&gt;")=0,"",SUMPRODUCT(((Recommendations[ImplStatus]="Implemented")+(Recommendations[ImplStatus]="Compensated"))*ISNUMBER(MATCH(Recommendations[Id],H414:AU414,0)))/COUNTIF(H414:AU414,"&lt;&gt;"))</f>
        <v>0</v>
      </c>
      <c r="H414" s="272" t="s">
        <v>158</v>
      </c>
      <c r="I414" s="272" t="s">
        <v>295</v>
      </c>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6024</v>
      </c>
      <c r="B415" s="260" t="s">
        <v>6106</v>
      </c>
      <c r="C415" s="261" t="s">
        <v>6115</v>
      </c>
      <c r="D415" s="264" t="s">
        <v>6116</v>
      </c>
      <c r="E415" s="265" t="s">
        <v>5310</v>
      </c>
      <c r="F415" s="268" t="s">
        <v>6031</v>
      </c>
      <c r="G415" s="271">
        <f>IF(COUNTIF(H415:AU415,"&lt;&gt;")=0,"",SUMPRODUCT(((Recommendations[ImplStatus]="Implemented")+(Recommendations[ImplStatus]="Compensated"))*ISNUMBER(MATCH(Recommendations[Id],H415:AU415,0)))/COUNTIF(H415:AU415,"&lt;&gt;"))</f>
        <v>0</v>
      </c>
      <c r="H415" s="272" t="s">
        <v>158</v>
      </c>
      <c r="I415" s="272" t="s">
        <v>295</v>
      </c>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6024</v>
      </c>
      <c r="B416" s="260" t="s">
        <v>6106</v>
      </c>
      <c r="C416" s="261" t="s">
        <v>6117</v>
      </c>
      <c r="D416" s="264" t="s">
        <v>6118</v>
      </c>
      <c r="E416" s="265" t="s">
        <v>5310</v>
      </c>
      <c r="F416" s="268" t="s">
        <v>6119</v>
      </c>
      <c r="G416" s="271">
        <f>IF(COUNTIF(H416:AU416,"&lt;&gt;")=0,"",SUMPRODUCT(((Recommendations[ImplStatus]="Implemented")+(Recommendations[ImplStatus]="Compensated"))*ISNUMBER(MATCH(Recommendations[Id],H416:AU416,0)))/COUNTIF(H416:AU416,"&lt;&gt;"))</f>
        <v>0</v>
      </c>
      <c r="H416" s="272" t="s">
        <v>97</v>
      </c>
      <c r="I416" s="272" t="s">
        <v>256</v>
      </c>
      <c r="J416" s="272"/>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6024</v>
      </c>
      <c r="B417" s="260" t="s">
        <v>6106</v>
      </c>
      <c r="C417" s="261" t="s">
        <v>6120</v>
      </c>
      <c r="D417" s="264" t="s">
        <v>6121</v>
      </c>
      <c r="E417" s="265" t="s">
        <v>5310</v>
      </c>
      <c r="F417" s="268" t="s">
        <v>6119</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6024</v>
      </c>
      <c r="B418" s="260" t="s">
        <v>6106</v>
      </c>
      <c r="C418" s="261" t="s">
        <v>6122</v>
      </c>
      <c r="D418" s="264" t="s">
        <v>6123</v>
      </c>
      <c r="E418" s="265" t="s">
        <v>5560</v>
      </c>
      <c r="F418" s="268" t="s">
        <v>6119</v>
      </c>
      <c r="G418" s="271" t="str">
        <f>IF(COUNTIF(H418:AU418,"&lt;&gt;")=0,"",SUMPRODUCT(((Recommendations[ImplStatus]="Implemented")+(Recommendations[ImplStatus]="Compensated"))*ISNUMBER(MATCH(Recommendations[Id],H418:AU418,0)))/COUNTIF(H418:AU418,"&lt;&gt;"))</f>
        <v/>
      </c>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6024</v>
      </c>
      <c r="B419" s="260" t="s">
        <v>6106</v>
      </c>
      <c r="C419" s="261" t="s">
        <v>6124</v>
      </c>
      <c r="D419" s="264" t="s">
        <v>6125</v>
      </c>
      <c r="E419" s="265" t="s">
        <v>5310</v>
      </c>
      <c r="F419" s="268" t="s">
        <v>6119</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6024</v>
      </c>
      <c r="B420" s="260" t="s">
        <v>6106</v>
      </c>
      <c r="C420" s="261" t="s">
        <v>6126</v>
      </c>
      <c r="D420" s="264" t="s">
        <v>6127</v>
      </c>
      <c r="E420" s="265" t="s">
        <v>5560</v>
      </c>
      <c r="F420" s="268" t="s">
        <v>6119</v>
      </c>
      <c r="G420" s="271">
        <f>IF(COUNTIF(H420:AU420,"&lt;&gt;")=0,"",SUMPRODUCT(((Recommendations[ImplStatus]="Implemented")+(Recommendations[ImplStatus]="Compensated"))*ISNUMBER(MATCH(Recommendations[Id],H420:AU420,0)))/COUNTIF(H420:AU420,"&lt;&gt;"))</f>
        <v>0</v>
      </c>
      <c r="H420" s="272" t="s">
        <v>107</v>
      </c>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6024</v>
      </c>
      <c r="B421" s="260" t="s">
        <v>6106</v>
      </c>
      <c r="C421" s="261" t="s">
        <v>6128</v>
      </c>
      <c r="D421" s="264" t="s">
        <v>6129</v>
      </c>
      <c r="E421" s="265" t="s">
        <v>5560</v>
      </c>
      <c r="F421" s="268" t="s">
        <v>6119</v>
      </c>
      <c r="G421" s="271">
        <f>IF(COUNTIF(H421:AU421,"&lt;&gt;")=0,"",SUMPRODUCT(((Recommendations[ImplStatus]="Implemented")+(Recommendations[ImplStatus]="Compensated"))*ISNUMBER(MATCH(Recommendations[Id],H421:AU421,0)))/COUNTIF(H421:AU421,"&lt;&gt;"))</f>
        <v>0</v>
      </c>
      <c r="H421" s="272" t="s">
        <v>168</v>
      </c>
      <c r="I421" s="272" t="s">
        <v>173</v>
      </c>
      <c r="J421" s="272" t="s">
        <v>178</v>
      </c>
      <c r="K421" s="272" t="s">
        <v>183</v>
      </c>
      <c r="L421" s="272" t="s">
        <v>187</v>
      </c>
      <c r="M421" s="272" t="s">
        <v>191</v>
      </c>
      <c r="N421" s="272" t="s">
        <v>196</v>
      </c>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6024</v>
      </c>
      <c r="B422" s="260" t="s">
        <v>6106</v>
      </c>
      <c r="C422" s="261" t="s">
        <v>6130</v>
      </c>
      <c r="D422" s="264" t="s">
        <v>6131</v>
      </c>
      <c r="E422" s="265" t="s">
        <v>5310</v>
      </c>
      <c r="F422" s="268" t="s">
        <v>6119</v>
      </c>
      <c r="G422" s="271">
        <f>IF(COUNTIF(H422:AU422,"&lt;&gt;")=0,"",SUMPRODUCT(((Recommendations[ImplStatus]="Implemented")+(Recommendations[ImplStatus]="Compensated"))*ISNUMBER(MATCH(Recommendations[Id],H422:AU422,0)))/COUNTIF(H422:AU422,"&lt;&gt;"))</f>
        <v>0</v>
      </c>
      <c r="H422" s="272" t="s">
        <v>168</v>
      </c>
      <c r="I422" s="272" t="s">
        <v>173</v>
      </c>
      <c r="J422" s="272" t="s">
        <v>178</v>
      </c>
      <c r="K422" s="272" t="s">
        <v>183</v>
      </c>
      <c r="L422" s="272" t="s">
        <v>187</v>
      </c>
      <c r="M422" s="272" t="s">
        <v>191</v>
      </c>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6024</v>
      </c>
      <c r="B423" s="260" t="s">
        <v>6106</v>
      </c>
      <c r="C423" s="261" t="s">
        <v>6132</v>
      </c>
      <c r="D423" s="264" t="s">
        <v>6133</v>
      </c>
      <c r="E423" s="265" t="s">
        <v>5310</v>
      </c>
      <c r="F423" s="268" t="s">
        <v>6119</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6134</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6134</v>
      </c>
      <c r="B425" s="259" t="s">
        <v>6135</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6134</v>
      </c>
      <c r="B426" s="260" t="s">
        <v>6135</v>
      </c>
      <c r="C426" s="261" t="s">
        <v>6136</v>
      </c>
      <c r="D426" s="264" t="s">
        <v>6137</v>
      </c>
      <c r="E426" s="265" t="s">
        <v>5281</v>
      </c>
      <c r="F426" s="268" t="s">
        <v>6098</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6134</v>
      </c>
      <c r="B427" s="260" t="s">
        <v>6135</v>
      </c>
      <c r="C427" s="261" t="s">
        <v>6138</v>
      </c>
      <c r="D427" s="264" t="s">
        <v>6139</v>
      </c>
      <c r="E427" s="265" t="s">
        <v>5281</v>
      </c>
      <c r="F427" s="268" t="s">
        <v>6098</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6134</v>
      </c>
      <c r="B428" s="260" t="s">
        <v>6135</v>
      </c>
      <c r="C428" s="261" t="s">
        <v>6140</v>
      </c>
      <c r="D428" s="264" t="s">
        <v>6141</v>
      </c>
      <c r="E428" s="265" t="s">
        <v>5560</v>
      </c>
      <c r="F428" s="268" t="s">
        <v>6098</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6134</v>
      </c>
      <c r="B429" s="260" t="s">
        <v>6135</v>
      </c>
      <c r="C429" s="261" t="s">
        <v>6142</v>
      </c>
      <c r="D429" s="264" t="s">
        <v>6143</v>
      </c>
      <c r="E429" s="265" t="s">
        <v>5310</v>
      </c>
      <c r="F429" s="268" t="s">
        <v>6098</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6134</v>
      </c>
      <c r="B430" s="260" t="s">
        <v>6135</v>
      </c>
      <c r="C430" s="261" t="s">
        <v>6144</v>
      </c>
      <c r="D430" s="264" t="s">
        <v>6145</v>
      </c>
      <c r="E430" s="265" t="s">
        <v>5310</v>
      </c>
      <c r="F430" s="268" t="s">
        <v>6098</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6134</v>
      </c>
      <c r="B431" s="260" t="s">
        <v>6135</v>
      </c>
      <c r="C431" s="261" t="s">
        <v>6146</v>
      </c>
      <c r="D431" s="264" t="s">
        <v>6147</v>
      </c>
      <c r="E431" s="265" t="s">
        <v>5560</v>
      </c>
      <c r="F431" s="268" t="s">
        <v>6098</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6134</v>
      </c>
      <c r="B432" s="260" t="s">
        <v>6135</v>
      </c>
      <c r="C432" s="261" t="s">
        <v>6148</v>
      </c>
      <c r="D432" s="264" t="s">
        <v>6149</v>
      </c>
      <c r="E432" s="265" t="s">
        <v>5560</v>
      </c>
      <c r="F432" s="268" t="s">
        <v>6098</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6134</v>
      </c>
      <c r="B433" s="260" t="s">
        <v>6135</v>
      </c>
      <c r="C433" s="261" t="s">
        <v>6150</v>
      </c>
      <c r="D433" s="264" t="s">
        <v>6151</v>
      </c>
      <c r="E433" s="265" t="s">
        <v>5377</v>
      </c>
      <c r="F433" s="268" t="s">
        <v>6098</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6134</v>
      </c>
      <c r="B434" s="260" t="s">
        <v>6135</v>
      </c>
      <c r="C434" s="261" t="s">
        <v>6152</v>
      </c>
      <c r="D434" s="264" t="s">
        <v>6153</v>
      </c>
      <c r="E434" s="265" t="s">
        <v>5377</v>
      </c>
      <c r="F434" s="268" t="s">
        <v>6098</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6134</v>
      </c>
      <c r="B435" s="260" t="s">
        <v>6135</v>
      </c>
      <c r="C435" s="261" t="s">
        <v>6154</v>
      </c>
      <c r="D435" s="264" t="s">
        <v>6155</v>
      </c>
      <c r="E435" s="265" t="s">
        <v>5310</v>
      </c>
      <c r="F435" s="268" t="s">
        <v>6098</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6134</v>
      </c>
      <c r="B436" s="260" t="s">
        <v>6135</v>
      </c>
      <c r="C436" s="261" t="s">
        <v>6156</v>
      </c>
      <c r="D436" s="264" t="s">
        <v>6157</v>
      </c>
      <c r="E436" s="265" t="s">
        <v>5377</v>
      </c>
      <c r="F436" s="268" t="s">
        <v>6098</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6134</v>
      </c>
      <c r="B437" s="260" t="s">
        <v>6135</v>
      </c>
      <c r="C437" s="261" t="s">
        <v>6158</v>
      </c>
      <c r="D437" s="264" t="s">
        <v>6159</v>
      </c>
      <c r="E437" s="265" t="s">
        <v>5310</v>
      </c>
      <c r="F437" s="268" t="s">
        <v>6098</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6134</v>
      </c>
      <c r="B438" s="259" t="s">
        <v>6160</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6134</v>
      </c>
      <c r="B439" s="260" t="s">
        <v>6160</v>
      </c>
      <c r="C439" s="261" t="s">
        <v>6161</v>
      </c>
      <c r="D439" s="264" t="s">
        <v>6162</v>
      </c>
      <c r="E439" s="265" t="s">
        <v>5281</v>
      </c>
      <c r="F439" s="268" t="s">
        <v>6163</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6134</v>
      </c>
      <c r="B440" s="260" t="s">
        <v>6160</v>
      </c>
      <c r="C440" s="261" t="s">
        <v>6164</v>
      </c>
      <c r="D440" s="264" t="s">
        <v>6165</v>
      </c>
      <c r="E440" s="265" t="s">
        <v>5281</v>
      </c>
      <c r="F440" s="268" t="s">
        <v>6163</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6134</v>
      </c>
      <c r="B441" s="260" t="s">
        <v>6160</v>
      </c>
      <c r="C441" s="261" t="s">
        <v>6166</v>
      </c>
      <c r="D441" s="264" t="s">
        <v>6167</v>
      </c>
      <c r="E441" s="265" t="s">
        <v>5281</v>
      </c>
      <c r="F441" s="268" t="s">
        <v>6163</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6134</v>
      </c>
      <c r="B442" s="260" t="s">
        <v>6160</v>
      </c>
      <c r="C442" s="261" t="s">
        <v>6168</v>
      </c>
      <c r="D442" s="264" t="s">
        <v>6169</v>
      </c>
      <c r="E442" s="265" t="s">
        <v>5281</v>
      </c>
      <c r="F442" s="268" t="s">
        <v>6163</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6134</v>
      </c>
      <c r="B443" s="260" t="s">
        <v>6160</v>
      </c>
      <c r="C443" s="261" t="s">
        <v>6170</v>
      </c>
      <c r="D443" s="264" t="s">
        <v>6171</v>
      </c>
      <c r="E443" s="265" t="s">
        <v>5310</v>
      </c>
      <c r="F443" s="268" t="s">
        <v>6163</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6134</v>
      </c>
      <c r="B444" s="260" t="s">
        <v>6160</v>
      </c>
      <c r="C444" s="261" t="s">
        <v>6172</v>
      </c>
      <c r="D444" s="264" t="s">
        <v>6173</v>
      </c>
      <c r="E444" s="265" t="s">
        <v>5310</v>
      </c>
      <c r="F444" s="268" t="s">
        <v>6163</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6134</v>
      </c>
      <c r="B445" s="260" t="s">
        <v>6160</v>
      </c>
      <c r="C445" s="261" t="s">
        <v>6174</v>
      </c>
      <c r="D445" s="264" t="s">
        <v>6175</v>
      </c>
      <c r="E445" s="265" t="s">
        <v>5310</v>
      </c>
      <c r="F445" s="268" t="s">
        <v>6163</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6134</v>
      </c>
      <c r="B446" s="260" t="s">
        <v>6160</v>
      </c>
      <c r="C446" s="261" t="s">
        <v>6176</v>
      </c>
      <c r="D446" s="264" t="s">
        <v>6177</v>
      </c>
      <c r="E446" s="265" t="s">
        <v>5425</v>
      </c>
      <c r="F446" s="268" t="s">
        <v>6163</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6134</v>
      </c>
      <c r="B447" s="260" t="s">
        <v>6160</v>
      </c>
      <c r="C447" s="261" t="s">
        <v>6178</v>
      </c>
      <c r="D447" s="264" t="s">
        <v>6179</v>
      </c>
      <c r="E447" s="265" t="s">
        <v>5310</v>
      </c>
      <c r="F447" s="268" t="s">
        <v>6163</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6134</v>
      </c>
      <c r="B448" s="260" t="s">
        <v>6160</v>
      </c>
      <c r="C448" s="261" t="s">
        <v>6180</v>
      </c>
      <c r="D448" s="264" t="s">
        <v>6181</v>
      </c>
      <c r="E448" s="265" t="s">
        <v>5425</v>
      </c>
      <c r="F448" s="268" t="s">
        <v>6163</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6134</v>
      </c>
      <c r="B449" s="260" t="s">
        <v>6160</v>
      </c>
      <c r="C449" s="261" t="s">
        <v>6182</v>
      </c>
      <c r="D449" s="264" t="s">
        <v>6183</v>
      </c>
      <c r="E449" s="265" t="s">
        <v>5425</v>
      </c>
      <c r="F449" s="268" t="s">
        <v>6163</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6184</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6184</v>
      </c>
      <c r="B451" s="259" t="s">
        <v>6185</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6184</v>
      </c>
      <c r="B452" s="260" t="s">
        <v>6185</v>
      </c>
      <c r="C452" s="261" t="s">
        <v>6186</v>
      </c>
      <c r="D452" s="264" t="s">
        <v>6187</v>
      </c>
      <c r="E452" s="265" t="s">
        <v>5281</v>
      </c>
      <c r="F452" s="268" t="s">
        <v>6188</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6184</v>
      </c>
      <c r="B453" s="260" t="s">
        <v>6185</v>
      </c>
      <c r="C453" s="261" t="s">
        <v>6189</v>
      </c>
      <c r="D453" s="264" t="s">
        <v>6190</v>
      </c>
      <c r="E453" s="265" t="s">
        <v>5281</v>
      </c>
      <c r="F453" s="268" t="s">
        <v>6188</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6184</v>
      </c>
      <c r="B454" s="260" t="s">
        <v>6185</v>
      </c>
      <c r="C454" s="261" t="s">
        <v>6191</v>
      </c>
      <c r="D454" s="264" t="s">
        <v>6192</v>
      </c>
      <c r="E454" s="265" t="s">
        <v>5281</v>
      </c>
      <c r="F454" s="268" t="s">
        <v>6188</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6184</v>
      </c>
      <c r="B455" s="260" t="s">
        <v>6185</v>
      </c>
      <c r="C455" s="261" t="s">
        <v>6193</v>
      </c>
      <c r="D455" s="264" t="s">
        <v>6194</v>
      </c>
      <c r="E455" s="265" t="s">
        <v>5281</v>
      </c>
      <c r="F455" s="268" t="s">
        <v>6188</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6184</v>
      </c>
      <c r="B456" s="260" t="s">
        <v>6185</v>
      </c>
      <c r="C456" s="261" t="s">
        <v>6195</v>
      </c>
      <c r="D456" s="264" t="s">
        <v>6196</v>
      </c>
      <c r="E456" s="265" t="s">
        <v>5281</v>
      </c>
      <c r="F456" s="268" t="s">
        <v>6188</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6184</v>
      </c>
      <c r="B457" s="260" t="s">
        <v>6185</v>
      </c>
      <c r="C457" s="261" t="s">
        <v>6197</v>
      </c>
      <c r="D457" s="264" t="s">
        <v>6198</v>
      </c>
      <c r="E457" s="265" t="s">
        <v>5310</v>
      </c>
      <c r="F457" s="268" t="s">
        <v>6188</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6184</v>
      </c>
      <c r="B458" s="260" t="s">
        <v>6185</v>
      </c>
      <c r="C458" s="261" t="s">
        <v>6199</v>
      </c>
      <c r="D458" s="264" t="s">
        <v>6200</v>
      </c>
      <c r="E458" s="265" t="s">
        <v>5310</v>
      </c>
      <c r="F458" s="268" t="s">
        <v>6188</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6184</v>
      </c>
      <c r="B459" s="260" t="s">
        <v>6185</v>
      </c>
      <c r="C459" s="261" t="s">
        <v>6201</v>
      </c>
      <c r="D459" s="264" t="s">
        <v>6202</v>
      </c>
      <c r="E459" s="265" t="s">
        <v>5310</v>
      </c>
      <c r="F459" s="268" t="s">
        <v>6188</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6184</v>
      </c>
      <c r="B460" s="260" t="s">
        <v>6185</v>
      </c>
      <c r="C460" s="261" t="s">
        <v>6203</v>
      </c>
      <c r="D460" s="264" t="s">
        <v>6204</v>
      </c>
      <c r="E460" s="265" t="s">
        <v>5310</v>
      </c>
      <c r="F460" s="268" t="s">
        <v>6188</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6184</v>
      </c>
      <c r="B461" s="260" t="s">
        <v>6185</v>
      </c>
      <c r="C461" s="261" t="s">
        <v>6205</v>
      </c>
      <c r="D461" s="264" t="s">
        <v>6206</v>
      </c>
      <c r="E461" s="265" t="s">
        <v>5310</v>
      </c>
      <c r="F461" s="268" t="s">
        <v>6188</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6184</v>
      </c>
      <c r="B462" s="260" t="s">
        <v>6185</v>
      </c>
      <c r="C462" s="261" t="s">
        <v>6207</v>
      </c>
      <c r="D462" s="264" t="s">
        <v>6208</v>
      </c>
      <c r="E462" s="265" t="s">
        <v>5310</v>
      </c>
      <c r="F462" s="268" t="s">
        <v>6188</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6184</v>
      </c>
      <c r="B463" s="260" t="s">
        <v>6185</v>
      </c>
      <c r="C463" s="261" t="s">
        <v>6209</v>
      </c>
      <c r="D463" s="264" t="s">
        <v>6210</v>
      </c>
      <c r="E463" s="265" t="s">
        <v>5310</v>
      </c>
      <c r="F463" s="268" t="s">
        <v>6188</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6184</v>
      </c>
      <c r="B464" s="260" t="s">
        <v>6185</v>
      </c>
      <c r="C464" s="261" t="s">
        <v>6211</v>
      </c>
      <c r="D464" s="264" t="s">
        <v>6212</v>
      </c>
      <c r="E464" s="265" t="s">
        <v>5310</v>
      </c>
      <c r="F464" s="268" t="s">
        <v>6188</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6184</v>
      </c>
      <c r="B465" s="260" t="s">
        <v>6185</v>
      </c>
      <c r="C465" s="261" t="s">
        <v>6213</v>
      </c>
      <c r="D465" s="264" t="s">
        <v>6214</v>
      </c>
      <c r="E465" s="265" t="s">
        <v>5310</v>
      </c>
      <c r="F465" s="268" t="s">
        <v>6188</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6184</v>
      </c>
      <c r="B466" s="259" t="s">
        <v>6215</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6184</v>
      </c>
      <c r="B467" s="260" t="s">
        <v>6215</v>
      </c>
      <c r="C467" s="261" t="s">
        <v>6216</v>
      </c>
      <c r="D467" s="264" t="s">
        <v>6217</v>
      </c>
      <c r="E467" s="265" t="s">
        <v>5281</v>
      </c>
      <c r="F467" s="268" t="s">
        <v>5420</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6184</v>
      </c>
      <c r="B468" s="260" t="s">
        <v>6215</v>
      </c>
      <c r="C468" s="261" t="s">
        <v>6218</v>
      </c>
      <c r="D468" s="264" t="s">
        <v>6219</v>
      </c>
      <c r="E468" s="265" t="s">
        <v>5281</v>
      </c>
      <c r="F468" s="268" t="s">
        <v>5420</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6184</v>
      </c>
      <c r="B469" s="260" t="s">
        <v>6215</v>
      </c>
      <c r="C469" s="261" t="s">
        <v>6220</v>
      </c>
      <c r="D469" s="264" t="s">
        <v>6221</v>
      </c>
      <c r="E469" s="265" t="s">
        <v>5281</v>
      </c>
      <c r="F469" s="268" t="s">
        <v>5420</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6184</v>
      </c>
      <c r="B470" s="260" t="s">
        <v>6215</v>
      </c>
      <c r="C470" s="261" t="s">
        <v>6222</v>
      </c>
      <c r="D470" s="264" t="s">
        <v>6223</v>
      </c>
      <c r="E470" s="265" t="s">
        <v>5377</v>
      </c>
      <c r="F470" s="268" t="s">
        <v>5789</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6184</v>
      </c>
      <c r="B471" s="260" t="s">
        <v>6215</v>
      </c>
      <c r="C471" s="261" t="s">
        <v>6224</v>
      </c>
      <c r="D471" s="264" t="s">
        <v>6225</v>
      </c>
      <c r="E471" s="265" t="s">
        <v>5377</v>
      </c>
      <c r="F471" s="268" t="s">
        <v>5789</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6184</v>
      </c>
      <c r="B472" s="260" t="s">
        <v>6215</v>
      </c>
      <c r="C472" s="261" t="s">
        <v>6226</v>
      </c>
      <c r="D472" s="264" t="s">
        <v>6227</v>
      </c>
      <c r="E472" s="265" t="s">
        <v>5281</v>
      </c>
      <c r="F472" s="268" t="s">
        <v>5789</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6184</v>
      </c>
      <c r="B473" s="260" t="s">
        <v>6215</v>
      </c>
      <c r="C473" s="261" t="s">
        <v>6228</v>
      </c>
      <c r="D473" s="264" t="s">
        <v>6229</v>
      </c>
      <c r="E473" s="265" t="s">
        <v>5281</v>
      </c>
      <c r="F473" s="268" t="s">
        <v>5728</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6184</v>
      </c>
      <c r="B474" s="260" t="s">
        <v>6215</v>
      </c>
      <c r="C474" s="261" t="s">
        <v>6230</v>
      </c>
      <c r="D474" s="264" t="s">
        <v>6231</v>
      </c>
      <c r="E474" s="265" t="s">
        <v>5310</v>
      </c>
      <c r="F474" s="268" t="s">
        <v>5728</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6184</v>
      </c>
      <c r="B475" s="260" t="s">
        <v>6215</v>
      </c>
      <c r="C475" s="261" t="s">
        <v>6232</v>
      </c>
      <c r="D475" s="264" t="s">
        <v>6233</v>
      </c>
      <c r="E475" s="265" t="s">
        <v>5310</v>
      </c>
      <c r="F475" s="268" t="s">
        <v>5728</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6184</v>
      </c>
      <c r="B476" s="260" t="s">
        <v>6215</v>
      </c>
      <c r="C476" s="261" t="s">
        <v>6234</v>
      </c>
      <c r="D476" s="264" t="s">
        <v>6235</v>
      </c>
      <c r="E476" s="265" t="s">
        <v>5310</v>
      </c>
      <c r="F476" s="268" t="s">
        <v>5728</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6184</v>
      </c>
      <c r="B477" s="260" t="s">
        <v>6215</v>
      </c>
      <c r="C477" s="261" t="s">
        <v>6236</v>
      </c>
      <c r="D477" s="264" t="s">
        <v>6237</v>
      </c>
      <c r="E477" s="265" t="s">
        <v>5310</v>
      </c>
      <c r="F477" s="268" t="s">
        <v>5728</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6184</v>
      </c>
      <c r="B478" s="260" t="s">
        <v>6215</v>
      </c>
      <c r="C478" s="261" t="s">
        <v>6238</v>
      </c>
      <c r="D478" s="264" t="s">
        <v>6239</v>
      </c>
      <c r="E478" s="265" t="s">
        <v>5310</v>
      </c>
      <c r="F478" s="268" t="s">
        <v>5789</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6184</v>
      </c>
      <c r="B479" s="260" t="s">
        <v>6215</v>
      </c>
      <c r="C479" s="261" t="s">
        <v>6240</v>
      </c>
      <c r="D479" s="264" t="s">
        <v>6241</v>
      </c>
      <c r="E479" s="265" t="s">
        <v>5425</v>
      </c>
      <c r="F479" s="268" t="s">
        <v>5789</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6184</v>
      </c>
      <c r="B480" s="260" t="s">
        <v>6215</v>
      </c>
      <c r="C480" s="261" t="s">
        <v>6242</v>
      </c>
      <c r="D480" s="264" t="s">
        <v>6243</v>
      </c>
      <c r="E480" s="265" t="s">
        <v>5425</v>
      </c>
      <c r="F480" s="268" t="s">
        <v>5789</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6184</v>
      </c>
      <c r="B481" s="273" t="s">
        <v>6215</v>
      </c>
      <c r="C481" s="274" t="s">
        <v>6244</v>
      </c>
      <c r="D481" s="275" t="s">
        <v>6245</v>
      </c>
      <c r="E481" s="276" t="s">
        <v>5425</v>
      </c>
      <c r="F481" s="277" t="s">
        <v>5420</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539</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IFERROR(INDEX('Recommendations'!$H$2:$H$105, MATCH(H2,'Recommendations'!$A$2:$A$105,0))="Implemented", FALSE))</xm:f>
            <x14:dxf>
              <font>
                <color rgb="FF000000"/>
              </font>
              <fill>
                <patternFill>
                  <bgColor rgb="FF3C7D22"/>
                </patternFill>
              </fill>
            </x14:dxf>
          </x14:cfRule>
          <x14:cfRule type="expression" priority="2" id="{00000000-000E-0000-0B00-000002000000}">
            <xm:f>AND(H2&lt;&gt;"", IFERROR(INDEX('Recommendations'!$H$2:$H$105, MATCH(H2,'Recommendations'!$A$2:$A$105,0))="Compensated", FALSE))</xm:f>
            <x14:dxf>
              <font>
                <color rgb="FF000000"/>
              </font>
              <fill>
                <patternFill>
                  <bgColor rgb="FFC6E0B4"/>
                </patternFill>
              </fill>
            </x14:dxf>
          </x14:cfRule>
          <x14:cfRule type="expression" priority="3" id="{00000000-000E-0000-0B00-000003000000}">
            <xm:f>AND(H2&lt;&gt;"", IFERROR(INDEX('Recommendations'!$H$2:$H$105, MATCH(H2,'Recommendations'!$A$2:$A$105,0))="Testing", FALSE))</xm:f>
            <x14:dxf>
              <font>
                <color rgb="FF000000"/>
              </font>
              <fill>
                <patternFill>
                  <bgColor rgb="FFFFC000"/>
                </patternFill>
              </fill>
            </x14:dxf>
          </x14:cfRule>
          <x14:cfRule type="expression" priority="4" id="{00000000-000E-0000-0B00-000004000000}">
            <xm:f>AND(H2&lt;&gt;"", IFERROR(INDEX('Recommendations'!$H$2:$H$105, MATCH(H2,'Recommendations'!$A$2:$A$105,0))="Failed", FALSE))</xm:f>
            <x14:dxf>
              <font>
                <color rgb="FF000000"/>
              </font>
              <fill>
                <patternFill>
                  <bgColor rgb="FFD82891"/>
                </patternFill>
              </fill>
            </x14:dxf>
          </x14:cfRule>
          <x14:cfRule type="expression" priority="5" id="{00000000-000E-0000-0B00-000005000000}">
            <xm:f>AND(H2&lt;&gt;"", IFERROR(INDEX('Recommendations'!$H$2:$H$105, MATCH(H2,'Recommendations'!$A$2:$A$105,0))="Risk Accepted", FALSE))</xm:f>
            <x14:dxf>
              <font>
                <color rgb="FF000000"/>
              </font>
              <fill>
                <patternFill>
                  <bgColor rgb="FFD9D9D9"/>
                </patternFill>
              </fill>
            </x14:dxf>
          </x14:cfRule>
          <x14:cfRule type="expression" priority="6" id="{00000000-000E-0000-0B00-000006000000}">
            <xm:f>AND(H2&lt;&gt;"", IFERROR(INDEX('Recommendations'!$H$2:$H$105, MATCH(H2,'Recommendations'!$A$2:$A$105,0))="N/A",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1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92" t="s">
        <v>625</v>
      </c>
      <c r="C2" s="293"/>
      <c r="D2" s="293"/>
      <c r="E2" s="293"/>
      <c r="F2" s="293"/>
      <c r="G2" s="293"/>
      <c r="H2" s="293"/>
      <c r="I2" s="293"/>
    </row>
    <row r="4" spans="2:15" ht="18.5" x14ac:dyDescent="0.45">
      <c r="B4" s="42" t="s">
        <v>626</v>
      </c>
    </row>
    <row r="5" spans="2:15" x14ac:dyDescent="0.35">
      <c r="B5" s="44" t="s">
        <v>21</v>
      </c>
      <c r="C5" s="44" t="s">
        <v>627</v>
      </c>
      <c r="D5" s="44" t="s">
        <v>628</v>
      </c>
      <c r="F5" s="294" t="s">
        <v>629</v>
      </c>
      <c r="G5" s="294"/>
      <c r="H5" s="294"/>
      <c r="I5" s="295" t="s">
        <v>630</v>
      </c>
      <c r="J5" s="295"/>
      <c r="K5" s="295"/>
      <c r="L5" s="295"/>
      <c r="M5" s="295"/>
      <c r="N5" s="295"/>
      <c r="O5" s="295"/>
    </row>
    <row r="6" spans="2:15" x14ac:dyDescent="0.35">
      <c r="B6" s="50" t="s">
        <v>631</v>
      </c>
      <c r="C6" s="51">
        <v>104</v>
      </c>
      <c r="D6" s="52" t="s">
        <v>21</v>
      </c>
      <c r="F6" s="294" t="s">
        <v>632</v>
      </c>
      <c r="G6" s="294"/>
      <c r="H6" s="294"/>
      <c r="I6" s="296" t="s">
        <v>633</v>
      </c>
      <c r="J6" s="296"/>
      <c r="K6" s="296"/>
      <c r="L6" s="296"/>
      <c r="M6" s="296"/>
      <c r="N6" s="296"/>
      <c r="O6" s="296"/>
    </row>
    <row r="7" spans="2:15" x14ac:dyDescent="0.35">
      <c r="B7" s="53" t="s">
        <v>634</v>
      </c>
      <c r="C7" s="54">
        <f>C6-C8-C9</f>
        <v>104</v>
      </c>
      <c r="D7" s="55">
        <f>IF(C6&gt;0,C7/C6,0)</f>
        <v>1</v>
      </c>
      <c r="F7" s="294" t="s">
        <v>635</v>
      </c>
      <c r="G7" s="294"/>
      <c r="H7" s="294"/>
      <c r="I7" s="296" t="s">
        <v>633</v>
      </c>
      <c r="J7" s="296"/>
      <c r="K7" s="296"/>
      <c r="L7" s="296"/>
      <c r="M7" s="296"/>
      <c r="N7" s="296"/>
      <c r="O7" s="296"/>
    </row>
    <row r="8" spans="2:15" x14ac:dyDescent="0.35">
      <c r="B8" s="46" t="s">
        <v>636</v>
      </c>
      <c r="C8" s="47">
        <f>COUNTIF('Recommendations'!H:H,"Risk Accepted")</f>
        <v>0</v>
      </c>
      <c r="D8" s="48">
        <f>IF(C6&gt;0,C8/C6,0)</f>
        <v>0</v>
      </c>
      <c r="F8" s="294" t="s">
        <v>637</v>
      </c>
      <c r="G8" s="294"/>
      <c r="H8" s="294"/>
      <c r="I8" s="296" t="s">
        <v>633</v>
      </c>
      <c r="J8" s="296"/>
      <c r="K8" s="296"/>
      <c r="L8" s="296"/>
      <c r="M8" s="296"/>
      <c r="N8" s="296"/>
      <c r="O8" s="296"/>
    </row>
    <row r="9" spans="2:15" x14ac:dyDescent="0.35">
      <c r="B9" s="46" t="s">
        <v>638</v>
      </c>
      <c r="C9" s="47">
        <f>COUNTIF('Recommendations'!H:H,"N/A")</f>
        <v>0</v>
      </c>
      <c r="D9" s="48">
        <f>IF(C6&gt;0,C9/C6,0)</f>
        <v>0</v>
      </c>
      <c r="F9" s="294" t="s">
        <v>639</v>
      </c>
      <c r="G9" s="294"/>
      <c r="H9" s="294"/>
      <c r="I9" s="296" t="s">
        <v>633</v>
      </c>
      <c r="J9" s="296"/>
      <c r="K9" s="296"/>
      <c r="L9" s="296"/>
      <c r="M9" s="296"/>
      <c r="N9" s="296"/>
      <c r="O9" s="296"/>
    </row>
    <row r="12" spans="2:15" ht="18.5" x14ac:dyDescent="0.45">
      <c r="B12" s="42" t="s">
        <v>640</v>
      </c>
    </row>
    <row r="14" spans="2:15" x14ac:dyDescent="0.35">
      <c r="B14" s="56" t="s">
        <v>641</v>
      </c>
    </row>
    <row r="15" spans="2:15" x14ac:dyDescent="0.35">
      <c r="B15" s="44" t="s">
        <v>21</v>
      </c>
      <c r="C15" s="44" t="s">
        <v>642</v>
      </c>
      <c r="D15" s="44" t="s">
        <v>643</v>
      </c>
      <c r="E15" s="44" t="s">
        <v>644</v>
      </c>
      <c r="F15" s="44" t="s">
        <v>645</v>
      </c>
    </row>
    <row r="16" spans="2:15" x14ac:dyDescent="0.35">
      <c r="B16" s="46" t="s">
        <v>646</v>
      </c>
      <c r="C16" s="47">
        <f>COUNTIF('Recommendations'!M:M,"Resolved")</f>
        <v>0</v>
      </c>
      <c r="D16" s="47">
        <f>COUNTIF('Recommendations'!M:M,"Testing")</f>
        <v>0</v>
      </c>
      <c r="E16" s="47">
        <f>COUNTIF('Recommendations'!M:M,"Outstanding")</f>
        <v>104</v>
      </c>
      <c r="F16" s="47">
        <f>SUM(C16:E16)</f>
        <v>104</v>
      </c>
    </row>
    <row r="18" spans="2:6" x14ac:dyDescent="0.35">
      <c r="B18" s="56" t="s">
        <v>647</v>
      </c>
    </row>
    <row r="19" spans="2:6" x14ac:dyDescent="0.35">
      <c r="B19" s="57" t="s">
        <v>21</v>
      </c>
      <c r="C19" s="57" t="s">
        <v>642</v>
      </c>
      <c r="D19" s="57" t="s">
        <v>643</v>
      </c>
      <c r="E19" s="57" t="s">
        <v>644</v>
      </c>
      <c r="F19" s="57" t="s">
        <v>21</v>
      </c>
    </row>
    <row r="20" spans="2:6" x14ac:dyDescent="0.35">
      <c r="B20" s="46" t="s">
        <v>646</v>
      </c>
      <c r="C20" s="48">
        <f>IF(F16&gt;0, C16/F16, 0)</f>
        <v>0</v>
      </c>
      <c r="D20" s="48">
        <f>IF(F16&gt;0, D16/F16, 0)</f>
        <v>0</v>
      </c>
      <c r="E20" s="48">
        <f>IF(F16&gt;0, E16/F16, 0)</f>
        <v>1</v>
      </c>
      <c r="F20" s="49" t="s">
        <v>21</v>
      </c>
    </row>
    <row r="25" spans="2:6" ht="18.5" x14ac:dyDescent="0.45">
      <c r="B25" s="42" t="s">
        <v>648</v>
      </c>
    </row>
    <row r="27" spans="2:6" x14ac:dyDescent="0.35">
      <c r="B27" s="56" t="s">
        <v>641</v>
      </c>
    </row>
    <row r="28" spans="2:6" x14ac:dyDescent="0.35">
      <c r="B28" s="44" t="s">
        <v>3</v>
      </c>
      <c r="C28" s="44" t="s">
        <v>642</v>
      </c>
      <c r="D28" s="44" t="s">
        <v>643</v>
      </c>
      <c r="E28" s="44" t="s">
        <v>644</v>
      </c>
      <c r="F28" s="44" t="s">
        <v>645</v>
      </c>
    </row>
    <row r="29" spans="2:6" x14ac:dyDescent="0.35">
      <c r="B29" s="46" t="s">
        <v>227</v>
      </c>
      <c r="C29" s="47">
        <f>COUNTIFS('Recommendations'!D:D,"ALG",'Recommendations'!M:M,"=Resolved")</f>
        <v>0</v>
      </c>
      <c r="D29" s="47">
        <f>COUNTIFS('Recommendations'!D:D,"=ALG",'Recommendations'!M:M,"=Testing")</f>
        <v>0</v>
      </c>
      <c r="E29" s="47">
        <f>COUNTIFS('Recommendations'!D:D,"=ALG",'Recommendations'!M:M,"=Outstanding")</f>
        <v>37</v>
      </c>
      <c r="F29" s="47">
        <f>SUM(C29:E29)</f>
        <v>37</v>
      </c>
    </row>
    <row r="30" spans="2:6" x14ac:dyDescent="0.35">
      <c r="B30" s="46" t="s">
        <v>17</v>
      </c>
      <c r="C30" s="47">
        <f>COUNTIFS('Recommendations'!D:D,"DNS",'Recommendations'!M:M,"=Resolved")</f>
        <v>0</v>
      </c>
      <c r="D30" s="47">
        <f>COUNTIFS('Recommendations'!D:D,"=DNS",'Recommendations'!M:M,"=Testing")</f>
        <v>0</v>
      </c>
      <c r="E30" s="47">
        <f>COUNTIFS('Recommendations'!D:D,"=DNS",'Recommendations'!M:M,"=Outstanding")</f>
        <v>12</v>
      </c>
      <c r="F30" s="47">
        <f>SUM(C30:E30)</f>
        <v>12</v>
      </c>
    </row>
    <row r="31" spans="2:6" x14ac:dyDescent="0.35">
      <c r="B31" s="46" t="s">
        <v>409</v>
      </c>
      <c r="C31" s="47">
        <f>COUNTIFS('Recommendations'!D:D,"Firewall",'Recommendations'!M:M,"=Resolved")</f>
        <v>0</v>
      </c>
      <c r="D31" s="47">
        <f>COUNTIFS('Recommendations'!D:D,"=Firewall",'Recommendations'!M:M,"=Testing")</f>
        <v>0</v>
      </c>
      <c r="E31" s="47">
        <f>COUNTIFS('Recommendations'!D:D,"=Firewall",'Recommendations'!M:M,"=Outstanding")</f>
        <v>14</v>
      </c>
      <c r="F31" s="47">
        <f>SUM(C31:E31)</f>
        <v>14</v>
      </c>
    </row>
    <row r="32" spans="2:6" x14ac:dyDescent="0.35">
      <c r="B32" s="46" t="s">
        <v>83</v>
      </c>
      <c r="C32" s="47">
        <f>COUNTIFS('Recommendations'!D:D,"NDM",'Recommendations'!M:M,"=Resolved")</f>
        <v>0</v>
      </c>
      <c r="D32" s="47">
        <f>COUNTIFS('Recommendations'!D:D,"=NDM",'Recommendations'!M:M,"=Testing")</f>
        <v>0</v>
      </c>
      <c r="E32" s="47">
        <f>COUNTIFS('Recommendations'!D:D,"=NDM",'Recommendations'!M:M,"=Outstanding")</f>
        <v>29</v>
      </c>
      <c r="F32" s="47">
        <f>SUM(C32:E32)</f>
        <v>29</v>
      </c>
    </row>
    <row r="33" spans="2:6" x14ac:dyDescent="0.35">
      <c r="B33" s="46" t="s">
        <v>480</v>
      </c>
      <c r="C33" s="47">
        <f>COUNTIFS('Recommendations'!D:D,"VPN",'Recommendations'!M:M,"=Resolved")</f>
        <v>0</v>
      </c>
      <c r="D33" s="47">
        <f>COUNTIFS('Recommendations'!D:D,"=VPN",'Recommendations'!M:M,"=Testing")</f>
        <v>0</v>
      </c>
      <c r="E33" s="47">
        <f>COUNTIFS('Recommendations'!D:D,"=VPN",'Recommendations'!M:M,"=Outstanding")</f>
        <v>12</v>
      </c>
      <c r="F33" s="47">
        <f>SUM(C33:E33)</f>
        <v>12</v>
      </c>
    </row>
    <row r="35" spans="2:6" x14ac:dyDescent="0.35">
      <c r="B35" s="56" t="s">
        <v>647</v>
      </c>
    </row>
    <row r="36" spans="2:6" x14ac:dyDescent="0.35">
      <c r="B36" s="57" t="s">
        <v>3</v>
      </c>
      <c r="C36" s="57" t="s">
        <v>642</v>
      </c>
      <c r="D36" s="57" t="s">
        <v>643</v>
      </c>
      <c r="E36" s="57" t="s">
        <v>644</v>
      </c>
      <c r="F36" s="57" t="s">
        <v>21</v>
      </c>
    </row>
    <row r="37" spans="2:6" x14ac:dyDescent="0.35">
      <c r="B37" s="46" t="s">
        <v>227</v>
      </c>
      <c r="C37" s="48">
        <f>IF(F29&gt;0, C29/F29, 0)</f>
        <v>0</v>
      </c>
      <c r="D37" s="48">
        <f>IF(F29&gt;0, D29/F29, 0)</f>
        <v>0</v>
      </c>
      <c r="E37" s="48">
        <f>IF(F29&gt;0, E29/F29, 0)</f>
        <v>1</v>
      </c>
      <c r="F37" s="49" t="s">
        <v>21</v>
      </c>
    </row>
    <row r="38" spans="2:6" x14ac:dyDescent="0.35">
      <c r="B38" s="46" t="s">
        <v>17</v>
      </c>
      <c r="C38" s="48">
        <f>IF(F30&gt;0, C30/F30, 0)</f>
        <v>0</v>
      </c>
      <c r="D38" s="48">
        <f>IF(F30&gt;0, D30/F30, 0)</f>
        <v>0</v>
      </c>
      <c r="E38" s="48">
        <f>IF(F30&gt;0, E30/F30, 0)</f>
        <v>1</v>
      </c>
      <c r="F38" s="49" t="s">
        <v>21</v>
      </c>
    </row>
    <row r="39" spans="2:6" x14ac:dyDescent="0.35">
      <c r="B39" s="46" t="s">
        <v>409</v>
      </c>
      <c r="C39" s="48">
        <f>IF(F31&gt;0, C31/F31, 0)</f>
        <v>0</v>
      </c>
      <c r="D39" s="48">
        <f>IF(F31&gt;0, D31/F31, 0)</f>
        <v>0</v>
      </c>
      <c r="E39" s="48">
        <f>IF(F31&gt;0, E31/F31, 0)</f>
        <v>1</v>
      </c>
      <c r="F39" s="49" t="s">
        <v>21</v>
      </c>
    </row>
    <row r="40" spans="2:6" x14ac:dyDescent="0.35">
      <c r="B40" s="46" t="s">
        <v>83</v>
      </c>
      <c r="C40" s="48">
        <f>IF(F32&gt;0, C32/F32, 0)</f>
        <v>0</v>
      </c>
      <c r="D40" s="48">
        <f>IF(F32&gt;0, D32/F32, 0)</f>
        <v>0</v>
      </c>
      <c r="E40" s="48">
        <f>IF(F32&gt;0, E32/F32, 0)</f>
        <v>1</v>
      </c>
      <c r="F40" s="49" t="s">
        <v>21</v>
      </c>
    </row>
    <row r="41" spans="2:6" x14ac:dyDescent="0.35">
      <c r="B41" s="46" t="s">
        <v>480</v>
      </c>
      <c r="C41" s="48">
        <f>IF(F33&gt;0, C33/F33, 0)</f>
        <v>0</v>
      </c>
      <c r="D41" s="48">
        <f>IF(F33&gt;0, D33/F33, 0)</f>
        <v>0</v>
      </c>
      <c r="E41" s="48">
        <f>IF(F33&gt;0, E33/F33, 0)</f>
        <v>1</v>
      </c>
      <c r="F41" s="49" t="s">
        <v>21</v>
      </c>
    </row>
    <row r="46" spans="2:6" ht="18.5" x14ac:dyDescent="0.45">
      <c r="B46" s="42" t="s">
        <v>649</v>
      </c>
    </row>
    <row r="48" spans="2:6" x14ac:dyDescent="0.35">
      <c r="B48" s="56" t="s">
        <v>641</v>
      </c>
    </row>
    <row r="49" spans="2:6" x14ac:dyDescent="0.35">
      <c r="B49" s="44" t="s">
        <v>6</v>
      </c>
      <c r="C49" s="44" t="s">
        <v>642</v>
      </c>
      <c r="D49" s="44" t="s">
        <v>643</v>
      </c>
      <c r="E49" s="44" t="s">
        <v>644</v>
      </c>
      <c r="F49" s="44" t="s">
        <v>645</v>
      </c>
    </row>
    <row r="50" spans="2:6" x14ac:dyDescent="0.35">
      <c r="B50" s="46" t="s">
        <v>650</v>
      </c>
      <c r="C50" s="47">
        <f>COUNTIFS('Recommendations'!G:G,"Phase1",'Recommendations'!M:M,"=Resolved")</f>
        <v>0</v>
      </c>
      <c r="D50" s="47">
        <f>COUNTIFS('Recommendations'!G:G,"=Phase1",'Recommendations'!M:M,"=Testing")</f>
        <v>0</v>
      </c>
      <c r="E50" s="47">
        <f>COUNTIFS('Recommendations'!G:G,"=Phase1",'Recommendations'!M:M,"=Outstanding")</f>
        <v>0</v>
      </c>
      <c r="F50" s="47">
        <f t="shared" ref="F50:F55" si="0">SUM(C50:E50)</f>
        <v>0</v>
      </c>
    </row>
    <row r="51" spans="2:6" x14ac:dyDescent="0.35">
      <c r="B51" s="46" t="s">
        <v>651</v>
      </c>
      <c r="C51" s="47">
        <f>COUNTIFS('Recommendations'!G:G,"Phase2",'Recommendations'!M:M,"=Resolved")</f>
        <v>0</v>
      </c>
      <c r="D51" s="47">
        <f>COUNTIFS('Recommendations'!G:G,"=Phase2",'Recommendations'!M:M,"=Testing")</f>
        <v>0</v>
      </c>
      <c r="E51" s="47">
        <f>COUNTIFS('Recommendations'!G:G,"=Phase2",'Recommendations'!M:M,"=Outstanding")</f>
        <v>0</v>
      </c>
      <c r="F51" s="47">
        <f t="shared" si="0"/>
        <v>0</v>
      </c>
    </row>
    <row r="52" spans="2:6" x14ac:dyDescent="0.35">
      <c r="B52" s="46" t="s">
        <v>652</v>
      </c>
      <c r="C52" s="47">
        <f>COUNTIFS('Recommendations'!G:G,"Phase3",'Recommendations'!M:M,"=Resolved")</f>
        <v>0</v>
      </c>
      <c r="D52" s="47">
        <f>COUNTIFS('Recommendations'!G:G,"=Phase3",'Recommendations'!M:M,"=Testing")</f>
        <v>0</v>
      </c>
      <c r="E52" s="47">
        <f>COUNTIFS('Recommendations'!G:G,"=Phase3",'Recommendations'!M:M,"=Outstanding")</f>
        <v>0</v>
      </c>
      <c r="F52" s="47">
        <f t="shared" si="0"/>
        <v>0</v>
      </c>
    </row>
    <row r="53" spans="2:6" x14ac:dyDescent="0.35">
      <c r="B53" s="46" t="s">
        <v>653</v>
      </c>
      <c r="C53" s="47">
        <f>COUNTIFS('Recommendations'!G:G,"Phase4",'Recommendations'!M:M,"=Resolved")</f>
        <v>0</v>
      </c>
      <c r="D53" s="47">
        <f>COUNTIFS('Recommendations'!G:G,"=Phase4",'Recommendations'!M:M,"=Testing")</f>
        <v>0</v>
      </c>
      <c r="E53" s="47">
        <f>COUNTIFS('Recommendations'!G:G,"=Phase4",'Recommendations'!M:M,"=Outstanding")</f>
        <v>0</v>
      </c>
      <c r="F53" s="47">
        <f t="shared" si="0"/>
        <v>0</v>
      </c>
    </row>
    <row r="54" spans="2:6" x14ac:dyDescent="0.35">
      <c r="B54" s="46" t="s">
        <v>654</v>
      </c>
      <c r="C54" s="47">
        <f>COUNTIFS('Recommendations'!G:G,"Phase5",'Recommendations'!M:M,"=Resolved")</f>
        <v>0</v>
      </c>
      <c r="D54" s="47">
        <f>COUNTIFS('Recommendations'!G:G,"=Phase5",'Recommendations'!M:M,"=Testing")</f>
        <v>0</v>
      </c>
      <c r="E54" s="47">
        <f>COUNTIFS('Recommendations'!G:G,"=Phase5",'Recommendations'!M:M,"=Outstanding")</f>
        <v>0</v>
      </c>
      <c r="F54" s="47">
        <f t="shared" si="0"/>
        <v>0</v>
      </c>
    </row>
    <row r="55" spans="2:6" x14ac:dyDescent="0.35">
      <c r="B55" s="46" t="s">
        <v>20</v>
      </c>
      <c r="C55" s="47">
        <f>COUNTIFS('Recommendations'!G:G,"Pending",'Recommendations'!M:M,"=Resolved")</f>
        <v>0</v>
      </c>
      <c r="D55" s="47">
        <f>COUNTIFS('Recommendations'!G:G,"=Pending",'Recommendations'!M:M,"=Testing")</f>
        <v>0</v>
      </c>
      <c r="E55" s="47">
        <f>COUNTIFS('Recommendations'!G:G,"=Pending",'Recommendations'!M:M,"=Outstanding")</f>
        <v>104</v>
      </c>
      <c r="F55" s="47">
        <f t="shared" si="0"/>
        <v>104</v>
      </c>
    </row>
    <row r="57" spans="2:6" x14ac:dyDescent="0.35">
      <c r="B57" s="56" t="s">
        <v>647</v>
      </c>
    </row>
    <row r="58" spans="2:6" x14ac:dyDescent="0.35">
      <c r="B58" s="57" t="s">
        <v>6</v>
      </c>
      <c r="C58" s="57" t="s">
        <v>642</v>
      </c>
      <c r="D58" s="57" t="s">
        <v>643</v>
      </c>
      <c r="E58" s="57" t="s">
        <v>644</v>
      </c>
      <c r="F58" s="57" t="s">
        <v>21</v>
      </c>
    </row>
    <row r="59" spans="2:6" x14ac:dyDescent="0.35">
      <c r="B59" s="46" t="s">
        <v>650</v>
      </c>
      <c r="C59" s="48">
        <f t="shared" ref="C59:C64" si="1">IF(F50&gt;0, C50/F50, 0)</f>
        <v>0</v>
      </c>
      <c r="D59" s="48">
        <f t="shared" ref="D59:D64" si="2">IF(F50&gt;0, D50/F50, 0)</f>
        <v>0</v>
      </c>
      <c r="E59" s="48">
        <f t="shared" ref="E59:E64" si="3">IF(F50&gt;0, E50/F50, 0)</f>
        <v>0</v>
      </c>
      <c r="F59" s="49" t="s">
        <v>21</v>
      </c>
    </row>
    <row r="60" spans="2:6" x14ac:dyDescent="0.35">
      <c r="B60" s="46" t="s">
        <v>651</v>
      </c>
      <c r="C60" s="48">
        <f t="shared" si="1"/>
        <v>0</v>
      </c>
      <c r="D60" s="48">
        <f t="shared" si="2"/>
        <v>0</v>
      </c>
      <c r="E60" s="48">
        <f t="shared" si="3"/>
        <v>0</v>
      </c>
      <c r="F60" s="49" t="s">
        <v>21</v>
      </c>
    </row>
    <row r="61" spans="2:6" x14ac:dyDescent="0.35">
      <c r="B61" s="46" t="s">
        <v>652</v>
      </c>
      <c r="C61" s="48">
        <f t="shared" si="1"/>
        <v>0</v>
      </c>
      <c r="D61" s="48">
        <f t="shared" si="2"/>
        <v>0</v>
      </c>
      <c r="E61" s="48">
        <f t="shared" si="3"/>
        <v>0</v>
      </c>
      <c r="F61" s="49" t="s">
        <v>21</v>
      </c>
    </row>
    <row r="62" spans="2:6" x14ac:dyDescent="0.35">
      <c r="B62" s="46" t="s">
        <v>653</v>
      </c>
      <c r="C62" s="48">
        <f t="shared" si="1"/>
        <v>0</v>
      </c>
      <c r="D62" s="48">
        <f t="shared" si="2"/>
        <v>0</v>
      </c>
      <c r="E62" s="48">
        <f t="shared" si="3"/>
        <v>0</v>
      </c>
      <c r="F62" s="49" t="s">
        <v>21</v>
      </c>
    </row>
    <row r="63" spans="2:6" x14ac:dyDescent="0.35">
      <c r="B63" s="46" t="s">
        <v>654</v>
      </c>
      <c r="C63" s="48">
        <f t="shared" si="1"/>
        <v>0</v>
      </c>
      <c r="D63" s="48">
        <f t="shared" si="2"/>
        <v>0</v>
      </c>
      <c r="E63" s="48">
        <f t="shared" si="3"/>
        <v>0</v>
      </c>
      <c r="F63" s="49" t="s">
        <v>21</v>
      </c>
    </row>
    <row r="64" spans="2:6" x14ac:dyDescent="0.35">
      <c r="B64" s="46" t="s">
        <v>20</v>
      </c>
      <c r="C64" s="48">
        <f t="shared" si="1"/>
        <v>0</v>
      </c>
      <c r="D64" s="48">
        <f t="shared" si="2"/>
        <v>0</v>
      </c>
      <c r="E64" s="48">
        <f t="shared" si="3"/>
        <v>1</v>
      </c>
      <c r="F64" s="49" t="s">
        <v>21</v>
      </c>
    </row>
    <row r="69" spans="2:6" ht="18.5" x14ac:dyDescent="0.45">
      <c r="B69" s="42" t="s">
        <v>655</v>
      </c>
    </row>
    <row r="71" spans="2:6" x14ac:dyDescent="0.35">
      <c r="B71" s="56" t="s">
        <v>641</v>
      </c>
    </row>
    <row r="72" spans="2:6" x14ac:dyDescent="0.35">
      <c r="B72" s="44" t="s">
        <v>2</v>
      </c>
      <c r="C72" s="44" t="s">
        <v>642</v>
      </c>
      <c r="D72" s="44" t="s">
        <v>643</v>
      </c>
      <c r="E72" s="44" t="s">
        <v>644</v>
      </c>
      <c r="F72" s="44" t="s">
        <v>645</v>
      </c>
    </row>
    <row r="73" spans="2:6" x14ac:dyDescent="0.35">
      <c r="B73" s="46" t="s">
        <v>52</v>
      </c>
      <c r="C73" s="47">
        <f>COUNTIFS('Recommendations'!C:C,"CAT I (High)",'Recommendations'!M:M,"=Resolved")</f>
        <v>0</v>
      </c>
      <c r="D73" s="47">
        <f>COUNTIFS('Recommendations'!C:C,"=CAT I (High)",'Recommendations'!M:M,"=Testing")</f>
        <v>0</v>
      </c>
      <c r="E73" s="47">
        <f>COUNTIFS('Recommendations'!C:C,"=CAT I (High)",'Recommendations'!M:M,"=Outstanding")</f>
        <v>30</v>
      </c>
      <c r="F73" s="47">
        <f>SUM(C73:E73)</f>
        <v>30</v>
      </c>
    </row>
    <row r="74" spans="2:6" x14ac:dyDescent="0.35">
      <c r="B74" s="46" t="s">
        <v>16</v>
      </c>
      <c r="C74" s="47">
        <f>COUNTIFS('Recommendations'!C:C,"CAT II (Medium)",'Recommendations'!M:M,"=Resolved")</f>
        <v>0</v>
      </c>
      <c r="D74" s="47">
        <f>COUNTIFS('Recommendations'!C:C,"=CAT II (Medium)",'Recommendations'!M:M,"=Testing")</f>
        <v>0</v>
      </c>
      <c r="E74" s="47">
        <f>COUNTIFS('Recommendations'!C:C,"=CAT II (Medium)",'Recommendations'!M:M,"=Outstanding")</f>
        <v>66</v>
      </c>
      <c r="F74" s="47">
        <f>SUM(C74:E74)</f>
        <v>66</v>
      </c>
    </row>
    <row r="75" spans="2:6" x14ac:dyDescent="0.35">
      <c r="B75" s="46" t="s">
        <v>119</v>
      </c>
      <c r="C75" s="47">
        <f>COUNTIFS('Recommendations'!C:C,"CAT III (Low)",'Recommendations'!M:M,"=Resolved")</f>
        <v>0</v>
      </c>
      <c r="D75" s="47">
        <f>COUNTIFS('Recommendations'!C:C,"=CAT III (Low)",'Recommendations'!M:M,"=Testing")</f>
        <v>0</v>
      </c>
      <c r="E75" s="47">
        <f>COUNTIFS('Recommendations'!C:C,"=CAT III (Low)",'Recommendations'!M:M,"=Outstanding")</f>
        <v>8</v>
      </c>
      <c r="F75" s="47">
        <f>SUM(C75:E75)</f>
        <v>8</v>
      </c>
    </row>
    <row r="77" spans="2:6" x14ac:dyDescent="0.35">
      <c r="B77" s="56" t="s">
        <v>647</v>
      </c>
    </row>
    <row r="78" spans="2:6" x14ac:dyDescent="0.35">
      <c r="B78" s="57" t="s">
        <v>2</v>
      </c>
      <c r="C78" s="57" t="s">
        <v>642</v>
      </c>
      <c r="D78" s="57" t="s">
        <v>643</v>
      </c>
      <c r="E78" s="57" t="s">
        <v>644</v>
      </c>
      <c r="F78" s="57" t="s">
        <v>21</v>
      </c>
    </row>
    <row r="79" spans="2:6" x14ac:dyDescent="0.35">
      <c r="B79" s="46" t="s">
        <v>52</v>
      </c>
      <c r="C79" s="48">
        <f>IF(F73&gt;0, C73/F73, 0)</f>
        <v>0</v>
      </c>
      <c r="D79" s="48">
        <f>IF(F73&gt;0, D73/F73, 0)</f>
        <v>0</v>
      </c>
      <c r="E79" s="48">
        <f>IF(F73&gt;0, E73/F73, 0)</f>
        <v>1</v>
      </c>
      <c r="F79" s="49" t="s">
        <v>21</v>
      </c>
    </row>
    <row r="80" spans="2:6" x14ac:dyDescent="0.35">
      <c r="B80" s="46" t="s">
        <v>16</v>
      </c>
      <c r="C80" s="48">
        <f>IF(F74&gt;0, C74/F74, 0)</f>
        <v>0</v>
      </c>
      <c r="D80" s="48">
        <f>IF(F74&gt;0, D74/F74, 0)</f>
        <v>0</v>
      </c>
      <c r="E80" s="48">
        <f>IF(F74&gt;0, E74/F74, 0)</f>
        <v>1</v>
      </c>
      <c r="F80" s="49" t="s">
        <v>21</v>
      </c>
    </row>
    <row r="81" spans="2:6" x14ac:dyDescent="0.35">
      <c r="B81" s="46" t="s">
        <v>119</v>
      </c>
      <c r="C81" s="48">
        <f>IF(F75&gt;0, C75/F75, 0)</f>
        <v>0</v>
      </c>
      <c r="D81" s="48">
        <f>IF(F75&gt;0, D75/F75, 0)</f>
        <v>0</v>
      </c>
      <c r="E81" s="48">
        <f>IF(F75&gt;0, E75/F75, 0)</f>
        <v>1</v>
      </c>
      <c r="F81" s="49" t="s">
        <v>21</v>
      </c>
    </row>
    <row r="86" spans="2:6" ht="18.5" x14ac:dyDescent="0.45">
      <c r="B86" s="42" t="s">
        <v>656</v>
      </c>
    </row>
    <row r="88" spans="2:6" x14ac:dyDescent="0.35">
      <c r="B88" s="56" t="s">
        <v>641</v>
      </c>
    </row>
    <row r="89" spans="2:6" x14ac:dyDescent="0.35">
      <c r="B89" s="44" t="s">
        <v>4</v>
      </c>
      <c r="C89" s="44" t="s">
        <v>642</v>
      </c>
      <c r="D89" s="44" t="s">
        <v>643</v>
      </c>
      <c r="E89" s="44" t="s">
        <v>644</v>
      </c>
      <c r="F89" s="44" t="s">
        <v>645</v>
      </c>
    </row>
    <row r="90" spans="2:6" x14ac:dyDescent="0.35">
      <c r="B90" s="46" t="s">
        <v>657</v>
      </c>
      <c r="C90" s="47">
        <f>COUNTIFS('Recommendations'!E:E,"Must",'Recommendations'!M:M,"=Resolved")</f>
        <v>0</v>
      </c>
      <c r="D90" s="47">
        <f>COUNTIFS('Recommendations'!E:E,"=Must",'Recommendations'!M:M,"=Testing")</f>
        <v>0</v>
      </c>
      <c r="E90" s="47">
        <f>COUNTIFS('Recommendations'!E:E,"=Must",'Recommendations'!M:M,"=Outstanding")</f>
        <v>0</v>
      </c>
      <c r="F90" s="47">
        <f>SUM(C90:E90)</f>
        <v>0</v>
      </c>
    </row>
    <row r="91" spans="2:6" x14ac:dyDescent="0.35">
      <c r="B91" s="46" t="s">
        <v>658</v>
      </c>
      <c r="C91" s="47">
        <f>COUNTIFS('Recommendations'!E:E,"Should",'Recommendations'!M:M,"=Resolved")</f>
        <v>0</v>
      </c>
      <c r="D91" s="47">
        <f>COUNTIFS('Recommendations'!E:E,"=Should",'Recommendations'!M:M,"=Testing")</f>
        <v>0</v>
      </c>
      <c r="E91" s="47">
        <f>COUNTIFS('Recommendations'!E:E,"=Should",'Recommendations'!M:M,"=Outstanding")</f>
        <v>0</v>
      </c>
      <c r="F91" s="47">
        <f>SUM(C91:E91)</f>
        <v>0</v>
      </c>
    </row>
    <row r="92" spans="2:6" x14ac:dyDescent="0.35">
      <c r="B92" s="46" t="s">
        <v>659</v>
      </c>
      <c r="C92" s="47">
        <f>COUNTIFS('Recommendations'!E:E,"Could",'Recommendations'!M:M,"=Resolved")</f>
        <v>0</v>
      </c>
      <c r="D92" s="47">
        <f>COUNTIFS('Recommendations'!E:E,"=Could",'Recommendations'!M:M,"=Testing")</f>
        <v>0</v>
      </c>
      <c r="E92" s="47">
        <f>COUNTIFS('Recommendations'!E:E,"=Could",'Recommendations'!M:M,"=Outstanding")</f>
        <v>0</v>
      </c>
      <c r="F92" s="47">
        <f>SUM(C92:E92)</f>
        <v>0</v>
      </c>
    </row>
    <row r="93" spans="2:6" x14ac:dyDescent="0.35">
      <c r="B93" s="46" t="s">
        <v>660</v>
      </c>
      <c r="C93" s="47">
        <f>COUNTIFS('Recommendations'!E:E,"Won't",'Recommendations'!M:M,"=Resolved")</f>
        <v>0</v>
      </c>
      <c r="D93" s="47">
        <f>COUNTIFS('Recommendations'!E:E,"=Won't",'Recommendations'!M:M,"=Testing")</f>
        <v>0</v>
      </c>
      <c r="E93" s="47">
        <f>COUNTIFS('Recommendations'!E:E,"=Won't",'Recommendations'!M:M,"=Outstanding")</f>
        <v>0</v>
      </c>
      <c r="F93" s="47">
        <f>SUM(C93:E93)</f>
        <v>0</v>
      </c>
    </row>
    <row r="94" spans="2:6" x14ac:dyDescent="0.35">
      <c r="B94" s="46" t="s">
        <v>18</v>
      </c>
      <c r="C94" s="47">
        <f>COUNTIFS('Recommendations'!E:E,"Unassigned",'Recommendations'!M:M,"=Resolved")</f>
        <v>0</v>
      </c>
      <c r="D94" s="47">
        <f>COUNTIFS('Recommendations'!E:E,"=Unassigned",'Recommendations'!M:M,"=Testing")</f>
        <v>0</v>
      </c>
      <c r="E94" s="47">
        <f>COUNTIFS('Recommendations'!E:E,"=Unassigned",'Recommendations'!M:M,"=Outstanding")</f>
        <v>104</v>
      </c>
      <c r="F94" s="47">
        <f>SUM(C94:E94)</f>
        <v>104</v>
      </c>
    </row>
    <row r="96" spans="2:6" x14ac:dyDescent="0.35">
      <c r="B96" s="56" t="s">
        <v>647</v>
      </c>
    </row>
    <row r="97" spans="2:6" x14ac:dyDescent="0.35">
      <c r="B97" s="57" t="s">
        <v>4</v>
      </c>
      <c r="C97" s="57" t="s">
        <v>642</v>
      </c>
      <c r="D97" s="57" t="s">
        <v>643</v>
      </c>
      <c r="E97" s="57" t="s">
        <v>644</v>
      </c>
      <c r="F97" s="57" t="s">
        <v>21</v>
      </c>
    </row>
    <row r="98" spans="2:6" x14ac:dyDescent="0.35">
      <c r="B98" s="46" t="s">
        <v>657</v>
      </c>
      <c r="C98" s="48">
        <f>IF(F90&gt;0, C90/F90, 0)</f>
        <v>0</v>
      </c>
      <c r="D98" s="48">
        <f>IF(F90&gt;0, D90/F90, 0)</f>
        <v>0</v>
      </c>
      <c r="E98" s="48">
        <f>IF(F90&gt;0, E90/F90, 0)</f>
        <v>0</v>
      </c>
      <c r="F98" s="49" t="s">
        <v>21</v>
      </c>
    </row>
    <row r="99" spans="2:6" x14ac:dyDescent="0.35">
      <c r="B99" s="46" t="s">
        <v>658</v>
      </c>
      <c r="C99" s="48">
        <f>IF(F91&gt;0, C91/F91, 0)</f>
        <v>0</v>
      </c>
      <c r="D99" s="48">
        <f>IF(F91&gt;0, D91/F91, 0)</f>
        <v>0</v>
      </c>
      <c r="E99" s="48">
        <f>IF(F91&gt;0, E91/F91, 0)</f>
        <v>0</v>
      </c>
      <c r="F99" s="49" t="s">
        <v>21</v>
      </c>
    </row>
    <row r="100" spans="2:6" x14ac:dyDescent="0.35">
      <c r="B100" s="46" t="s">
        <v>659</v>
      </c>
      <c r="C100" s="48">
        <f>IF(F92&gt;0, C92/F92, 0)</f>
        <v>0</v>
      </c>
      <c r="D100" s="48">
        <f>IF(F92&gt;0, D92/F92, 0)</f>
        <v>0</v>
      </c>
      <c r="E100" s="48">
        <f>IF(F92&gt;0, E92/F92, 0)</f>
        <v>0</v>
      </c>
      <c r="F100" s="49" t="s">
        <v>21</v>
      </c>
    </row>
    <row r="101" spans="2:6" x14ac:dyDescent="0.35">
      <c r="B101" s="46" t="s">
        <v>660</v>
      </c>
      <c r="C101" s="48">
        <f>IF(F93&gt;0, C93/F93, 0)</f>
        <v>0</v>
      </c>
      <c r="D101" s="48">
        <f>IF(F93&gt;0, D93/F93, 0)</f>
        <v>0</v>
      </c>
      <c r="E101" s="48">
        <f>IF(F93&gt;0, E93/F93, 0)</f>
        <v>0</v>
      </c>
      <c r="F101" s="49" t="s">
        <v>21</v>
      </c>
    </row>
    <row r="102" spans="2:6" x14ac:dyDescent="0.35">
      <c r="B102" s="46" t="s">
        <v>18</v>
      </c>
      <c r="C102" s="48">
        <f>IF(F94&gt;0, C94/F94, 0)</f>
        <v>0</v>
      </c>
      <c r="D102" s="48">
        <f>IF(F94&gt;0, D94/F94, 0)</f>
        <v>0</v>
      </c>
      <c r="E102" s="48">
        <f>IF(F94&gt;0, E94/F94, 0)</f>
        <v>1</v>
      </c>
      <c r="F102" s="49" t="s">
        <v>21</v>
      </c>
    </row>
    <row r="107" spans="2:6" ht="18.5" x14ac:dyDescent="0.45">
      <c r="B107" s="42" t="s">
        <v>661</v>
      </c>
    </row>
    <row r="109" spans="2:6" x14ac:dyDescent="0.35">
      <c r="B109" s="56" t="s">
        <v>641</v>
      </c>
    </row>
    <row r="110" spans="2:6" x14ac:dyDescent="0.35">
      <c r="B110" s="44" t="s">
        <v>662</v>
      </c>
      <c r="C110" s="44" t="s">
        <v>642</v>
      </c>
      <c r="D110" s="44" t="s">
        <v>643</v>
      </c>
      <c r="E110" s="44" t="s">
        <v>644</v>
      </c>
      <c r="F110" s="44" t="s">
        <v>645</v>
      </c>
    </row>
    <row r="111" spans="2:6" x14ac:dyDescent="0.35">
      <c r="B111" s="46" t="s">
        <v>663</v>
      </c>
      <c r="C111" s="47">
        <f>COUNTIFS('Recommendations'!F:F,"Low",'Recommendations'!M:M,"=Resolved")</f>
        <v>0</v>
      </c>
      <c r="D111" s="47">
        <f>COUNTIFS('Recommendations'!F:F,"=Low",'Recommendations'!M:M,"=Testing")</f>
        <v>0</v>
      </c>
      <c r="E111" s="47">
        <f>COUNTIFS('Recommendations'!F:F,"=Low",'Recommendations'!M:M,"=Outstanding")</f>
        <v>0</v>
      </c>
      <c r="F111" s="47">
        <f>SUM(C111:E111)</f>
        <v>0</v>
      </c>
    </row>
    <row r="112" spans="2:6" x14ac:dyDescent="0.35">
      <c r="B112" s="46" t="s">
        <v>664</v>
      </c>
      <c r="C112" s="47">
        <f>COUNTIFS('Recommendations'!F:F,"Medium",'Recommendations'!M:M,"=Resolved")</f>
        <v>0</v>
      </c>
      <c r="D112" s="47">
        <f>COUNTIFS('Recommendations'!F:F,"=Medium",'Recommendations'!M:M,"=Testing")</f>
        <v>0</v>
      </c>
      <c r="E112" s="47">
        <f>COUNTIFS('Recommendations'!F:F,"=Medium",'Recommendations'!M:M,"=Outstanding")</f>
        <v>0</v>
      </c>
      <c r="F112" s="47">
        <f>SUM(C112:E112)</f>
        <v>0</v>
      </c>
    </row>
    <row r="113" spans="2:15" x14ac:dyDescent="0.35">
      <c r="B113" s="46" t="s">
        <v>665</v>
      </c>
      <c r="C113" s="47">
        <f>COUNTIFS('Recommendations'!F:F,"High",'Recommendations'!M:M,"=Resolved")</f>
        <v>0</v>
      </c>
      <c r="D113" s="47">
        <f>COUNTIFS('Recommendations'!F:F,"=High",'Recommendations'!M:M,"=Testing")</f>
        <v>0</v>
      </c>
      <c r="E113" s="47">
        <f>COUNTIFS('Recommendations'!F:F,"=High",'Recommendations'!M:M,"=Outstanding")</f>
        <v>0</v>
      </c>
      <c r="F113" s="47">
        <f>SUM(C113:E113)</f>
        <v>0</v>
      </c>
    </row>
    <row r="114" spans="2:15" x14ac:dyDescent="0.35">
      <c r="B114" s="46" t="s">
        <v>19</v>
      </c>
      <c r="C114" s="47">
        <f>COUNTIFS('Recommendations'!F:F,"Unassessed",'Recommendations'!M:M,"=Resolved")</f>
        <v>0</v>
      </c>
      <c r="D114" s="47">
        <f>COUNTIFS('Recommendations'!F:F,"=Unassessed",'Recommendations'!M:M,"=Testing")</f>
        <v>0</v>
      </c>
      <c r="E114" s="47">
        <f>COUNTIFS('Recommendations'!F:F,"=Unassessed",'Recommendations'!M:M,"=Outstanding")</f>
        <v>104</v>
      </c>
      <c r="F114" s="47">
        <f>SUM(C114:E114)</f>
        <v>104</v>
      </c>
    </row>
    <row r="116" spans="2:15" x14ac:dyDescent="0.35">
      <c r="B116" s="56" t="s">
        <v>647</v>
      </c>
    </row>
    <row r="117" spans="2:15" x14ac:dyDescent="0.35">
      <c r="B117" s="57" t="s">
        <v>662</v>
      </c>
      <c r="C117" s="57" t="s">
        <v>642</v>
      </c>
      <c r="D117" s="57" t="s">
        <v>643</v>
      </c>
      <c r="E117" s="57" t="s">
        <v>644</v>
      </c>
      <c r="F117" s="57" t="s">
        <v>21</v>
      </c>
    </row>
    <row r="118" spans="2:15" x14ac:dyDescent="0.35">
      <c r="B118" s="46" t="s">
        <v>663</v>
      </c>
      <c r="C118" s="48">
        <f>IF(F111&gt;0, C111/F111, 0)</f>
        <v>0</v>
      </c>
      <c r="D118" s="48">
        <f>IF(F111&gt;0, D111/F111, 0)</f>
        <v>0</v>
      </c>
      <c r="E118" s="48">
        <f>IF(F111&gt;0, E111/F111, 0)</f>
        <v>0</v>
      </c>
      <c r="F118" s="49" t="s">
        <v>21</v>
      </c>
    </row>
    <row r="119" spans="2:15" x14ac:dyDescent="0.35">
      <c r="B119" s="46" t="s">
        <v>664</v>
      </c>
      <c r="C119" s="48">
        <f>IF(F112&gt;0, C112/F112, 0)</f>
        <v>0</v>
      </c>
      <c r="D119" s="48">
        <f>IF(F112&gt;0, D112/F112, 0)</f>
        <v>0</v>
      </c>
      <c r="E119" s="48">
        <f>IF(F112&gt;0, E112/F112, 0)</f>
        <v>0</v>
      </c>
      <c r="F119" s="49" t="s">
        <v>21</v>
      </c>
    </row>
    <row r="120" spans="2:15" x14ac:dyDescent="0.35">
      <c r="B120" s="46" t="s">
        <v>665</v>
      </c>
      <c r="C120" s="48">
        <f>IF(F113&gt;0, C113/F113, 0)</f>
        <v>0</v>
      </c>
      <c r="D120" s="48">
        <f>IF(F113&gt;0, D113/F113, 0)</f>
        <v>0</v>
      </c>
      <c r="E120" s="48">
        <f>IF(F113&gt;0, E113/F113, 0)</f>
        <v>0</v>
      </c>
      <c r="F120" s="49" t="s">
        <v>21</v>
      </c>
    </row>
    <row r="121" spans="2:15" x14ac:dyDescent="0.35">
      <c r="B121" s="46" t="s">
        <v>19</v>
      </c>
      <c r="C121" s="48">
        <f>IF(F114&gt;0, C114/F114, 0)</f>
        <v>0</v>
      </c>
      <c r="D121" s="48">
        <f>IF(F114&gt;0, D114/F114, 0)</f>
        <v>0</v>
      </c>
      <c r="E121" s="48">
        <f>IF(F114&gt;0, E114/F114, 0)</f>
        <v>1</v>
      </c>
      <c r="F121" s="49" t="s">
        <v>21</v>
      </c>
    </row>
    <row r="126" spans="2:15" ht="18.5" x14ac:dyDescent="0.45">
      <c r="B126" s="42" t="s">
        <v>666</v>
      </c>
      <c r="J126" s="42" t="s">
        <v>667</v>
      </c>
    </row>
    <row r="127" spans="2:15" x14ac:dyDescent="0.35">
      <c r="B127" s="44" t="s">
        <v>6</v>
      </c>
      <c r="C127" s="297" t="s">
        <v>668</v>
      </c>
      <c r="D127" s="297"/>
      <c r="E127" s="44" t="s">
        <v>634</v>
      </c>
      <c r="F127" s="44" t="s">
        <v>642</v>
      </c>
      <c r="G127" s="297" t="s">
        <v>669</v>
      </c>
      <c r="H127" s="297"/>
      <c r="J127" s="44" t="s">
        <v>6</v>
      </c>
      <c r="K127" s="44" t="s">
        <v>657</v>
      </c>
      <c r="L127" s="44" t="s">
        <v>658</v>
      </c>
      <c r="M127" s="44" t="s">
        <v>659</v>
      </c>
      <c r="N127" s="44" t="s">
        <v>660</v>
      </c>
      <c r="O127" s="44" t="s">
        <v>18</v>
      </c>
    </row>
    <row r="128" spans="2:15" x14ac:dyDescent="0.35">
      <c r="B128" s="50" t="s">
        <v>650</v>
      </c>
      <c r="C128" s="298" t="s">
        <v>21</v>
      </c>
      <c r="D128" s="298"/>
      <c r="E128" s="47">
        <f>COUNTIF('Recommendations'!G:G,"Phase1")-COUNTIFS('Recommendations'!G:G,"Phase1",'Recommendations'!H:H,"Risk Accepted")-COUNTIFS('Recommendations'!G:G,"Phase1",'Recommendations'!H:H,"N/A")</f>
        <v>0</v>
      </c>
      <c r="F128" s="47">
        <f>COUNTIFS('Recommendations'!G:G,"Phase1",'Recommendations'!M:M,"Resolved")</f>
        <v>0</v>
      </c>
      <c r="G128" s="299">
        <f t="shared" ref="G128:G133" si="4">IF(E128&gt;0,F128/E128,0)</f>
        <v>0</v>
      </c>
      <c r="H128" s="299"/>
      <c r="J128" s="50" t="s">
        <v>650</v>
      </c>
      <c r="K128" s="47">
        <f>COUNTIFS('Recommendations'!G:G,"Phase1",'Recommendations'!E:E,"Must")</f>
        <v>0</v>
      </c>
      <c r="L128" s="47">
        <f>COUNTIFS('Recommendations'!G:G,"Phase1",'Recommendations'!E:E,"Should")</f>
        <v>0</v>
      </c>
      <c r="M128" s="47">
        <f>COUNTIFS('Recommendations'!G:G,"Phase1",'Recommendations'!E:E,"Could")</f>
        <v>0</v>
      </c>
      <c r="N128" s="47">
        <f>COUNTIFS('Recommendations'!G:G,"Phase1",'Recommendations'!E:E,"Won't")</f>
        <v>0</v>
      </c>
      <c r="O128" s="47">
        <f>COUNTIFS('Recommendations'!G:G,"Phase1",'Recommendations'!E:E,"Unassigned")</f>
        <v>0</v>
      </c>
    </row>
    <row r="129" spans="2:24" x14ac:dyDescent="0.35">
      <c r="B129" s="50" t="s">
        <v>651</v>
      </c>
      <c r="C129" s="298" t="s">
        <v>21</v>
      </c>
      <c r="D129" s="298"/>
      <c r="E129" s="47">
        <f>COUNTIF('Recommendations'!G:G,"Phase2")-COUNTIFS('Recommendations'!G:G,"Phase2",'Recommendations'!H:H,"Risk Accepted")-COUNTIFS('Recommendations'!G:G,"Phase2",'Recommendations'!H:H,"N/A")</f>
        <v>0</v>
      </c>
      <c r="F129" s="47">
        <f>COUNTIFS('Recommendations'!G:G,"Phase2",'Recommendations'!M:M,"Resolved")</f>
        <v>0</v>
      </c>
      <c r="G129" s="299">
        <f t="shared" si="4"/>
        <v>0</v>
      </c>
      <c r="H129" s="299"/>
      <c r="J129" s="50" t="s">
        <v>651</v>
      </c>
      <c r="K129" s="47">
        <f>COUNTIFS('Recommendations'!G:G,"Phase2",'Recommendations'!E:E,"Must")</f>
        <v>0</v>
      </c>
      <c r="L129" s="47">
        <f>COUNTIFS('Recommendations'!G:G,"Phase2",'Recommendations'!E:E,"Should")</f>
        <v>0</v>
      </c>
      <c r="M129" s="47">
        <f>COUNTIFS('Recommendations'!G:G,"Phase2",'Recommendations'!E:E,"Could")</f>
        <v>0</v>
      </c>
      <c r="N129" s="47">
        <f>COUNTIFS('Recommendations'!G:G,"Phase2",'Recommendations'!E:E,"Won't")</f>
        <v>0</v>
      </c>
      <c r="O129" s="47">
        <f>COUNTIFS('Recommendations'!G:G,"Phase2",'Recommendations'!E:E,"Unassigned")</f>
        <v>0</v>
      </c>
    </row>
    <row r="130" spans="2:24" x14ac:dyDescent="0.35">
      <c r="B130" s="50" t="s">
        <v>652</v>
      </c>
      <c r="C130" s="298" t="s">
        <v>21</v>
      </c>
      <c r="D130" s="298"/>
      <c r="E130" s="47">
        <f>COUNTIF('Recommendations'!G:G,"Phase3")-COUNTIFS('Recommendations'!G:G,"Phase3",'Recommendations'!H:H,"Risk Accepted")-COUNTIFS('Recommendations'!G:G,"Phase3",'Recommendations'!H:H,"N/A")</f>
        <v>0</v>
      </c>
      <c r="F130" s="47">
        <f>COUNTIFS('Recommendations'!G:G,"Phase3",'Recommendations'!M:M,"Resolved")</f>
        <v>0</v>
      </c>
      <c r="G130" s="299">
        <f t="shared" si="4"/>
        <v>0</v>
      </c>
      <c r="H130" s="299"/>
      <c r="J130" s="50" t="s">
        <v>652</v>
      </c>
      <c r="K130" s="47">
        <f>COUNTIFS('Recommendations'!G:G,"Phase3",'Recommendations'!E:E,"Must")</f>
        <v>0</v>
      </c>
      <c r="L130" s="47">
        <f>COUNTIFS('Recommendations'!G:G,"Phase3",'Recommendations'!E:E,"Should")</f>
        <v>0</v>
      </c>
      <c r="M130" s="47">
        <f>COUNTIFS('Recommendations'!G:G,"Phase3",'Recommendations'!E:E,"Could")</f>
        <v>0</v>
      </c>
      <c r="N130" s="47">
        <f>COUNTIFS('Recommendations'!G:G,"Phase3",'Recommendations'!E:E,"Won't")</f>
        <v>0</v>
      </c>
      <c r="O130" s="47">
        <f>COUNTIFS('Recommendations'!G:G,"Phase3",'Recommendations'!E:E,"Unassigned")</f>
        <v>0</v>
      </c>
    </row>
    <row r="131" spans="2:24" x14ac:dyDescent="0.35">
      <c r="B131" s="50" t="s">
        <v>653</v>
      </c>
      <c r="C131" s="298" t="s">
        <v>21</v>
      </c>
      <c r="D131" s="298"/>
      <c r="E131" s="47">
        <f>COUNTIF('Recommendations'!G:G,"Phase4")-COUNTIFS('Recommendations'!G:G,"Phase4",'Recommendations'!H:H,"Risk Accepted")-COUNTIFS('Recommendations'!G:G,"Phase4",'Recommendations'!H:H,"N/A")</f>
        <v>0</v>
      </c>
      <c r="F131" s="47">
        <f>COUNTIFS('Recommendations'!G:G,"Phase4",'Recommendations'!M:M,"Resolved")</f>
        <v>0</v>
      </c>
      <c r="G131" s="299">
        <f t="shared" si="4"/>
        <v>0</v>
      </c>
      <c r="H131" s="299"/>
      <c r="J131" s="50" t="s">
        <v>653</v>
      </c>
      <c r="K131" s="47">
        <f>COUNTIFS('Recommendations'!G:G,"Phase4",'Recommendations'!E:E,"Must")</f>
        <v>0</v>
      </c>
      <c r="L131" s="47">
        <f>COUNTIFS('Recommendations'!G:G,"Phase4",'Recommendations'!E:E,"Should")</f>
        <v>0</v>
      </c>
      <c r="M131" s="47">
        <f>COUNTIFS('Recommendations'!G:G,"Phase4",'Recommendations'!E:E,"Could")</f>
        <v>0</v>
      </c>
      <c r="N131" s="47">
        <f>COUNTIFS('Recommendations'!G:G,"Phase4",'Recommendations'!E:E,"Won't")</f>
        <v>0</v>
      </c>
      <c r="O131" s="47">
        <f>COUNTIFS('Recommendations'!G:G,"Phase4",'Recommendations'!E:E,"Unassigned")</f>
        <v>0</v>
      </c>
    </row>
    <row r="132" spans="2:24" x14ac:dyDescent="0.35">
      <c r="B132" s="50" t="s">
        <v>654</v>
      </c>
      <c r="C132" s="298" t="s">
        <v>21</v>
      </c>
      <c r="D132" s="298"/>
      <c r="E132" s="47">
        <f>COUNTIF('Recommendations'!G:G,"Phase5")-COUNTIFS('Recommendations'!G:G,"Phase5",'Recommendations'!H:H,"Risk Accepted")-COUNTIFS('Recommendations'!G:G,"Phase5",'Recommendations'!H:H,"N/A")</f>
        <v>0</v>
      </c>
      <c r="F132" s="47">
        <f>COUNTIFS('Recommendations'!G:G,"Phase5",'Recommendations'!M:M,"Resolved")</f>
        <v>0</v>
      </c>
      <c r="G132" s="299">
        <f t="shared" si="4"/>
        <v>0</v>
      </c>
      <c r="H132" s="299"/>
      <c r="J132" s="50" t="s">
        <v>654</v>
      </c>
      <c r="K132" s="47">
        <f>COUNTIFS('Recommendations'!G:G,"Phase5",'Recommendations'!E:E,"Must")</f>
        <v>0</v>
      </c>
      <c r="L132" s="47">
        <f>COUNTIFS('Recommendations'!G:G,"Phase5",'Recommendations'!E:E,"Should")</f>
        <v>0</v>
      </c>
      <c r="M132" s="47">
        <f>COUNTIFS('Recommendations'!G:G,"Phase5",'Recommendations'!E:E,"Could")</f>
        <v>0</v>
      </c>
      <c r="N132" s="47">
        <f>COUNTIFS('Recommendations'!G:G,"Phase5",'Recommendations'!E:E,"Won't")</f>
        <v>0</v>
      </c>
      <c r="O132" s="47">
        <f>COUNTIFS('Recommendations'!G:G,"Phase5",'Recommendations'!E:E,"Unassigned")</f>
        <v>0</v>
      </c>
    </row>
    <row r="133" spans="2:24" x14ac:dyDescent="0.35">
      <c r="B133" s="50" t="s">
        <v>20</v>
      </c>
      <c r="C133" s="298" t="s">
        <v>21</v>
      </c>
      <c r="D133" s="298"/>
      <c r="E133" s="47">
        <f>COUNTIF('Recommendations'!G:G,"Pending")-COUNTIFS('Recommendations'!G:G,"Pending",'Recommendations'!H:H,"Risk Accepted")-COUNTIFS('Recommendations'!G:G,"Pending",'Recommendations'!H:H,"N/A")</f>
        <v>104</v>
      </c>
      <c r="F133" s="47">
        <f>COUNTIFS('Recommendations'!G:G,"Pending",'Recommendations'!M:M,"Resolved")</f>
        <v>0</v>
      </c>
      <c r="G133" s="299">
        <f t="shared" si="4"/>
        <v>0</v>
      </c>
      <c r="H133" s="299"/>
      <c r="J133" s="50" t="s">
        <v>20</v>
      </c>
      <c r="K133" s="47">
        <f>COUNTIFS('Recommendations'!G:G,"Pending",'Recommendations'!E:E,"Must")</f>
        <v>0</v>
      </c>
      <c r="L133" s="47">
        <f>COUNTIFS('Recommendations'!G:G,"Pending",'Recommendations'!E:E,"Should")</f>
        <v>0</v>
      </c>
      <c r="M133" s="47">
        <f>COUNTIFS('Recommendations'!G:G,"Pending",'Recommendations'!E:E,"Could")</f>
        <v>0</v>
      </c>
      <c r="N133" s="47">
        <f>COUNTIFS('Recommendations'!G:G,"Pending",'Recommendations'!E:E,"Won't")</f>
        <v>0</v>
      </c>
      <c r="O133" s="47">
        <f>COUNTIFS('Recommendations'!G:G,"Pending",'Recommendations'!E:E,"Unassigned")</f>
        <v>104</v>
      </c>
    </row>
    <row r="140" spans="2:24" ht="21" x14ac:dyDescent="0.5">
      <c r="B140" s="42" t="s">
        <v>670</v>
      </c>
      <c r="P140" s="59" t="s">
        <v>671</v>
      </c>
    </row>
    <row r="142" spans="2:24" ht="60" customHeight="1" x14ac:dyDescent="0.35">
      <c r="B142" s="300" t="s">
        <v>672</v>
      </c>
      <c r="C142" s="293"/>
      <c r="D142" s="293"/>
      <c r="E142" s="293"/>
      <c r="F142" s="293"/>
      <c r="P142" s="300" t="s">
        <v>673</v>
      </c>
      <c r="Q142" s="293"/>
      <c r="R142" s="293"/>
      <c r="S142" s="293"/>
      <c r="T142" s="293"/>
      <c r="U142" s="293"/>
      <c r="V142" s="293"/>
      <c r="W142" s="293"/>
    </row>
    <row r="144" spans="2:24" ht="30" customHeight="1" x14ac:dyDescent="0.35">
      <c r="P144" s="60" t="s">
        <v>674</v>
      </c>
      <c r="Q144" s="61">
        <f>C16</f>
        <v>0</v>
      </c>
      <c r="R144" s="62"/>
      <c r="S144" s="61">
        <f>C90</f>
        <v>0</v>
      </c>
      <c r="T144" s="62"/>
      <c r="U144" s="61">
        <f>C91</f>
        <v>0</v>
      </c>
      <c r="V144" s="62"/>
      <c r="W144" s="61">
        <f>C92</f>
        <v>0</v>
      </c>
      <c r="X144" s="62"/>
    </row>
    <row r="145" spans="15:24" ht="35" customHeight="1" x14ac:dyDescent="0.35">
      <c r="P145" s="63" t="s">
        <v>675</v>
      </c>
      <c r="Q145" s="63" t="s">
        <v>676</v>
      </c>
      <c r="R145" s="63" t="s">
        <v>677</v>
      </c>
      <c r="S145" s="63" t="s">
        <v>678</v>
      </c>
      <c r="T145" s="63" t="s">
        <v>679</v>
      </c>
      <c r="U145" s="63" t="s">
        <v>680</v>
      </c>
      <c r="V145" s="63" t="s">
        <v>681</v>
      </c>
      <c r="W145" s="63" t="s">
        <v>682</v>
      </c>
      <c r="X145" s="63" t="s">
        <v>683</v>
      </c>
    </row>
    <row r="146" spans="15:24" x14ac:dyDescent="0.35">
      <c r="O146" s="64" t="s">
        <v>684</v>
      </c>
      <c r="P146" s="65" t="s">
        <v>685</v>
      </c>
      <c r="Q146" s="66">
        <v>0</v>
      </c>
      <c r="R146" s="67">
        <f>IF(Dashboard!F16&gt;0, Q146/Dashboard!F16, "")</f>
        <v>0</v>
      </c>
      <c r="S146" s="66">
        <v>0</v>
      </c>
      <c r="T146" s="67" t="str">
        <f>IF(AND(NOT(ISBLANK(S146)),Dashboard!F90&gt;0), S146/Dashboard!F90, "")</f>
        <v/>
      </c>
      <c r="U146" s="66">
        <v>0</v>
      </c>
      <c r="V146" s="67" t="str">
        <f>IF(AND(NOT(ISBLANK(U146)),Dashboard!F91&gt;0), U146/Dashboard!F91, "")</f>
        <v/>
      </c>
      <c r="W146" s="66">
        <v>0</v>
      </c>
      <c r="X146" s="67" t="str">
        <f>IF(AND(NOT(ISBLANK(W146)),Dashboard!F92&gt;0), W146/Dashboard!F92, "")</f>
        <v/>
      </c>
    </row>
    <row r="147" spans="15:24" x14ac:dyDescent="0.35">
      <c r="P147" s="58"/>
      <c r="Q147" s="45"/>
      <c r="R147" s="48" t="str">
        <f>IF(AND(NOT(ISBLANK(Q147)),Dashboard!F16&gt;0), Q147/Dashboard!F16, "")</f>
        <v/>
      </c>
      <c r="S147" s="45"/>
      <c r="T147" s="48" t="str">
        <f>IF(AND(NOT(ISBLANK(S147)),Dashboard!F90&gt;0), S147/Dashboard!F90, "")</f>
        <v/>
      </c>
      <c r="U147" s="45"/>
      <c r="V147" s="48" t="str">
        <f>IF(AND(NOT(ISBLANK(U147)),Dashboard!F91&gt;0), U147/Dashboard!F91, "")</f>
        <v/>
      </c>
      <c r="W147" s="45"/>
      <c r="X147" s="48" t="str">
        <f>IF(AND(NOT(ISBLANK(W147)),Dashboard!F92&gt;0), W147/Dashboard!F92, "")</f>
        <v/>
      </c>
    </row>
    <row r="148" spans="15:24" x14ac:dyDescent="0.35">
      <c r="P148" s="58"/>
      <c r="Q148" s="45"/>
      <c r="R148" s="48" t="str">
        <f>IF(AND(NOT(ISBLANK(Q148)),Dashboard!F16&gt;0), Q148/Dashboard!F16, "")</f>
        <v/>
      </c>
      <c r="S148" s="45"/>
      <c r="T148" s="48" t="str">
        <f>IF(AND(NOT(ISBLANK(S148)),Dashboard!F90&gt;0), S148/Dashboard!F90, "")</f>
        <v/>
      </c>
      <c r="U148" s="45"/>
      <c r="V148" s="48" t="str">
        <f>IF(AND(NOT(ISBLANK(U148)),Dashboard!F91&gt;0), U148/Dashboard!F91, "")</f>
        <v/>
      </c>
      <c r="W148" s="45"/>
      <c r="X148" s="48" t="str">
        <f>IF(AND(NOT(ISBLANK(W148)),Dashboard!F92&gt;0), W148/Dashboard!F92, "")</f>
        <v/>
      </c>
    </row>
    <row r="149" spans="15:24" x14ac:dyDescent="0.35">
      <c r="P149" s="58"/>
      <c r="Q149" s="45"/>
      <c r="R149" s="48" t="str">
        <f>IF(AND(NOT(ISBLANK(Q149)),Dashboard!F16&gt;0), Q149/Dashboard!F16, "")</f>
        <v/>
      </c>
      <c r="S149" s="45"/>
      <c r="T149" s="48" t="str">
        <f>IF(AND(NOT(ISBLANK(S149)),Dashboard!F90&gt;0), S149/Dashboard!F90, "")</f>
        <v/>
      </c>
      <c r="U149" s="45"/>
      <c r="V149" s="48" t="str">
        <f>IF(AND(NOT(ISBLANK(U149)),Dashboard!F91&gt;0), U149/Dashboard!F91, "")</f>
        <v/>
      </c>
      <c r="W149" s="45"/>
      <c r="X149" s="48" t="str">
        <f>IF(AND(NOT(ISBLANK(W149)),Dashboard!F92&gt;0), W149/Dashboard!F92, "")</f>
        <v/>
      </c>
    </row>
    <row r="150" spans="15:24" x14ac:dyDescent="0.35">
      <c r="P150" s="58"/>
      <c r="Q150" s="45"/>
      <c r="R150" s="48" t="str">
        <f>IF(AND(NOT(ISBLANK(Q150)),Dashboard!F16&gt;0), Q150/Dashboard!F16, "")</f>
        <v/>
      </c>
      <c r="S150" s="45"/>
      <c r="T150" s="48" t="str">
        <f>IF(AND(NOT(ISBLANK(S150)),Dashboard!F90&gt;0), S150/Dashboard!F90, "")</f>
        <v/>
      </c>
      <c r="U150" s="45"/>
      <c r="V150" s="48" t="str">
        <f>IF(AND(NOT(ISBLANK(U150)),Dashboard!F91&gt;0), U150/Dashboard!F91, "")</f>
        <v/>
      </c>
      <c r="W150" s="45"/>
      <c r="X150" s="48" t="str">
        <f>IF(AND(NOT(ISBLANK(W150)),Dashboard!F92&gt;0), W150/Dashboard!F92, "")</f>
        <v/>
      </c>
    </row>
    <row r="151" spans="15:24" x14ac:dyDescent="0.35">
      <c r="P151" s="58"/>
      <c r="Q151" s="45"/>
      <c r="R151" s="48" t="str">
        <f>IF(AND(NOT(ISBLANK(Q151)),Dashboard!F16&gt;0), Q151/Dashboard!F16, "")</f>
        <v/>
      </c>
      <c r="S151" s="45"/>
      <c r="T151" s="48" t="str">
        <f>IF(AND(NOT(ISBLANK(S151)),Dashboard!F90&gt;0), S151/Dashboard!F90, "")</f>
        <v/>
      </c>
      <c r="U151" s="45"/>
      <c r="V151" s="48" t="str">
        <f>IF(AND(NOT(ISBLANK(U151)),Dashboard!F91&gt;0), U151/Dashboard!F91, "")</f>
        <v/>
      </c>
      <c r="W151" s="45"/>
      <c r="X151" s="48" t="str">
        <f>IF(AND(NOT(ISBLANK(W151)),Dashboard!F92&gt;0), W151/Dashboard!F92, "")</f>
        <v/>
      </c>
    </row>
    <row r="152" spans="15:24" x14ac:dyDescent="0.35">
      <c r="P152" s="58"/>
      <c r="Q152" s="45"/>
      <c r="R152" s="48" t="str">
        <f>IF(AND(NOT(ISBLANK(Q152)),Dashboard!F16&gt;0), Q152/Dashboard!F16, "")</f>
        <v/>
      </c>
      <c r="S152" s="45"/>
      <c r="T152" s="48" t="str">
        <f>IF(AND(NOT(ISBLANK(S152)),Dashboard!F90&gt;0), S152/Dashboard!F90, "")</f>
        <v/>
      </c>
      <c r="U152" s="45"/>
      <c r="V152" s="48" t="str">
        <f>IF(AND(NOT(ISBLANK(U152)),Dashboard!F91&gt;0), U152/Dashboard!F91, "")</f>
        <v/>
      </c>
      <c r="W152" s="45"/>
      <c r="X152" s="48" t="str">
        <f>IF(AND(NOT(ISBLANK(W152)),Dashboard!F92&gt;0), W152/Dashboard!F92, "")</f>
        <v/>
      </c>
    </row>
    <row r="153" spans="15:24" x14ac:dyDescent="0.35">
      <c r="P153" s="58"/>
      <c r="Q153" s="45"/>
      <c r="R153" s="48" t="str">
        <f>IF(AND(NOT(ISBLANK(Q153)),Dashboard!F16&gt;0), Q153/Dashboard!F16, "")</f>
        <v/>
      </c>
      <c r="S153" s="45"/>
      <c r="T153" s="48" t="str">
        <f>IF(AND(NOT(ISBLANK(S153)),Dashboard!F90&gt;0), S153/Dashboard!F90, "")</f>
        <v/>
      </c>
      <c r="U153" s="45"/>
      <c r="V153" s="48" t="str">
        <f>IF(AND(NOT(ISBLANK(U153)),Dashboard!F91&gt;0), U153/Dashboard!F91, "")</f>
        <v/>
      </c>
      <c r="W153" s="45"/>
      <c r="X153" s="48" t="str">
        <f>IF(AND(NOT(ISBLANK(W153)),Dashboard!F92&gt;0), W153/Dashboard!F92, "")</f>
        <v/>
      </c>
    </row>
    <row r="154" spans="15:24" x14ac:dyDescent="0.35">
      <c r="P154" s="58"/>
      <c r="Q154" s="45"/>
      <c r="R154" s="48" t="str">
        <f>IF(AND(NOT(ISBLANK(Q154)),Dashboard!F16&gt;0), Q154/Dashboard!F16, "")</f>
        <v/>
      </c>
      <c r="S154" s="45"/>
      <c r="T154" s="48" t="str">
        <f>IF(AND(NOT(ISBLANK(S154)),Dashboard!F90&gt;0), S154/Dashboard!F90, "")</f>
        <v/>
      </c>
      <c r="U154" s="45"/>
      <c r="V154" s="48" t="str">
        <f>IF(AND(NOT(ISBLANK(U154)),Dashboard!F91&gt;0), U154/Dashboard!F91, "")</f>
        <v/>
      </c>
      <c r="W154" s="45"/>
      <c r="X154" s="48" t="str">
        <f>IF(AND(NOT(ISBLANK(W154)),Dashboard!F92&gt;0), W154/Dashboard!F92, "")</f>
        <v/>
      </c>
    </row>
    <row r="155" spans="15:24" x14ac:dyDescent="0.35">
      <c r="P155" s="58"/>
      <c r="Q155" s="45"/>
      <c r="R155" s="48" t="str">
        <f>IF(AND(NOT(ISBLANK(Q155)),Dashboard!F16&gt;0), Q155/Dashboard!F16, "")</f>
        <v/>
      </c>
      <c r="S155" s="45"/>
      <c r="T155" s="48" t="str">
        <f>IF(AND(NOT(ISBLANK(S155)),Dashboard!F90&gt;0), S155/Dashboard!F90, "")</f>
        <v/>
      </c>
      <c r="U155" s="45"/>
      <c r="V155" s="48" t="str">
        <f>IF(AND(NOT(ISBLANK(U155)),Dashboard!F91&gt;0), U155/Dashboard!F91, "")</f>
        <v/>
      </c>
      <c r="W155" s="45"/>
      <c r="X155" s="48" t="str">
        <f>IF(AND(NOT(ISBLANK(W155)),Dashboard!F92&gt;0), W155/Dashboard!F92, "")</f>
        <v/>
      </c>
    </row>
    <row r="156" spans="15:24" x14ac:dyDescent="0.35">
      <c r="P156" s="58"/>
      <c r="Q156" s="45"/>
      <c r="R156" s="48" t="str">
        <f>IF(AND(NOT(ISBLANK(Q156)),Dashboard!F16&gt;0), Q156/Dashboard!F16, "")</f>
        <v/>
      </c>
      <c r="S156" s="45"/>
      <c r="T156" s="48" t="str">
        <f>IF(AND(NOT(ISBLANK(S156)),Dashboard!F90&gt;0), S156/Dashboard!F90, "")</f>
        <v/>
      </c>
      <c r="U156" s="45"/>
      <c r="V156" s="48" t="str">
        <f>IF(AND(NOT(ISBLANK(U156)),Dashboard!F91&gt;0), U156/Dashboard!F91, "")</f>
        <v/>
      </c>
      <c r="W156" s="45"/>
      <c r="X156" s="48" t="str">
        <f>IF(AND(NOT(ISBLANK(W156)),Dashboard!F92&gt;0), W156/Dashboard!F92, "")</f>
        <v/>
      </c>
    </row>
    <row r="157" spans="15:24" x14ac:dyDescent="0.35">
      <c r="P157" s="58"/>
      <c r="Q157" s="45"/>
      <c r="R157" s="48" t="str">
        <f>IF(AND(NOT(ISBLANK(Q157)),Dashboard!F16&gt;0), Q157/Dashboard!F16, "")</f>
        <v/>
      </c>
      <c r="S157" s="45"/>
      <c r="T157" s="48" t="str">
        <f>IF(AND(NOT(ISBLANK(S157)),Dashboard!F90&gt;0), S157/Dashboard!F90, "")</f>
        <v/>
      </c>
      <c r="U157" s="45"/>
      <c r="V157" s="48" t="str">
        <f>IF(AND(NOT(ISBLANK(U157)),Dashboard!F91&gt;0), U157/Dashboard!F91, "")</f>
        <v/>
      </c>
      <c r="W157" s="45"/>
      <c r="X157" s="48" t="str">
        <f>IF(AND(NOT(ISBLANK(W157)),Dashboard!F92&gt;0), W157/Dashboard!F92, "")</f>
        <v/>
      </c>
    </row>
    <row r="158" spans="15:24" x14ac:dyDescent="0.35">
      <c r="P158" s="58"/>
      <c r="Q158" s="45"/>
      <c r="R158" s="48" t="str">
        <f>IF(AND(NOT(ISBLANK(Q158)),Dashboard!F16&gt;0), Q158/Dashboard!F16, "")</f>
        <v/>
      </c>
      <c r="S158" s="45"/>
      <c r="T158" s="48" t="str">
        <f>IF(AND(NOT(ISBLANK(S158)),Dashboard!F90&gt;0), S158/Dashboard!F90, "")</f>
        <v/>
      </c>
      <c r="U158" s="45"/>
      <c r="V158" s="48" t="str">
        <f>IF(AND(NOT(ISBLANK(U158)),Dashboard!F91&gt;0), U158/Dashboard!F91, "")</f>
        <v/>
      </c>
      <c r="W158" s="45"/>
      <c r="X158" s="48" t="str">
        <f>IF(AND(NOT(ISBLANK(W158)),Dashboard!F92&gt;0), W158/Dashboard!F92, "")</f>
        <v/>
      </c>
    </row>
    <row r="159" spans="15:24" x14ac:dyDescent="0.35">
      <c r="P159" s="58"/>
      <c r="Q159" s="45"/>
      <c r="R159" s="48" t="str">
        <f>IF(AND(NOT(ISBLANK(Q159)),Dashboard!F16&gt;0), Q159/Dashboard!F16, "")</f>
        <v/>
      </c>
      <c r="S159" s="45"/>
      <c r="T159" s="48" t="str">
        <f>IF(AND(NOT(ISBLANK(S159)),Dashboard!F90&gt;0), S159/Dashboard!F90, "")</f>
        <v/>
      </c>
      <c r="U159" s="45"/>
      <c r="V159" s="48" t="str">
        <f>IF(AND(NOT(ISBLANK(U159)),Dashboard!F91&gt;0), U159/Dashboard!F91, "")</f>
        <v/>
      </c>
      <c r="W159" s="45"/>
      <c r="X159" s="48" t="str">
        <f>IF(AND(NOT(ISBLANK(W159)),Dashboard!F92&gt;0), W159/Dashboard!F92, "")</f>
        <v/>
      </c>
    </row>
    <row r="160" spans="15:24" x14ac:dyDescent="0.35">
      <c r="P160" s="58"/>
      <c r="Q160" s="45"/>
      <c r="R160" s="48" t="str">
        <f>IF(AND(NOT(ISBLANK(Q160)),Dashboard!F16&gt;0), Q160/Dashboard!F16, "")</f>
        <v/>
      </c>
      <c r="S160" s="45"/>
      <c r="T160" s="48" t="str">
        <f>IF(AND(NOT(ISBLANK(S160)),Dashboard!F90&gt;0), S160/Dashboard!F90, "")</f>
        <v/>
      </c>
      <c r="U160" s="45"/>
      <c r="V160" s="48" t="str">
        <f>IF(AND(NOT(ISBLANK(U160)),Dashboard!F91&gt;0), U160/Dashboard!F91, "")</f>
        <v/>
      </c>
      <c r="W160" s="45"/>
      <c r="X160" s="48" t="str">
        <f>IF(AND(NOT(ISBLANK(W160)),Dashboard!F92&gt;0), W160/Dashboard!F92, "")</f>
        <v/>
      </c>
    </row>
    <row r="161" spans="16:24" x14ac:dyDescent="0.35">
      <c r="P161" s="58"/>
      <c r="Q161" s="45"/>
      <c r="R161" s="48" t="str">
        <f>IF(AND(NOT(ISBLANK(Q161)),Dashboard!F16&gt;0), Q161/Dashboard!F16, "")</f>
        <v/>
      </c>
      <c r="S161" s="45"/>
      <c r="T161" s="48" t="str">
        <f>IF(AND(NOT(ISBLANK(S161)),Dashboard!F90&gt;0), S161/Dashboard!F90, "")</f>
        <v/>
      </c>
      <c r="U161" s="45"/>
      <c r="V161" s="48" t="str">
        <f>IF(AND(NOT(ISBLANK(U161)),Dashboard!F91&gt;0), U161/Dashboard!F91, "")</f>
        <v/>
      </c>
      <c r="W161" s="45"/>
      <c r="X161" s="48" t="str">
        <f>IF(AND(NOT(ISBLANK(W161)),Dashboard!F92&gt;0), W161/Dashboard!F92, "")</f>
        <v/>
      </c>
    </row>
    <row r="162" spans="16:24" x14ac:dyDescent="0.35">
      <c r="P162" s="58"/>
      <c r="Q162" s="45"/>
      <c r="R162" s="48" t="str">
        <f>IF(AND(NOT(ISBLANK(Q162)),Dashboard!F16&gt;0), Q162/Dashboard!F16, "")</f>
        <v/>
      </c>
      <c r="S162" s="45"/>
      <c r="T162" s="48" t="str">
        <f>IF(AND(NOT(ISBLANK(S162)),Dashboard!F90&gt;0), S162/Dashboard!F90, "")</f>
        <v/>
      </c>
      <c r="U162" s="45"/>
      <c r="V162" s="48" t="str">
        <f>IF(AND(NOT(ISBLANK(U162)),Dashboard!F91&gt;0), U162/Dashboard!F91, "")</f>
        <v/>
      </c>
      <c r="W162" s="45"/>
      <c r="X162" s="48" t="str">
        <f>IF(AND(NOT(ISBLANK(W162)),Dashboard!F92&gt;0), W162/Dashboard!F92, "")</f>
        <v/>
      </c>
    </row>
    <row r="163" spans="16:24" x14ac:dyDescent="0.35">
      <c r="P163" s="58"/>
      <c r="Q163" s="45"/>
      <c r="R163" s="48" t="str">
        <f>IF(AND(NOT(ISBLANK(Q163)),Dashboard!F16&gt;0), Q163/Dashboard!F16, "")</f>
        <v/>
      </c>
      <c r="S163" s="45"/>
      <c r="T163" s="48" t="str">
        <f>IF(AND(NOT(ISBLANK(S163)),Dashboard!F90&gt;0), S163/Dashboard!F90, "")</f>
        <v/>
      </c>
      <c r="U163" s="45"/>
      <c r="V163" s="48" t="str">
        <f>IF(AND(NOT(ISBLANK(U163)),Dashboard!F91&gt;0), U163/Dashboard!F91, "")</f>
        <v/>
      </c>
      <c r="W163" s="45"/>
      <c r="X163" s="48" t="str">
        <f>IF(AND(NOT(ISBLANK(W163)),Dashboard!F92&gt;0), W163/Dashboard!F92, "")</f>
        <v/>
      </c>
    </row>
    <row r="164" spans="16:24" x14ac:dyDescent="0.35">
      <c r="P164" s="58"/>
      <c r="Q164" s="45"/>
      <c r="R164" s="48" t="str">
        <f>IF(AND(NOT(ISBLANK(Q164)),Dashboard!F16&gt;0), Q164/Dashboard!F16, "")</f>
        <v/>
      </c>
      <c r="S164" s="45"/>
      <c r="T164" s="48" t="str">
        <f>IF(AND(NOT(ISBLANK(S164)),Dashboard!F90&gt;0), S164/Dashboard!F90, "")</f>
        <v/>
      </c>
      <c r="U164" s="45"/>
      <c r="V164" s="48" t="str">
        <f>IF(AND(NOT(ISBLANK(U164)),Dashboard!F91&gt;0), U164/Dashboard!F91, "")</f>
        <v/>
      </c>
      <c r="W164" s="45"/>
      <c r="X164" s="48" t="str">
        <f>IF(AND(NOT(ISBLANK(W164)),Dashboard!F92&gt;0), W164/Dashboard!F92, "")</f>
        <v/>
      </c>
    </row>
    <row r="165" spans="16:24" x14ac:dyDescent="0.35">
      <c r="P165" s="58"/>
      <c r="Q165" s="45"/>
      <c r="R165" s="48" t="str">
        <f>IF(AND(NOT(ISBLANK(Q165)),Dashboard!F16&gt;0), Q165/Dashboard!F16, "")</f>
        <v/>
      </c>
      <c r="S165" s="45"/>
      <c r="T165" s="48" t="str">
        <f>IF(AND(NOT(ISBLANK(S165)),Dashboard!F90&gt;0), S165/Dashboard!F90, "")</f>
        <v/>
      </c>
      <c r="U165" s="45"/>
      <c r="V165" s="48" t="str">
        <f>IF(AND(NOT(ISBLANK(U165)),Dashboard!F91&gt;0), U165/Dashboard!F91, "")</f>
        <v/>
      </c>
      <c r="W165" s="45"/>
      <c r="X165" s="48" t="str">
        <f>IF(AND(NOT(ISBLANK(W165)),Dashboard!F92&gt;0), W165/Dashboard!F92, "")</f>
        <v/>
      </c>
    </row>
    <row r="166" spans="16:24" x14ac:dyDescent="0.35">
      <c r="P166" s="58"/>
      <c r="Q166" s="45"/>
      <c r="R166" s="48" t="str">
        <f>IF(AND(NOT(ISBLANK(Q166)),Dashboard!F16&gt;0), Q166/Dashboard!F16, "")</f>
        <v/>
      </c>
      <c r="S166" s="45"/>
      <c r="T166" s="48" t="str">
        <f>IF(AND(NOT(ISBLANK(S166)),Dashboard!F90&gt;0), S166/Dashboard!F90, "")</f>
        <v/>
      </c>
      <c r="U166" s="45"/>
      <c r="V166" s="48" t="str">
        <f>IF(AND(NOT(ISBLANK(U166)),Dashboard!F91&gt;0), U166/Dashboard!F91, "")</f>
        <v/>
      </c>
      <c r="W166" s="45"/>
      <c r="X166" s="48" t="str">
        <f>IF(AND(NOT(ISBLANK(W166)),Dashboard!F92&gt;0), W166/Dashboard!F92, "")</f>
        <v/>
      </c>
    </row>
    <row r="167" spans="16:24" x14ac:dyDescent="0.35">
      <c r="P167" s="58"/>
      <c r="Q167" s="45"/>
      <c r="R167" s="48" t="str">
        <f>IF(AND(NOT(ISBLANK(Q167)),Dashboard!F16&gt;0), Q167/Dashboard!F16, "")</f>
        <v/>
      </c>
      <c r="S167" s="45"/>
      <c r="T167" s="48" t="str">
        <f>IF(AND(NOT(ISBLANK(S167)),Dashboard!F90&gt;0), S167/Dashboard!F90, "")</f>
        <v/>
      </c>
      <c r="U167" s="45"/>
      <c r="V167" s="48" t="str">
        <f>IF(AND(NOT(ISBLANK(U167)),Dashboard!F91&gt;0), U167/Dashboard!F91, "")</f>
        <v/>
      </c>
      <c r="W167" s="45"/>
      <c r="X167" s="48" t="str">
        <f>IF(AND(NOT(ISBLANK(W167)),Dashboard!F92&gt;0), W167/Dashboard!F92, "")</f>
        <v/>
      </c>
    </row>
    <row r="168" spans="16:24" x14ac:dyDescent="0.35">
      <c r="P168" s="58"/>
      <c r="Q168" s="45"/>
      <c r="R168" s="48" t="str">
        <f>IF(AND(NOT(ISBLANK(Q168)),Dashboard!F16&gt;0), Q168/Dashboard!F16, "")</f>
        <v/>
      </c>
      <c r="S168" s="45"/>
      <c r="T168" s="48" t="str">
        <f>IF(AND(NOT(ISBLANK(S168)),Dashboard!F90&gt;0), S168/Dashboard!F90, "")</f>
        <v/>
      </c>
      <c r="U168" s="45"/>
      <c r="V168" s="48" t="str">
        <f>IF(AND(NOT(ISBLANK(U168)),Dashboard!F91&gt;0), U168/Dashboard!F91, "")</f>
        <v/>
      </c>
      <c r="W168" s="45"/>
      <c r="X168" s="48" t="str">
        <f>IF(AND(NOT(ISBLANK(W168)),Dashboard!F92&gt;0), W168/Dashboard!F92, "")</f>
        <v/>
      </c>
    </row>
    <row r="169" spans="16:24" x14ac:dyDescent="0.35">
      <c r="P169" s="58"/>
      <c r="Q169" s="45"/>
      <c r="R169" s="48" t="str">
        <f>IF(AND(NOT(ISBLANK(Q169)),Dashboard!F16&gt;0), Q169/Dashboard!F16, "")</f>
        <v/>
      </c>
      <c r="S169" s="45"/>
      <c r="T169" s="48" t="str">
        <f>IF(AND(NOT(ISBLANK(S169)),Dashboard!F90&gt;0), S169/Dashboard!F90, "")</f>
        <v/>
      </c>
      <c r="U169" s="45"/>
      <c r="V169" s="48" t="str">
        <f>IF(AND(NOT(ISBLANK(U169)),Dashboard!F91&gt;0), U169/Dashboard!F91, "")</f>
        <v/>
      </c>
      <c r="W169" s="45"/>
      <c r="X169" s="48" t="str">
        <f>IF(AND(NOT(ISBLANK(W169)),Dashboard!F92&gt;0), W169/Dashboard!F92, "")</f>
        <v/>
      </c>
    </row>
    <row r="170" spans="16:24" x14ac:dyDescent="0.35">
      <c r="P170" s="58"/>
      <c r="Q170" s="45"/>
      <c r="R170" s="48" t="str">
        <f>IF(AND(NOT(ISBLANK(Q170)),Dashboard!F16&gt;0), Q170/Dashboard!F16, "")</f>
        <v/>
      </c>
      <c r="S170" s="45"/>
      <c r="T170" s="48" t="str">
        <f>IF(AND(NOT(ISBLANK(S170)),Dashboard!F90&gt;0), S170/Dashboard!F90, "")</f>
        <v/>
      </c>
      <c r="U170" s="45"/>
      <c r="V170" s="48" t="str">
        <f>IF(AND(NOT(ISBLANK(U170)),Dashboard!F91&gt;0), U170/Dashboard!F91, "")</f>
        <v/>
      </c>
      <c r="W170" s="45"/>
      <c r="X170" s="48" t="str">
        <f>IF(AND(NOT(ISBLANK(W170)),Dashboard!F92&gt;0), W170/Dashboard!F92, "")</f>
        <v/>
      </c>
    </row>
    <row r="171" spans="16:24" x14ac:dyDescent="0.35">
      <c r="P171" s="58"/>
      <c r="Q171" s="45"/>
      <c r="R171" s="48" t="str">
        <f>IF(AND(NOT(ISBLANK(Q171)),Dashboard!F16&gt;0), Q171/Dashboard!F16, "")</f>
        <v/>
      </c>
      <c r="S171" s="45"/>
      <c r="T171" s="48" t="str">
        <f>IF(AND(NOT(ISBLANK(S171)),Dashboard!F90&gt;0), S171/Dashboard!F90, "")</f>
        <v/>
      </c>
      <c r="U171" s="45"/>
      <c r="V171" s="48" t="str">
        <f>IF(AND(NOT(ISBLANK(U171)),Dashboard!F91&gt;0), U171/Dashboard!F91, "")</f>
        <v/>
      </c>
      <c r="W171" s="45"/>
      <c r="X171" s="48" t="str">
        <f>IF(AND(NOT(ISBLANK(W171)),Dashboard!F92&gt;0), W171/Dashboard!F92, "")</f>
        <v/>
      </c>
    </row>
    <row r="172" spans="16:24" x14ac:dyDescent="0.35">
      <c r="P172" s="58"/>
      <c r="Q172" s="45"/>
      <c r="R172" s="48" t="str">
        <f>IF(AND(NOT(ISBLANK(Q172)),Dashboard!F16&gt;0), Q172/Dashboard!F16, "")</f>
        <v/>
      </c>
      <c r="S172" s="45"/>
      <c r="T172" s="48" t="str">
        <f>IF(AND(NOT(ISBLANK(S172)),Dashboard!F90&gt;0), S172/Dashboard!F90, "")</f>
        <v/>
      </c>
      <c r="U172" s="45"/>
      <c r="V172" s="48" t="str">
        <f>IF(AND(NOT(ISBLANK(U172)),Dashboard!F91&gt;0), U172/Dashboard!F91, "")</f>
        <v/>
      </c>
      <c r="W172" s="45"/>
      <c r="X172" s="48" t="str">
        <f>IF(AND(NOT(ISBLANK(W172)),Dashboard!F92&gt;0), W172/Dashboard!F92, "")</f>
        <v/>
      </c>
    </row>
    <row r="173" spans="16:24" x14ac:dyDescent="0.35">
      <c r="P173" s="58"/>
      <c r="Q173" s="45"/>
      <c r="R173" s="48" t="str">
        <f>IF(AND(NOT(ISBLANK(Q173)),Dashboard!F16&gt;0), Q173/Dashboard!F16, "")</f>
        <v/>
      </c>
      <c r="S173" s="45"/>
      <c r="T173" s="48" t="str">
        <f>IF(AND(NOT(ISBLANK(S173)),Dashboard!F90&gt;0), S173/Dashboard!F90, "")</f>
        <v/>
      </c>
      <c r="U173" s="45"/>
      <c r="V173" s="48" t="str">
        <f>IF(AND(NOT(ISBLANK(U173)),Dashboard!F91&gt;0), U173/Dashboard!F91, "")</f>
        <v/>
      </c>
      <c r="W173" s="45"/>
      <c r="X173" s="48" t="str">
        <f>IF(AND(NOT(ISBLANK(W173)),Dashboard!F92&gt;0), W173/Dashboard!F92, "")</f>
        <v/>
      </c>
    </row>
    <row r="174" spans="16:24" x14ac:dyDescent="0.35">
      <c r="P174" s="58"/>
      <c r="Q174" s="45"/>
      <c r="R174" s="48" t="str">
        <f>IF(AND(NOT(ISBLANK(Q174)),Dashboard!F16&gt;0), Q174/Dashboard!F16, "")</f>
        <v/>
      </c>
      <c r="S174" s="45"/>
      <c r="T174" s="48" t="str">
        <f>IF(AND(NOT(ISBLANK(S174)),Dashboard!F90&gt;0), S174/Dashboard!F90, "")</f>
        <v/>
      </c>
      <c r="U174" s="45"/>
      <c r="V174" s="48" t="str">
        <f>IF(AND(NOT(ISBLANK(U174)),Dashboard!F91&gt;0), U174/Dashboard!F91, "")</f>
        <v/>
      </c>
      <c r="W174" s="45"/>
      <c r="X174" s="48" t="str">
        <f>IF(AND(NOT(ISBLANK(W174)),Dashboard!F92&gt;0), W174/Dashboard!F92, "")</f>
        <v/>
      </c>
    </row>
    <row r="175" spans="16:24" x14ac:dyDescent="0.35">
      <c r="P175" s="58"/>
      <c r="Q175" s="45"/>
      <c r="R175" s="48" t="str">
        <f>IF(AND(NOT(ISBLANK(Q175)),Dashboard!F16&gt;0), Q175/Dashboard!F16, "")</f>
        <v/>
      </c>
      <c r="S175" s="45"/>
      <c r="T175" s="48" t="str">
        <f>IF(AND(NOT(ISBLANK(S175)),Dashboard!F90&gt;0), S175/Dashboard!F90, "")</f>
        <v/>
      </c>
      <c r="U175" s="45"/>
      <c r="V175" s="48" t="str">
        <f>IF(AND(NOT(ISBLANK(U175)),Dashboard!F91&gt;0), U175/Dashboard!F91, "")</f>
        <v/>
      </c>
      <c r="W175" s="45"/>
      <c r="X175" s="48" t="str">
        <f>IF(AND(NOT(ISBLANK(W175)),Dashboard!F92&gt;0), W175/Dashboard!F92, "")</f>
        <v/>
      </c>
    </row>
    <row r="176" spans="16:24" x14ac:dyDescent="0.35">
      <c r="P176" s="58"/>
      <c r="Q176" s="45"/>
      <c r="R176" s="48" t="str">
        <f>IF(AND(NOT(ISBLANK(Q176)),Dashboard!F16&gt;0), Q176/Dashboard!F16, "")</f>
        <v/>
      </c>
      <c r="S176" s="45"/>
      <c r="T176" s="48" t="str">
        <f>IF(AND(NOT(ISBLANK(S176)),Dashboard!F90&gt;0), S176/Dashboard!F90, "")</f>
        <v/>
      </c>
      <c r="U176" s="45"/>
      <c r="V176" s="48" t="str">
        <f>IF(AND(NOT(ISBLANK(U176)),Dashboard!F91&gt;0), U176/Dashboard!F91, "")</f>
        <v/>
      </c>
      <c r="W176" s="45"/>
      <c r="X176" s="48" t="str">
        <f>IF(AND(NOT(ISBLANK(W176)),Dashboard!F92&gt;0), W176/Dashboard!F92, "")</f>
        <v/>
      </c>
    </row>
    <row r="181" spans="2:22" ht="21" x14ac:dyDescent="0.5">
      <c r="B181" s="42" t="s">
        <v>686</v>
      </c>
      <c r="P181" s="59" t="s">
        <v>687</v>
      </c>
    </row>
    <row r="183" spans="2:22" ht="45" customHeight="1" x14ac:dyDescent="0.35">
      <c r="B183" s="300" t="s">
        <v>688</v>
      </c>
      <c r="C183" s="293"/>
      <c r="D183" s="293"/>
      <c r="E183" s="293"/>
      <c r="F183" s="293"/>
      <c r="P183" s="300" t="s">
        <v>689</v>
      </c>
      <c r="Q183" s="293"/>
      <c r="R183" s="293"/>
      <c r="S183" s="293"/>
      <c r="T183" s="293"/>
      <c r="U183" s="293"/>
    </row>
    <row r="184" spans="2:22" ht="35" customHeight="1" x14ac:dyDescent="0.35">
      <c r="P184" s="297" t="s">
        <v>690</v>
      </c>
      <c r="Q184" s="297"/>
      <c r="R184" s="297" t="s">
        <v>691</v>
      </c>
      <c r="S184" s="297"/>
      <c r="T184" s="297"/>
    </row>
    <row r="185" spans="2:22" ht="30" customHeight="1" x14ac:dyDescent="0.35">
      <c r="P185" s="301">
        <v>0</v>
      </c>
      <c r="Q185" s="302"/>
      <c r="R185" s="303" t="s">
        <v>692</v>
      </c>
      <c r="S185" s="304"/>
      <c r="T185" s="304"/>
    </row>
    <row r="188" spans="2:22" ht="25" customHeight="1" x14ac:dyDescent="0.35">
      <c r="P188" s="68" t="s">
        <v>675</v>
      </c>
      <c r="Q188" s="68" t="s">
        <v>693</v>
      </c>
      <c r="R188" s="68" t="s">
        <v>694</v>
      </c>
      <c r="S188" s="305" t="s">
        <v>8</v>
      </c>
      <c r="T188" s="305"/>
      <c r="U188" s="305"/>
      <c r="V188" s="293"/>
    </row>
    <row r="189" spans="2:22" ht="20" customHeight="1" x14ac:dyDescent="0.35">
      <c r="P189" s="70"/>
      <c r="Q189" s="71"/>
      <c r="R189" s="72" t="str">
        <f>IF(AND(NOT(ISBLANK(Q189)), Dashboard!$P185&gt;0), Q189/Dashboard!$P185, "")</f>
        <v/>
      </c>
      <c r="S189" s="306"/>
      <c r="T189" s="307"/>
      <c r="U189" s="307"/>
      <c r="V189" s="307"/>
    </row>
    <row r="190" spans="2:22" ht="20" customHeight="1" x14ac:dyDescent="0.35">
      <c r="P190" s="70"/>
      <c r="Q190" s="71"/>
      <c r="R190" s="72" t="str">
        <f>IF(AND(NOT(ISBLANK(Q190)), Dashboard!$P185&gt;0), Q190/Dashboard!$P185, "")</f>
        <v/>
      </c>
      <c r="S190" s="306"/>
      <c r="T190" s="307"/>
      <c r="U190" s="307"/>
      <c r="V190" s="307"/>
    </row>
    <row r="191" spans="2:22" ht="20" customHeight="1" x14ac:dyDescent="0.35">
      <c r="P191" s="70"/>
      <c r="Q191" s="71"/>
      <c r="R191" s="72" t="str">
        <f>IF(AND(NOT(ISBLANK(Q191)), Dashboard!$P185&gt;0), Q191/Dashboard!$P185, "")</f>
        <v/>
      </c>
      <c r="S191" s="306"/>
      <c r="T191" s="307"/>
      <c r="U191" s="307"/>
      <c r="V191" s="307"/>
    </row>
    <row r="192" spans="2:22" ht="20" customHeight="1" x14ac:dyDescent="0.35">
      <c r="P192" s="70"/>
      <c r="Q192" s="71"/>
      <c r="R192" s="72" t="str">
        <f>IF(AND(NOT(ISBLANK(Q192)), Dashboard!$P185&gt;0), Q192/Dashboard!$P185, "")</f>
        <v/>
      </c>
      <c r="S192" s="306"/>
      <c r="T192" s="307"/>
      <c r="U192" s="307"/>
      <c r="V192" s="307"/>
    </row>
    <row r="193" spans="16:22" ht="20" customHeight="1" x14ac:dyDescent="0.35">
      <c r="P193" s="70"/>
      <c r="Q193" s="71"/>
      <c r="R193" s="72" t="str">
        <f>IF(AND(NOT(ISBLANK(Q193)), Dashboard!$P185&gt;0), Q193/Dashboard!$P185, "")</f>
        <v/>
      </c>
      <c r="S193" s="306"/>
      <c r="T193" s="307"/>
      <c r="U193" s="307"/>
      <c r="V193" s="307"/>
    </row>
    <row r="194" spans="16:22" ht="20" customHeight="1" x14ac:dyDescent="0.35">
      <c r="P194" s="70"/>
      <c r="Q194" s="71"/>
      <c r="R194" s="72" t="str">
        <f>IF(AND(NOT(ISBLANK(Q194)), Dashboard!$P185&gt;0), Q194/Dashboard!$P185, "")</f>
        <v/>
      </c>
      <c r="S194" s="306"/>
      <c r="T194" s="307"/>
      <c r="U194" s="307"/>
      <c r="V194" s="307"/>
    </row>
    <row r="195" spans="16:22" ht="20" customHeight="1" x14ac:dyDescent="0.35">
      <c r="P195" s="70"/>
      <c r="Q195" s="71"/>
      <c r="R195" s="72" t="str">
        <f>IF(AND(NOT(ISBLANK(Q195)), Dashboard!$P185&gt;0), Q195/Dashboard!$P185, "")</f>
        <v/>
      </c>
      <c r="S195" s="306"/>
      <c r="T195" s="307"/>
      <c r="U195" s="307"/>
      <c r="V195" s="307"/>
    </row>
    <row r="196" spans="16:22" ht="20" customHeight="1" x14ac:dyDescent="0.35">
      <c r="P196" s="70"/>
      <c r="Q196" s="71"/>
      <c r="R196" s="72" t="str">
        <f>IF(AND(NOT(ISBLANK(Q196)), Dashboard!$P185&gt;0), Q196/Dashboard!$P185, "")</f>
        <v/>
      </c>
      <c r="S196" s="306"/>
      <c r="T196" s="307"/>
      <c r="U196" s="307"/>
      <c r="V196" s="307"/>
    </row>
    <row r="197" spans="16:22" ht="20" customHeight="1" x14ac:dyDescent="0.35">
      <c r="P197" s="70"/>
      <c r="Q197" s="71"/>
      <c r="R197" s="72" t="str">
        <f>IF(AND(NOT(ISBLANK(Q197)), Dashboard!$P185&gt;0), Q197/Dashboard!$P185, "")</f>
        <v/>
      </c>
      <c r="S197" s="306"/>
      <c r="T197" s="307"/>
      <c r="U197" s="307"/>
      <c r="V197" s="307"/>
    </row>
    <row r="198" spans="16:22" ht="20" customHeight="1" x14ac:dyDescent="0.35">
      <c r="P198" s="70"/>
      <c r="Q198" s="71"/>
      <c r="R198" s="72" t="str">
        <f>IF(AND(NOT(ISBLANK(Q198)), Dashboard!$P185&gt;0), Q198/Dashboard!$P185, "")</f>
        <v/>
      </c>
      <c r="S198" s="306"/>
      <c r="T198" s="307"/>
      <c r="U198" s="307"/>
      <c r="V198" s="307"/>
    </row>
    <row r="199" spans="16:22" ht="20" customHeight="1" x14ac:dyDescent="0.35">
      <c r="P199" s="70"/>
      <c r="Q199" s="71"/>
      <c r="R199" s="72" t="str">
        <f>IF(AND(NOT(ISBLANK(Q199)), Dashboard!$P185&gt;0), Q199/Dashboard!$P185, "")</f>
        <v/>
      </c>
      <c r="S199" s="306"/>
      <c r="T199" s="307"/>
      <c r="U199" s="307"/>
      <c r="V199" s="307"/>
    </row>
    <row r="200" spans="16:22" ht="20" customHeight="1" x14ac:dyDescent="0.35">
      <c r="P200" s="70"/>
      <c r="Q200" s="71"/>
      <c r="R200" s="72" t="str">
        <f>IF(AND(NOT(ISBLANK(Q200)), Dashboard!$P185&gt;0), Q200/Dashboard!$P185, "")</f>
        <v/>
      </c>
      <c r="S200" s="306"/>
      <c r="T200" s="307"/>
      <c r="U200" s="307"/>
      <c r="V200" s="307"/>
    </row>
    <row r="201" spans="16:22" ht="20" customHeight="1" x14ac:dyDescent="0.35">
      <c r="P201" s="70"/>
      <c r="Q201" s="71"/>
      <c r="R201" s="72" t="str">
        <f>IF(AND(NOT(ISBLANK(Q201)), Dashboard!$P185&gt;0), Q201/Dashboard!$P185, "")</f>
        <v/>
      </c>
      <c r="S201" s="306"/>
      <c r="T201" s="307"/>
      <c r="U201" s="307"/>
      <c r="V201" s="307"/>
    </row>
    <row r="202" spans="16:22" ht="20" customHeight="1" x14ac:dyDescent="0.35">
      <c r="P202" s="70"/>
      <c r="Q202" s="71"/>
      <c r="R202" s="72" t="str">
        <f>IF(AND(NOT(ISBLANK(Q202)), Dashboard!$P185&gt;0), Q202/Dashboard!$P185, "")</f>
        <v/>
      </c>
      <c r="S202" s="306"/>
      <c r="T202" s="307"/>
      <c r="U202" s="307"/>
      <c r="V202" s="307"/>
    </row>
    <row r="203" spans="16:22" ht="20" customHeight="1" x14ac:dyDescent="0.35">
      <c r="P203" s="70"/>
      <c r="Q203" s="71"/>
      <c r="R203" s="72" t="str">
        <f>IF(AND(NOT(ISBLANK(Q203)), Dashboard!$P185&gt;0), Q203/Dashboard!$P185, "")</f>
        <v/>
      </c>
      <c r="S203" s="306"/>
      <c r="T203" s="307"/>
      <c r="U203" s="307"/>
      <c r="V203" s="307"/>
    </row>
    <row r="204" spans="16:22" ht="20" customHeight="1" x14ac:dyDescent="0.35">
      <c r="P204" s="70"/>
      <c r="Q204" s="71"/>
      <c r="R204" s="72" t="str">
        <f>IF(AND(NOT(ISBLANK(Q204)), Dashboard!$P185&gt;0), Q204/Dashboard!$P185, "")</f>
        <v/>
      </c>
      <c r="S204" s="306"/>
      <c r="T204" s="307"/>
      <c r="U204" s="307"/>
      <c r="V204" s="307"/>
    </row>
    <row r="205" spans="16:22" ht="20" customHeight="1" x14ac:dyDescent="0.35">
      <c r="P205" s="70"/>
      <c r="Q205" s="71"/>
      <c r="R205" s="72" t="str">
        <f>IF(AND(NOT(ISBLANK(Q205)), Dashboard!$P185&gt;0), Q205/Dashboard!$P185, "")</f>
        <v/>
      </c>
      <c r="S205" s="306"/>
      <c r="T205" s="307"/>
      <c r="U205" s="307"/>
      <c r="V205" s="307"/>
    </row>
    <row r="206" spans="16:22" ht="20" customHeight="1" x14ac:dyDescent="0.35">
      <c r="P206" s="70"/>
      <c r="Q206" s="71"/>
      <c r="R206" s="72" t="str">
        <f>IF(AND(NOT(ISBLANK(Q206)), Dashboard!$P185&gt;0), Q206/Dashboard!$P185, "")</f>
        <v/>
      </c>
      <c r="S206" s="306"/>
      <c r="T206" s="307"/>
      <c r="U206" s="307"/>
      <c r="V206" s="307"/>
    </row>
    <row r="207" spans="16:22" ht="20" customHeight="1" x14ac:dyDescent="0.35">
      <c r="P207" s="70"/>
      <c r="Q207" s="71"/>
      <c r="R207" s="72" t="str">
        <f>IF(AND(NOT(ISBLANK(Q207)), Dashboard!$P185&gt;0), Q207/Dashboard!$P185, "")</f>
        <v/>
      </c>
      <c r="S207" s="306"/>
      <c r="T207" s="307"/>
      <c r="U207" s="307"/>
      <c r="V207" s="307"/>
    </row>
    <row r="208" spans="16:22" ht="20" customHeight="1" x14ac:dyDescent="0.35">
      <c r="P208" s="70"/>
      <c r="Q208" s="71"/>
      <c r="R208" s="72" t="str">
        <f>IF(AND(NOT(ISBLANK(Q208)), Dashboard!$P185&gt;0), Q208/Dashboard!$P185, "")</f>
        <v/>
      </c>
      <c r="S208" s="306"/>
      <c r="T208" s="307"/>
      <c r="U208" s="307"/>
      <c r="V208" s="307"/>
    </row>
    <row r="212" spans="2:9" ht="32" customHeight="1" x14ac:dyDescent="0.35">
      <c r="B212" s="291" t="s">
        <v>539</v>
      </c>
      <c r="C212" s="291"/>
      <c r="D212" s="291"/>
      <c r="E212" s="291"/>
      <c r="F212" s="291"/>
      <c r="G212" s="291"/>
      <c r="H212" s="291"/>
      <c r="I212" s="291"/>
    </row>
  </sheetData>
  <mergeCells count="55">
    <mergeCell ref="B212:I212"/>
    <mergeCell ref="S204:V204"/>
    <mergeCell ref="S205:V205"/>
    <mergeCell ref="S206:V206"/>
    <mergeCell ref="S207:V207"/>
    <mergeCell ref="S208:V208"/>
    <mergeCell ref="S199:V199"/>
    <mergeCell ref="S200:V200"/>
    <mergeCell ref="S201:V201"/>
    <mergeCell ref="S202:V202"/>
    <mergeCell ref="S203:V203"/>
    <mergeCell ref="S194:V194"/>
    <mergeCell ref="S195:V195"/>
    <mergeCell ref="S196:V196"/>
    <mergeCell ref="S197:V197"/>
    <mergeCell ref="S198:V198"/>
    <mergeCell ref="S189:V189"/>
    <mergeCell ref="S190:V190"/>
    <mergeCell ref="S191:V191"/>
    <mergeCell ref="S192:V192"/>
    <mergeCell ref="S193:V193"/>
    <mergeCell ref="P184:Q184"/>
    <mergeCell ref="R184:T184"/>
    <mergeCell ref="P185:Q185"/>
    <mergeCell ref="R185:T185"/>
    <mergeCell ref="S188:V188"/>
    <mergeCell ref="C133:D133"/>
    <mergeCell ref="G133:H133"/>
    <mergeCell ref="B142:F142"/>
    <mergeCell ref="P142:W142"/>
    <mergeCell ref="B183:F183"/>
    <mergeCell ref="P183:U183"/>
    <mergeCell ref="C130:D130"/>
    <mergeCell ref="G130:H130"/>
    <mergeCell ref="C131:D131"/>
    <mergeCell ref="G131:H131"/>
    <mergeCell ref="C132:D132"/>
    <mergeCell ref="G132:H132"/>
    <mergeCell ref="C127:D127"/>
    <mergeCell ref="G127:H127"/>
    <mergeCell ref="C128:D128"/>
    <mergeCell ref="G128:H128"/>
    <mergeCell ref="C129:D129"/>
    <mergeCell ref="G129:H129"/>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28:H133">
    <cfRule type="expression" dxfId="80" priority="4">
      <formula>$G128&gt;=0.8</formula>
    </cfRule>
    <cfRule type="expression" dxfId="79" priority="5">
      <formula>AND($G128&gt;=0.5,$G128&lt;0.8)</formula>
    </cfRule>
    <cfRule type="expression" dxfId="78" priority="6">
      <formula>$G128&lt;0.5</formula>
    </cfRule>
  </conditionalFormatting>
  <conditionalFormatting sqref="K128:K133">
    <cfRule type="cellIs" dxfId="77" priority="7" operator="greaterThan">
      <formula>0</formula>
    </cfRule>
  </conditionalFormatting>
  <conditionalFormatting sqref="L128:L133">
    <cfRule type="cellIs" dxfId="76" priority="8" operator="greaterThan">
      <formula>0</formula>
    </cfRule>
  </conditionalFormatting>
  <conditionalFormatting sqref="M128:M133">
    <cfRule type="cellIs" dxfId="75" priority="9" operator="greaterThan">
      <formula>0</formula>
    </cfRule>
  </conditionalFormatting>
  <conditionalFormatting sqref="N128:N133">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47" xr:uid="{00000000-0002-0000-0100-000000000000}">
      <formula1>0</formula1>
      <formula2>C16</formula2>
    </dataValidation>
    <dataValidation type="whole" allowBlank="1" showErrorMessage="1" errorTitle="Invalid count" error="Value must be between 0 and the current implemented total." sqref="S147" xr:uid="{00000000-0002-0000-0100-000001000000}">
      <formula1>0</formula1>
      <formula2>C90</formula2>
    </dataValidation>
    <dataValidation type="whole" allowBlank="1" showErrorMessage="1" errorTitle="Invalid count" error="Value must be between 0 and the current implemented total." sqref="U147" xr:uid="{00000000-0002-0000-0100-000002000000}">
      <formula1>0</formula1>
      <formula2>C91</formula2>
    </dataValidation>
    <dataValidation type="whole" allowBlank="1" showErrorMessage="1" errorTitle="Invalid count" error="Value must be between 0 and the current implemented total." sqref="W147" xr:uid="{00000000-0002-0000-0100-000003000000}">
      <formula1>0</formula1>
      <formula2>C92</formula2>
    </dataValidation>
    <dataValidation type="whole" allowBlank="1" showErrorMessage="1" errorTitle="Invalid overall count" error="Overall count must be between 0 and the current implemented total." sqref="Q148" xr:uid="{00000000-0002-0000-0100-000004000000}">
      <formula1>0</formula1>
      <formula2>C16</formula2>
    </dataValidation>
    <dataValidation type="whole" allowBlank="1" showErrorMessage="1" errorTitle="Invalid count" error="Value must be between 0 and the current implemented total." sqref="S148" xr:uid="{00000000-0002-0000-0100-000005000000}">
      <formula1>0</formula1>
      <formula2>C90</formula2>
    </dataValidation>
    <dataValidation type="whole" allowBlank="1" showErrorMessage="1" errorTitle="Invalid count" error="Value must be between 0 and the current implemented total." sqref="U148" xr:uid="{00000000-0002-0000-0100-000006000000}">
      <formula1>0</formula1>
      <formula2>C91</formula2>
    </dataValidation>
    <dataValidation type="whole" allowBlank="1" showErrorMessage="1" errorTitle="Invalid count" error="Value must be between 0 and the current implemented total." sqref="W148" xr:uid="{00000000-0002-0000-0100-000007000000}">
      <formula1>0</formula1>
      <formula2>C92</formula2>
    </dataValidation>
    <dataValidation type="whole" allowBlank="1" showErrorMessage="1" errorTitle="Invalid overall count" error="Overall count must be between 0 and the current implemented total." sqref="Q149" xr:uid="{00000000-0002-0000-0100-000008000000}">
      <formula1>0</formula1>
      <formula2>C16</formula2>
    </dataValidation>
    <dataValidation type="whole" allowBlank="1" showErrorMessage="1" errorTitle="Invalid count" error="Value must be between 0 and the current implemented total." sqref="S149" xr:uid="{00000000-0002-0000-0100-000009000000}">
      <formula1>0</formula1>
      <formula2>C90</formula2>
    </dataValidation>
    <dataValidation type="whole" allowBlank="1" showErrorMessage="1" errorTitle="Invalid count" error="Value must be between 0 and the current implemented total." sqref="U149" xr:uid="{00000000-0002-0000-0100-00000A000000}">
      <formula1>0</formula1>
      <formula2>C91</formula2>
    </dataValidation>
    <dataValidation type="whole" allowBlank="1" showErrorMessage="1" errorTitle="Invalid count" error="Value must be between 0 and the current implemented total." sqref="W149" xr:uid="{00000000-0002-0000-0100-00000B000000}">
      <formula1>0</formula1>
      <formula2>C92</formula2>
    </dataValidation>
    <dataValidation type="whole" allowBlank="1" showErrorMessage="1" errorTitle="Invalid overall count" error="Overall count must be between 0 and the current implemented total." sqref="Q150" xr:uid="{00000000-0002-0000-0100-00000C000000}">
      <formula1>0</formula1>
      <formula2>C16</formula2>
    </dataValidation>
    <dataValidation type="whole" allowBlank="1" showErrorMessage="1" errorTitle="Invalid count" error="Value must be between 0 and the current implemented total." sqref="S150" xr:uid="{00000000-0002-0000-0100-00000D000000}">
      <formula1>0</formula1>
      <formula2>C90</formula2>
    </dataValidation>
    <dataValidation type="whole" allowBlank="1" showErrorMessage="1" errorTitle="Invalid count" error="Value must be between 0 and the current implemented total." sqref="U150" xr:uid="{00000000-0002-0000-0100-00000E000000}">
      <formula1>0</formula1>
      <formula2>C91</formula2>
    </dataValidation>
    <dataValidation type="whole" allowBlank="1" showErrorMessage="1" errorTitle="Invalid count" error="Value must be between 0 and the current implemented total." sqref="W150" xr:uid="{00000000-0002-0000-0100-00000F000000}">
      <formula1>0</formula1>
      <formula2>C92</formula2>
    </dataValidation>
    <dataValidation type="whole" allowBlank="1" showErrorMessage="1" errorTitle="Invalid overall count" error="Overall count must be between 0 and the current implemented total." sqref="Q151" xr:uid="{00000000-0002-0000-0100-000010000000}">
      <formula1>0</formula1>
      <formula2>C16</formula2>
    </dataValidation>
    <dataValidation type="whole" allowBlank="1" showErrorMessage="1" errorTitle="Invalid count" error="Value must be between 0 and the current implemented total." sqref="S151" xr:uid="{00000000-0002-0000-0100-000011000000}">
      <formula1>0</formula1>
      <formula2>C90</formula2>
    </dataValidation>
    <dataValidation type="whole" allowBlank="1" showErrorMessage="1" errorTitle="Invalid count" error="Value must be between 0 and the current implemented total." sqref="U151" xr:uid="{00000000-0002-0000-0100-000012000000}">
      <formula1>0</formula1>
      <formula2>C91</formula2>
    </dataValidation>
    <dataValidation type="whole" allowBlank="1" showErrorMessage="1" errorTitle="Invalid count" error="Value must be between 0 and the current implemented total." sqref="W151" xr:uid="{00000000-0002-0000-0100-000013000000}">
      <formula1>0</formula1>
      <formula2>C92</formula2>
    </dataValidation>
    <dataValidation type="whole" allowBlank="1" showErrorMessage="1" errorTitle="Invalid overall count" error="Overall count must be between 0 and the current implemented total." sqref="Q152" xr:uid="{00000000-0002-0000-0100-000014000000}">
      <formula1>0</formula1>
      <formula2>C16</formula2>
    </dataValidation>
    <dataValidation type="whole" allowBlank="1" showErrorMessage="1" errorTitle="Invalid count" error="Value must be between 0 and the current implemented total." sqref="S152" xr:uid="{00000000-0002-0000-0100-000015000000}">
      <formula1>0</formula1>
      <formula2>C90</formula2>
    </dataValidation>
    <dataValidation type="whole" allowBlank="1" showErrorMessage="1" errorTitle="Invalid count" error="Value must be between 0 and the current implemented total." sqref="U152" xr:uid="{00000000-0002-0000-0100-000016000000}">
      <formula1>0</formula1>
      <formula2>C91</formula2>
    </dataValidation>
    <dataValidation type="whole" allowBlank="1" showErrorMessage="1" errorTitle="Invalid count" error="Value must be between 0 and the current implemented total." sqref="W152" xr:uid="{00000000-0002-0000-0100-000017000000}">
      <formula1>0</formula1>
      <formula2>C92</formula2>
    </dataValidation>
    <dataValidation type="whole" allowBlank="1" showErrorMessage="1" errorTitle="Invalid overall count" error="Overall count must be between 0 and the current implemented total." sqref="Q153" xr:uid="{00000000-0002-0000-0100-000018000000}">
      <formula1>0</formula1>
      <formula2>C16</formula2>
    </dataValidation>
    <dataValidation type="whole" allowBlank="1" showErrorMessage="1" errorTitle="Invalid count" error="Value must be between 0 and the current implemented total." sqref="S153" xr:uid="{00000000-0002-0000-0100-000019000000}">
      <formula1>0</formula1>
      <formula2>C90</formula2>
    </dataValidation>
    <dataValidation type="whole" allowBlank="1" showErrorMessage="1" errorTitle="Invalid count" error="Value must be between 0 and the current implemented total." sqref="U153" xr:uid="{00000000-0002-0000-0100-00001A000000}">
      <formula1>0</formula1>
      <formula2>C91</formula2>
    </dataValidation>
    <dataValidation type="whole" allowBlank="1" showErrorMessage="1" errorTitle="Invalid count" error="Value must be between 0 and the current implemented total." sqref="W153" xr:uid="{00000000-0002-0000-0100-00001B000000}">
      <formula1>0</formula1>
      <formula2>C92</formula2>
    </dataValidation>
    <dataValidation type="whole" allowBlank="1" showErrorMessage="1" errorTitle="Invalid overall count" error="Overall count must be between 0 and the current implemented total." sqref="Q154" xr:uid="{00000000-0002-0000-0100-00001C000000}">
      <formula1>0</formula1>
      <formula2>C16</formula2>
    </dataValidation>
    <dataValidation type="whole" allowBlank="1" showErrorMessage="1" errorTitle="Invalid count" error="Value must be between 0 and the current implemented total." sqref="S154" xr:uid="{00000000-0002-0000-0100-00001D000000}">
      <formula1>0</formula1>
      <formula2>C90</formula2>
    </dataValidation>
    <dataValidation type="whole" allowBlank="1" showErrorMessage="1" errorTitle="Invalid count" error="Value must be between 0 and the current implemented total." sqref="U154" xr:uid="{00000000-0002-0000-0100-00001E000000}">
      <formula1>0</formula1>
      <formula2>C91</formula2>
    </dataValidation>
    <dataValidation type="whole" allowBlank="1" showErrorMessage="1" errorTitle="Invalid count" error="Value must be between 0 and the current implemented total." sqref="W154" xr:uid="{00000000-0002-0000-0100-00001F000000}">
      <formula1>0</formula1>
      <formula2>C92</formula2>
    </dataValidation>
    <dataValidation type="whole" allowBlank="1" showErrorMessage="1" errorTitle="Invalid overall count" error="Overall count must be between 0 and the current implemented total." sqref="Q155" xr:uid="{00000000-0002-0000-0100-000020000000}">
      <formula1>0</formula1>
      <formula2>C16</formula2>
    </dataValidation>
    <dataValidation type="whole" allowBlank="1" showErrorMessage="1" errorTitle="Invalid count" error="Value must be between 0 and the current implemented total." sqref="S155" xr:uid="{00000000-0002-0000-0100-000021000000}">
      <formula1>0</formula1>
      <formula2>C90</formula2>
    </dataValidation>
    <dataValidation type="whole" allowBlank="1" showErrorMessage="1" errorTitle="Invalid count" error="Value must be between 0 and the current implemented total." sqref="U155" xr:uid="{00000000-0002-0000-0100-000022000000}">
      <formula1>0</formula1>
      <formula2>C91</formula2>
    </dataValidation>
    <dataValidation type="whole" allowBlank="1" showErrorMessage="1" errorTitle="Invalid count" error="Value must be between 0 and the current implemented total." sqref="W155" xr:uid="{00000000-0002-0000-0100-000023000000}">
      <formula1>0</formula1>
      <formula2>C92</formula2>
    </dataValidation>
    <dataValidation type="whole" allowBlank="1" showErrorMessage="1" errorTitle="Invalid overall count" error="Overall count must be between 0 and the current implemented total." sqref="Q156" xr:uid="{00000000-0002-0000-0100-000024000000}">
      <formula1>0</formula1>
      <formula2>C16</formula2>
    </dataValidation>
    <dataValidation type="whole" allowBlank="1" showErrorMessage="1" errorTitle="Invalid count" error="Value must be between 0 and the current implemented total." sqref="S156" xr:uid="{00000000-0002-0000-0100-000025000000}">
      <formula1>0</formula1>
      <formula2>C90</formula2>
    </dataValidation>
    <dataValidation type="whole" allowBlank="1" showErrorMessage="1" errorTitle="Invalid count" error="Value must be between 0 and the current implemented total." sqref="U156" xr:uid="{00000000-0002-0000-0100-000026000000}">
      <formula1>0</formula1>
      <formula2>C91</formula2>
    </dataValidation>
    <dataValidation type="whole" allowBlank="1" showErrorMessage="1" errorTitle="Invalid count" error="Value must be between 0 and the current implemented total." sqref="W156" xr:uid="{00000000-0002-0000-0100-000027000000}">
      <formula1>0</formula1>
      <formula2>C92</formula2>
    </dataValidation>
    <dataValidation type="whole" allowBlank="1" showErrorMessage="1" errorTitle="Invalid overall count" error="Overall count must be between 0 and the current implemented total." sqref="Q157" xr:uid="{00000000-0002-0000-0100-000028000000}">
      <formula1>0</formula1>
      <formula2>C16</formula2>
    </dataValidation>
    <dataValidation type="whole" allowBlank="1" showErrorMessage="1" errorTitle="Invalid count" error="Value must be between 0 and the current implemented total." sqref="S157" xr:uid="{00000000-0002-0000-0100-000029000000}">
      <formula1>0</formula1>
      <formula2>C90</formula2>
    </dataValidation>
    <dataValidation type="whole" allowBlank="1" showErrorMessage="1" errorTitle="Invalid count" error="Value must be between 0 and the current implemented total." sqref="U157" xr:uid="{00000000-0002-0000-0100-00002A000000}">
      <formula1>0</formula1>
      <formula2>C91</formula2>
    </dataValidation>
    <dataValidation type="whole" allowBlank="1" showErrorMessage="1" errorTitle="Invalid count" error="Value must be between 0 and the current implemented total." sqref="W157" xr:uid="{00000000-0002-0000-0100-00002B000000}">
      <formula1>0</formula1>
      <formula2>C92</formula2>
    </dataValidation>
    <dataValidation type="whole" allowBlank="1" showErrorMessage="1" errorTitle="Invalid overall count" error="Overall count must be between 0 and the current implemented total." sqref="Q158" xr:uid="{00000000-0002-0000-0100-00002C000000}">
      <formula1>0</formula1>
      <formula2>C16</formula2>
    </dataValidation>
    <dataValidation type="whole" allowBlank="1" showErrorMessage="1" errorTitle="Invalid count" error="Value must be between 0 and the current implemented total." sqref="S158" xr:uid="{00000000-0002-0000-0100-00002D000000}">
      <formula1>0</formula1>
      <formula2>C90</formula2>
    </dataValidation>
    <dataValidation type="whole" allowBlank="1" showErrorMessage="1" errorTitle="Invalid count" error="Value must be between 0 and the current implemented total." sqref="U158" xr:uid="{00000000-0002-0000-0100-00002E000000}">
      <formula1>0</formula1>
      <formula2>C91</formula2>
    </dataValidation>
    <dataValidation type="whole" allowBlank="1" showErrorMessage="1" errorTitle="Invalid count" error="Value must be between 0 and the current implemented total." sqref="W158" xr:uid="{00000000-0002-0000-0100-00002F000000}">
      <formula1>0</formula1>
      <formula2>C92</formula2>
    </dataValidation>
    <dataValidation type="whole" allowBlank="1" showErrorMessage="1" errorTitle="Invalid overall count" error="Overall count must be between 0 and the current implemented total." sqref="Q159" xr:uid="{00000000-0002-0000-0100-000030000000}">
      <formula1>0</formula1>
      <formula2>C16</formula2>
    </dataValidation>
    <dataValidation type="whole" allowBlank="1" showErrorMessage="1" errorTitle="Invalid count" error="Value must be between 0 and the current implemented total." sqref="S159" xr:uid="{00000000-0002-0000-0100-000031000000}">
      <formula1>0</formula1>
      <formula2>C90</formula2>
    </dataValidation>
    <dataValidation type="whole" allowBlank="1" showErrorMessage="1" errorTitle="Invalid count" error="Value must be between 0 and the current implemented total." sqref="U159" xr:uid="{00000000-0002-0000-0100-000032000000}">
      <formula1>0</formula1>
      <formula2>C91</formula2>
    </dataValidation>
    <dataValidation type="whole" allowBlank="1" showErrorMessage="1" errorTitle="Invalid count" error="Value must be between 0 and the current implemented total." sqref="W159" xr:uid="{00000000-0002-0000-0100-000033000000}">
      <formula1>0</formula1>
      <formula2>C92</formula2>
    </dataValidation>
    <dataValidation type="whole" allowBlank="1" showErrorMessage="1" errorTitle="Invalid overall count" error="Overall count must be between 0 and the current implemented total." sqref="Q160" xr:uid="{00000000-0002-0000-0100-000034000000}">
      <formula1>0</formula1>
      <formula2>C16</formula2>
    </dataValidation>
    <dataValidation type="whole" allowBlank="1" showErrorMessage="1" errorTitle="Invalid count" error="Value must be between 0 and the current implemented total." sqref="S160" xr:uid="{00000000-0002-0000-0100-000035000000}">
      <formula1>0</formula1>
      <formula2>C90</formula2>
    </dataValidation>
    <dataValidation type="whole" allowBlank="1" showErrorMessage="1" errorTitle="Invalid count" error="Value must be between 0 and the current implemented total." sqref="U160" xr:uid="{00000000-0002-0000-0100-000036000000}">
      <formula1>0</formula1>
      <formula2>C91</formula2>
    </dataValidation>
    <dataValidation type="whole" allowBlank="1" showErrorMessage="1" errorTitle="Invalid count" error="Value must be between 0 and the current implemented total." sqref="W160" xr:uid="{00000000-0002-0000-0100-000037000000}">
      <formula1>0</formula1>
      <formula2>C92</formula2>
    </dataValidation>
    <dataValidation type="whole" allowBlank="1" showErrorMessage="1" errorTitle="Invalid overall count" error="Overall count must be between 0 and the current implemented total." sqref="Q161" xr:uid="{00000000-0002-0000-0100-000038000000}">
      <formula1>0</formula1>
      <formula2>C16</formula2>
    </dataValidation>
    <dataValidation type="whole" allowBlank="1" showErrorMessage="1" errorTitle="Invalid count" error="Value must be between 0 and the current implemented total." sqref="S161" xr:uid="{00000000-0002-0000-0100-000039000000}">
      <formula1>0</formula1>
      <formula2>C90</formula2>
    </dataValidation>
    <dataValidation type="whole" allowBlank="1" showErrorMessage="1" errorTitle="Invalid count" error="Value must be between 0 and the current implemented total." sqref="U161" xr:uid="{00000000-0002-0000-0100-00003A000000}">
      <formula1>0</formula1>
      <formula2>C91</formula2>
    </dataValidation>
    <dataValidation type="whole" allowBlank="1" showErrorMessage="1" errorTitle="Invalid count" error="Value must be between 0 and the current implemented total." sqref="W161" xr:uid="{00000000-0002-0000-0100-00003B000000}">
      <formula1>0</formula1>
      <formula2>C92</formula2>
    </dataValidation>
    <dataValidation type="whole" allowBlank="1" showErrorMessage="1" errorTitle="Invalid overall count" error="Overall count must be between 0 and the current implemented total." sqref="Q162" xr:uid="{00000000-0002-0000-0100-00003C000000}">
      <formula1>0</formula1>
      <formula2>C16</formula2>
    </dataValidation>
    <dataValidation type="whole" allowBlank="1" showErrorMessage="1" errorTitle="Invalid count" error="Value must be between 0 and the current implemented total." sqref="S162" xr:uid="{00000000-0002-0000-0100-00003D000000}">
      <formula1>0</formula1>
      <formula2>C90</formula2>
    </dataValidation>
    <dataValidation type="whole" allowBlank="1" showErrorMessage="1" errorTitle="Invalid count" error="Value must be between 0 and the current implemented total." sqref="U162" xr:uid="{00000000-0002-0000-0100-00003E000000}">
      <formula1>0</formula1>
      <formula2>C91</formula2>
    </dataValidation>
    <dataValidation type="whole" allowBlank="1" showErrorMessage="1" errorTitle="Invalid count" error="Value must be between 0 and the current implemented total." sqref="W162" xr:uid="{00000000-0002-0000-0100-00003F000000}">
      <formula1>0</formula1>
      <formula2>C92</formula2>
    </dataValidation>
    <dataValidation type="whole" allowBlank="1" showErrorMessage="1" errorTitle="Invalid overall count" error="Overall count must be between 0 and the current implemented total." sqref="Q163" xr:uid="{00000000-0002-0000-0100-000040000000}">
      <formula1>0</formula1>
      <formula2>C16</formula2>
    </dataValidation>
    <dataValidation type="whole" allowBlank="1" showErrorMessage="1" errorTitle="Invalid count" error="Value must be between 0 and the current implemented total." sqref="S163" xr:uid="{00000000-0002-0000-0100-000041000000}">
      <formula1>0</formula1>
      <formula2>C90</formula2>
    </dataValidation>
    <dataValidation type="whole" allowBlank="1" showErrorMessage="1" errorTitle="Invalid count" error="Value must be between 0 and the current implemented total." sqref="U163" xr:uid="{00000000-0002-0000-0100-000042000000}">
      <formula1>0</formula1>
      <formula2>C91</formula2>
    </dataValidation>
    <dataValidation type="whole" allowBlank="1" showErrorMessage="1" errorTitle="Invalid count" error="Value must be between 0 and the current implemented total." sqref="W163" xr:uid="{00000000-0002-0000-0100-000043000000}">
      <formula1>0</formula1>
      <formula2>C92</formula2>
    </dataValidation>
    <dataValidation type="whole" allowBlank="1" showErrorMessage="1" errorTitle="Invalid overall count" error="Overall count must be between 0 and the current implemented total." sqref="Q164" xr:uid="{00000000-0002-0000-0100-000044000000}">
      <formula1>0</formula1>
      <formula2>C16</formula2>
    </dataValidation>
    <dataValidation type="whole" allowBlank="1" showErrorMessage="1" errorTitle="Invalid count" error="Value must be between 0 and the current implemented total." sqref="S164" xr:uid="{00000000-0002-0000-0100-000045000000}">
      <formula1>0</formula1>
      <formula2>C90</formula2>
    </dataValidation>
    <dataValidation type="whole" allowBlank="1" showErrorMessage="1" errorTitle="Invalid count" error="Value must be between 0 and the current implemented total." sqref="U164" xr:uid="{00000000-0002-0000-0100-000046000000}">
      <formula1>0</formula1>
      <formula2>C91</formula2>
    </dataValidation>
    <dataValidation type="whole" allowBlank="1" showErrorMessage="1" errorTitle="Invalid count" error="Value must be between 0 and the current implemented total." sqref="W164" xr:uid="{00000000-0002-0000-0100-000047000000}">
      <formula1>0</formula1>
      <formula2>C92</formula2>
    </dataValidation>
    <dataValidation type="whole" allowBlank="1" showErrorMessage="1" errorTitle="Invalid overall count" error="Overall count must be between 0 and the current implemented total." sqref="Q165" xr:uid="{00000000-0002-0000-0100-000048000000}">
      <formula1>0</formula1>
      <formula2>C16</formula2>
    </dataValidation>
    <dataValidation type="whole" allowBlank="1" showErrorMessage="1" errorTitle="Invalid count" error="Value must be between 0 and the current implemented total." sqref="S165" xr:uid="{00000000-0002-0000-0100-000049000000}">
      <formula1>0</formula1>
      <formula2>C90</formula2>
    </dataValidation>
    <dataValidation type="whole" allowBlank="1" showErrorMessage="1" errorTitle="Invalid count" error="Value must be between 0 and the current implemented total." sqref="U165" xr:uid="{00000000-0002-0000-0100-00004A000000}">
      <formula1>0</formula1>
      <formula2>C91</formula2>
    </dataValidation>
    <dataValidation type="whole" allowBlank="1" showErrorMessage="1" errorTitle="Invalid count" error="Value must be between 0 and the current implemented total." sqref="W165" xr:uid="{00000000-0002-0000-0100-00004B000000}">
      <formula1>0</formula1>
      <formula2>C92</formula2>
    </dataValidation>
    <dataValidation type="whole" allowBlank="1" showErrorMessage="1" errorTitle="Invalid overall count" error="Overall count must be between 0 and the current implemented total." sqref="Q166" xr:uid="{00000000-0002-0000-0100-00004C000000}">
      <formula1>0</formula1>
      <formula2>C16</formula2>
    </dataValidation>
    <dataValidation type="whole" allowBlank="1" showErrorMessage="1" errorTitle="Invalid count" error="Value must be between 0 and the current implemented total." sqref="S166" xr:uid="{00000000-0002-0000-0100-00004D000000}">
      <formula1>0</formula1>
      <formula2>C90</formula2>
    </dataValidation>
    <dataValidation type="whole" allowBlank="1" showErrorMessage="1" errorTitle="Invalid count" error="Value must be between 0 and the current implemented total." sqref="U166" xr:uid="{00000000-0002-0000-0100-00004E000000}">
      <formula1>0</formula1>
      <formula2>C91</formula2>
    </dataValidation>
    <dataValidation type="whole" allowBlank="1" showErrorMessage="1" errorTitle="Invalid count" error="Value must be between 0 and the current implemented total." sqref="W166" xr:uid="{00000000-0002-0000-0100-00004F000000}">
      <formula1>0</formula1>
      <formula2>C92</formula2>
    </dataValidation>
    <dataValidation type="whole" allowBlank="1" showErrorMessage="1" errorTitle="Invalid overall count" error="Overall count must be between 0 and the current implemented total." sqref="Q167" xr:uid="{00000000-0002-0000-0100-000050000000}">
      <formula1>0</formula1>
      <formula2>C16</formula2>
    </dataValidation>
    <dataValidation type="whole" allowBlank="1" showErrorMessage="1" errorTitle="Invalid count" error="Value must be between 0 and the current implemented total." sqref="S167" xr:uid="{00000000-0002-0000-0100-000051000000}">
      <formula1>0</formula1>
      <formula2>C90</formula2>
    </dataValidation>
    <dataValidation type="whole" allowBlank="1" showErrorMessage="1" errorTitle="Invalid count" error="Value must be between 0 and the current implemented total." sqref="U167" xr:uid="{00000000-0002-0000-0100-000052000000}">
      <formula1>0</formula1>
      <formula2>C91</formula2>
    </dataValidation>
    <dataValidation type="whole" allowBlank="1" showErrorMessage="1" errorTitle="Invalid count" error="Value must be between 0 and the current implemented total." sqref="W167" xr:uid="{00000000-0002-0000-0100-000053000000}">
      <formula1>0</formula1>
      <formula2>C92</formula2>
    </dataValidation>
    <dataValidation type="whole" allowBlank="1" showErrorMessage="1" errorTitle="Invalid overall count" error="Overall count must be between 0 and the current implemented total." sqref="Q168" xr:uid="{00000000-0002-0000-0100-000054000000}">
      <formula1>0</formula1>
      <formula2>C16</formula2>
    </dataValidation>
    <dataValidation type="whole" allowBlank="1" showErrorMessage="1" errorTitle="Invalid count" error="Value must be between 0 and the current implemented total." sqref="S168" xr:uid="{00000000-0002-0000-0100-000055000000}">
      <formula1>0</formula1>
      <formula2>C90</formula2>
    </dataValidation>
    <dataValidation type="whole" allowBlank="1" showErrorMessage="1" errorTitle="Invalid count" error="Value must be between 0 and the current implemented total." sqref="U168" xr:uid="{00000000-0002-0000-0100-000056000000}">
      <formula1>0</formula1>
      <formula2>C91</formula2>
    </dataValidation>
    <dataValidation type="whole" allowBlank="1" showErrorMessage="1" errorTitle="Invalid count" error="Value must be between 0 and the current implemented total." sqref="W168" xr:uid="{00000000-0002-0000-0100-000057000000}">
      <formula1>0</formula1>
      <formula2>C92</formula2>
    </dataValidation>
    <dataValidation type="whole" allowBlank="1" showErrorMessage="1" errorTitle="Invalid overall count" error="Overall count must be between 0 and the current implemented total." sqref="Q169" xr:uid="{00000000-0002-0000-0100-000058000000}">
      <formula1>0</formula1>
      <formula2>C16</formula2>
    </dataValidation>
    <dataValidation type="whole" allowBlank="1" showErrorMessage="1" errorTitle="Invalid count" error="Value must be between 0 and the current implemented total." sqref="S169" xr:uid="{00000000-0002-0000-0100-000059000000}">
      <formula1>0</formula1>
      <formula2>C90</formula2>
    </dataValidation>
    <dataValidation type="whole" allowBlank="1" showErrorMessage="1" errorTitle="Invalid count" error="Value must be between 0 and the current implemented total." sqref="U169" xr:uid="{00000000-0002-0000-0100-00005A000000}">
      <formula1>0</formula1>
      <formula2>C91</formula2>
    </dataValidation>
    <dataValidation type="whole" allowBlank="1" showErrorMessage="1" errorTitle="Invalid count" error="Value must be between 0 and the current implemented total." sqref="W169" xr:uid="{00000000-0002-0000-0100-00005B000000}">
      <formula1>0</formula1>
      <formula2>C92</formula2>
    </dataValidation>
    <dataValidation type="whole" allowBlank="1" showErrorMessage="1" errorTitle="Invalid overall count" error="Overall count must be between 0 and the current implemented total." sqref="Q170" xr:uid="{00000000-0002-0000-0100-00005C000000}">
      <formula1>0</formula1>
      <formula2>C16</formula2>
    </dataValidation>
    <dataValidation type="whole" allowBlank="1" showErrorMessage="1" errorTitle="Invalid count" error="Value must be between 0 and the current implemented total." sqref="S170" xr:uid="{00000000-0002-0000-0100-00005D000000}">
      <formula1>0</formula1>
      <formula2>C90</formula2>
    </dataValidation>
    <dataValidation type="whole" allowBlank="1" showErrorMessage="1" errorTitle="Invalid count" error="Value must be between 0 and the current implemented total." sqref="U170" xr:uid="{00000000-0002-0000-0100-00005E000000}">
      <formula1>0</formula1>
      <formula2>C91</formula2>
    </dataValidation>
    <dataValidation type="whole" allowBlank="1" showErrorMessage="1" errorTitle="Invalid count" error="Value must be between 0 and the current implemented total." sqref="W170" xr:uid="{00000000-0002-0000-0100-00005F000000}">
      <formula1>0</formula1>
      <formula2>C92</formula2>
    </dataValidation>
    <dataValidation type="whole" allowBlank="1" showErrorMessage="1" errorTitle="Invalid overall count" error="Overall count must be between 0 and the current implemented total." sqref="Q171" xr:uid="{00000000-0002-0000-0100-000060000000}">
      <formula1>0</formula1>
      <formula2>C16</formula2>
    </dataValidation>
    <dataValidation type="whole" allowBlank="1" showErrorMessage="1" errorTitle="Invalid count" error="Value must be between 0 and the current implemented total." sqref="S171" xr:uid="{00000000-0002-0000-0100-000061000000}">
      <formula1>0</formula1>
      <formula2>C90</formula2>
    </dataValidation>
    <dataValidation type="whole" allowBlank="1" showErrorMessage="1" errorTitle="Invalid count" error="Value must be between 0 and the current implemented total." sqref="U171" xr:uid="{00000000-0002-0000-0100-000062000000}">
      <formula1>0</formula1>
      <formula2>C91</formula2>
    </dataValidation>
    <dataValidation type="whole" allowBlank="1" showErrorMessage="1" errorTitle="Invalid count" error="Value must be between 0 and the current implemented total." sqref="W171" xr:uid="{00000000-0002-0000-0100-000063000000}">
      <formula1>0</formula1>
      <formula2>C92</formula2>
    </dataValidation>
    <dataValidation type="whole" allowBlank="1" showErrorMessage="1" errorTitle="Invalid overall count" error="Overall count must be between 0 and the current implemented total." sqref="Q172" xr:uid="{00000000-0002-0000-0100-000064000000}">
      <formula1>0</formula1>
      <formula2>C16</formula2>
    </dataValidation>
    <dataValidation type="whole" allowBlank="1" showErrorMessage="1" errorTitle="Invalid count" error="Value must be between 0 and the current implemented total." sqref="S172" xr:uid="{00000000-0002-0000-0100-000065000000}">
      <formula1>0</formula1>
      <formula2>C90</formula2>
    </dataValidation>
    <dataValidation type="whole" allowBlank="1" showErrorMessage="1" errorTitle="Invalid count" error="Value must be between 0 and the current implemented total." sqref="U172" xr:uid="{00000000-0002-0000-0100-000066000000}">
      <formula1>0</formula1>
      <formula2>C91</formula2>
    </dataValidation>
    <dataValidation type="whole" allowBlank="1" showErrorMessage="1" errorTitle="Invalid count" error="Value must be between 0 and the current implemented total." sqref="W172" xr:uid="{00000000-0002-0000-0100-000067000000}">
      <formula1>0</formula1>
      <formula2>C92</formula2>
    </dataValidation>
    <dataValidation type="whole" allowBlank="1" showErrorMessage="1" errorTitle="Invalid overall count" error="Overall count must be between 0 and the current implemented total." sqref="Q173" xr:uid="{00000000-0002-0000-0100-000068000000}">
      <formula1>0</formula1>
      <formula2>C16</formula2>
    </dataValidation>
    <dataValidation type="whole" allowBlank="1" showErrorMessage="1" errorTitle="Invalid count" error="Value must be between 0 and the current implemented total." sqref="S173" xr:uid="{00000000-0002-0000-0100-000069000000}">
      <formula1>0</formula1>
      <formula2>C90</formula2>
    </dataValidation>
    <dataValidation type="whole" allowBlank="1" showErrorMessage="1" errorTitle="Invalid count" error="Value must be between 0 and the current implemented total." sqref="U173" xr:uid="{00000000-0002-0000-0100-00006A000000}">
      <formula1>0</formula1>
      <formula2>C91</formula2>
    </dataValidation>
    <dataValidation type="whole" allowBlank="1" showErrorMessage="1" errorTitle="Invalid count" error="Value must be between 0 and the current implemented total." sqref="W173" xr:uid="{00000000-0002-0000-0100-00006B000000}">
      <formula1>0</formula1>
      <formula2>C92</formula2>
    </dataValidation>
    <dataValidation type="whole" allowBlank="1" showErrorMessage="1" errorTitle="Invalid overall count" error="Overall count must be between 0 and the current implemented total." sqref="Q174" xr:uid="{00000000-0002-0000-0100-00006C000000}">
      <formula1>0</formula1>
      <formula2>C16</formula2>
    </dataValidation>
    <dataValidation type="whole" allowBlank="1" showErrorMessage="1" errorTitle="Invalid count" error="Value must be between 0 and the current implemented total." sqref="S174" xr:uid="{00000000-0002-0000-0100-00006D000000}">
      <formula1>0</formula1>
      <formula2>C90</formula2>
    </dataValidation>
    <dataValidation type="whole" allowBlank="1" showErrorMessage="1" errorTitle="Invalid count" error="Value must be between 0 and the current implemented total." sqref="U174" xr:uid="{00000000-0002-0000-0100-00006E000000}">
      <formula1>0</formula1>
      <formula2>C91</formula2>
    </dataValidation>
    <dataValidation type="whole" allowBlank="1" showErrorMessage="1" errorTitle="Invalid count" error="Value must be between 0 and the current implemented total." sqref="W174" xr:uid="{00000000-0002-0000-0100-00006F000000}">
      <formula1>0</formula1>
      <formula2>C92</formula2>
    </dataValidation>
    <dataValidation type="whole" allowBlank="1" showErrorMessage="1" errorTitle="Invalid overall count" error="Overall count must be between 0 and the current implemented total." sqref="Q175" xr:uid="{00000000-0002-0000-0100-000070000000}">
      <formula1>0</formula1>
      <formula2>C16</formula2>
    </dataValidation>
    <dataValidation type="whole" allowBlank="1" showErrorMessage="1" errorTitle="Invalid count" error="Value must be between 0 and the current implemented total." sqref="S175" xr:uid="{00000000-0002-0000-0100-000071000000}">
      <formula1>0</formula1>
      <formula2>C90</formula2>
    </dataValidation>
    <dataValidation type="whole" allowBlank="1" showErrorMessage="1" errorTitle="Invalid count" error="Value must be between 0 and the current implemented total." sqref="U175" xr:uid="{00000000-0002-0000-0100-000072000000}">
      <formula1>0</formula1>
      <formula2>C91</formula2>
    </dataValidation>
    <dataValidation type="whole" allowBlank="1" showErrorMessage="1" errorTitle="Invalid count" error="Value must be between 0 and the current implemented total." sqref="W175" xr:uid="{00000000-0002-0000-0100-000073000000}">
      <formula1>0</formula1>
      <formula2>C92</formula2>
    </dataValidation>
    <dataValidation type="whole" allowBlank="1" showErrorMessage="1" errorTitle="Invalid overall count" error="Overall count must be between 0 and the current implemented total." sqref="Q176" xr:uid="{00000000-0002-0000-0100-000074000000}">
      <formula1>0</formula1>
      <formula2>C16</formula2>
    </dataValidation>
    <dataValidation type="whole" allowBlank="1" showErrorMessage="1" errorTitle="Invalid count" error="Value must be between 0 and the current implemented total." sqref="S176" xr:uid="{00000000-0002-0000-0100-000075000000}">
      <formula1>0</formula1>
      <formula2>C90</formula2>
    </dataValidation>
    <dataValidation type="whole" allowBlank="1" showErrorMessage="1" errorTitle="Invalid count" error="Value must be between 0 and the current implemented total." sqref="U176" xr:uid="{00000000-0002-0000-0100-000076000000}">
      <formula1>0</formula1>
      <formula2>C91</formula2>
    </dataValidation>
    <dataValidation type="whole" allowBlank="1" showErrorMessage="1" errorTitle="Invalid count" error="Value must be between 0 and the current implemented total." sqref="W176" xr:uid="{00000000-0002-0000-0100-000077000000}">
      <formula1>0</formula1>
      <formula2>C92</formula2>
    </dataValidation>
    <dataValidation type="whole" allowBlank="1" showErrorMessage="1" errorTitle="Invalid Asset Count" error="Value must be between 0 and the Total Asset Numbers above." sqref="Q189" xr:uid="{00000000-0002-0000-0100-000078000000}">
      <formula1>0</formula1>
      <formula2>$P185</formula2>
    </dataValidation>
    <dataValidation type="whole" allowBlank="1" showErrorMessage="1" errorTitle="Invalid Asset Count" error="Value must be between 0 and the Total Asset Numbers above." sqref="Q190" xr:uid="{00000000-0002-0000-0100-000079000000}">
      <formula1>0</formula1>
      <formula2>$P185</formula2>
    </dataValidation>
    <dataValidation type="whole" allowBlank="1" showErrorMessage="1" errorTitle="Invalid Asset Count" error="Value must be between 0 and the Total Asset Numbers above." sqref="Q191" xr:uid="{00000000-0002-0000-0100-00007A000000}">
      <formula1>0</formula1>
      <formula2>$P185</formula2>
    </dataValidation>
    <dataValidation type="whole" allowBlank="1" showErrorMessage="1" errorTitle="Invalid Asset Count" error="Value must be between 0 and the Total Asset Numbers above." sqref="Q192" xr:uid="{00000000-0002-0000-0100-00007B000000}">
      <formula1>0</formula1>
      <formula2>$P185</formula2>
    </dataValidation>
    <dataValidation type="whole" allowBlank="1" showErrorMessage="1" errorTitle="Invalid Asset Count" error="Value must be between 0 and the Total Asset Numbers above." sqref="Q193" xr:uid="{00000000-0002-0000-0100-00007C000000}">
      <formula1>0</formula1>
      <formula2>$P185</formula2>
    </dataValidation>
    <dataValidation type="whole" allowBlank="1" showErrorMessage="1" errorTitle="Invalid Asset Count" error="Value must be between 0 and the Total Asset Numbers above." sqref="Q194" xr:uid="{00000000-0002-0000-0100-00007D000000}">
      <formula1>0</formula1>
      <formula2>$P185</formula2>
    </dataValidation>
    <dataValidation type="whole" allowBlank="1" showErrorMessage="1" errorTitle="Invalid Asset Count" error="Value must be between 0 and the Total Asset Numbers above." sqref="Q195" xr:uid="{00000000-0002-0000-0100-00007E000000}">
      <formula1>0</formula1>
      <formula2>$P185</formula2>
    </dataValidation>
    <dataValidation type="whole" allowBlank="1" showErrorMessage="1" errorTitle="Invalid Asset Count" error="Value must be between 0 and the Total Asset Numbers above." sqref="Q196" xr:uid="{00000000-0002-0000-0100-00007F000000}">
      <formula1>0</formula1>
      <formula2>$P185</formula2>
    </dataValidation>
    <dataValidation type="whole" allowBlank="1" showErrorMessage="1" errorTitle="Invalid Asset Count" error="Value must be between 0 and the Total Asset Numbers above." sqref="Q197" xr:uid="{00000000-0002-0000-0100-000080000000}">
      <formula1>0</formula1>
      <formula2>$P185</formula2>
    </dataValidation>
    <dataValidation type="whole" allowBlank="1" showErrorMessage="1" errorTitle="Invalid Asset Count" error="Value must be between 0 and the Total Asset Numbers above." sqref="Q198" xr:uid="{00000000-0002-0000-0100-000081000000}">
      <formula1>0</formula1>
      <formula2>$P185</formula2>
    </dataValidation>
    <dataValidation type="whole" allowBlank="1" showErrorMessage="1" errorTitle="Invalid Asset Count" error="Value must be between 0 and the Total Asset Numbers above." sqref="Q199" xr:uid="{00000000-0002-0000-0100-000082000000}">
      <formula1>0</formula1>
      <formula2>$P185</formula2>
    </dataValidation>
    <dataValidation type="whole" allowBlank="1" showErrorMessage="1" errorTitle="Invalid Asset Count" error="Value must be between 0 and the Total Asset Numbers above." sqref="Q200" xr:uid="{00000000-0002-0000-0100-000083000000}">
      <formula1>0</formula1>
      <formula2>$P185</formula2>
    </dataValidation>
    <dataValidation type="whole" allowBlank="1" showErrorMessage="1" errorTitle="Invalid Asset Count" error="Value must be between 0 and the Total Asset Numbers above." sqref="Q201" xr:uid="{00000000-0002-0000-0100-000084000000}">
      <formula1>0</formula1>
      <formula2>$P185</formula2>
    </dataValidation>
    <dataValidation type="whole" allowBlank="1" showErrorMessage="1" errorTitle="Invalid Asset Count" error="Value must be between 0 and the Total Asset Numbers above." sqref="Q202" xr:uid="{00000000-0002-0000-0100-000085000000}">
      <formula1>0</formula1>
      <formula2>$P185</formula2>
    </dataValidation>
    <dataValidation type="whole" allowBlank="1" showErrorMessage="1" errorTitle="Invalid Asset Count" error="Value must be between 0 and the Total Asset Numbers above." sqref="Q203" xr:uid="{00000000-0002-0000-0100-000086000000}">
      <formula1>0</formula1>
      <formula2>$P185</formula2>
    </dataValidation>
    <dataValidation type="whole" allowBlank="1" showErrorMessage="1" errorTitle="Invalid Asset Count" error="Value must be between 0 and the Total Asset Numbers above." sqref="Q204" xr:uid="{00000000-0002-0000-0100-000087000000}">
      <formula1>0</formula1>
      <formula2>$P185</formula2>
    </dataValidation>
    <dataValidation type="whole" allowBlank="1" showErrorMessage="1" errorTitle="Invalid Asset Count" error="Value must be between 0 and the Total Asset Numbers above." sqref="Q205" xr:uid="{00000000-0002-0000-0100-000088000000}">
      <formula1>0</formula1>
      <formula2>$P185</formula2>
    </dataValidation>
    <dataValidation type="whole" allowBlank="1" showErrorMessage="1" errorTitle="Invalid Asset Count" error="Value must be between 0 and the Total Asset Numbers above." sqref="Q206" xr:uid="{00000000-0002-0000-0100-000089000000}">
      <formula1>0</formula1>
      <formula2>$P185</formula2>
    </dataValidation>
    <dataValidation type="whole" allowBlank="1" showErrorMessage="1" errorTitle="Invalid Asset Count" error="Value must be between 0 and the Total Asset Numbers above." sqref="Q207" xr:uid="{00000000-0002-0000-0100-00008A000000}">
      <formula1>0</formula1>
      <formula2>$P185</formula2>
    </dataValidation>
    <dataValidation type="whole" allowBlank="1" showErrorMessage="1" errorTitle="Invalid Asset Count" error="Value must be between 0 and the Total Asset Numbers above." sqref="Q208" xr:uid="{00000000-0002-0000-0100-00008B000000}">
      <formula1>0</formula1>
      <formula2>$P185</formula2>
    </dataValidation>
  </dataValidations>
  <hyperlinks>
    <hyperlink ref="B21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09"/>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105"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16</v>
      </c>
      <c r="D6" s="3" t="s">
        <v>17</v>
      </c>
      <c r="E6" s="4" t="s">
        <v>18</v>
      </c>
      <c r="F6" s="4" t="s">
        <v>19</v>
      </c>
      <c r="G6" s="4" t="s">
        <v>20</v>
      </c>
      <c r="H6" s="4" t="s">
        <v>21</v>
      </c>
      <c r="I6" s="5" t="s">
        <v>21</v>
      </c>
      <c r="J6" s="1" t="s">
        <v>42</v>
      </c>
      <c r="K6" s="1" t="s">
        <v>43</v>
      </c>
      <c r="L6" s="1" t="s">
        <v>44</v>
      </c>
      <c r="M6" s="4" t="str">
        <f t="shared" si="0"/>
        <v>Outstanding</v>
      </c>
      <c r="N6" s="13" t="s">
        <v>21</v>
      </c>
    </row>
    <row r="7" spans="1:14" ht="60" customHeight="1" x14ac:dyDescent="0.35">
      <c r="A7" s="11" t="s">
        <v>45</v>
      </c>
      <c r="B7" s="1" t="s">
        <v>46</v>
      </c>
      <c r="C7" s="2" t="s">
        <v>16</v>
      </c>
      <c r="D7" s="3" t="s">
        <v>17</v>
      </c>
      <c r="E7" s="4" t="s">
        <v>18</v>
      </c>
      <c r="F7" s="4" t="s">
        <v>19</v>
      </c>
      <c r="G7" s="4" t="s">
        <v>20</v>
      </c>
      <c r="H7" s="4" t="s">
        <v>21</v>
      </c>
      <c r="I7" s="5" t="s">
        <v>21</v>
      </c>
      <c r="J7" s="1" t="s">
        <v>47</v>
      </c>
      <c r="K7" s="1" t="s">
        <v>48</v>
      </c>
      <c r="L7" s="1" t="s">
        <v>49</v>
      </c>
      <c r="M7" s="4" t="str">
        <f t="shared" si="0"/>
        <v>Outstanding</v>
      </c>
      <c r="N7" s="13" t="s">
        <v>21</v>
      </c>
    </row>
    <row r="8" spans="1:14" ht="60" customHeight="1" x14ac:dyDescent="0.35">
      <c r="A8" s="11" t="s">
        <v>50</v>
      </c>
      <c r="B8" s="1" t="s">
        <v>51</v>
      </c>
      <c r="C8" s="2" t="s">
        <v>52</v>
      </c>
      <c r="D8" s="3" t="s">
        <v>17</v>
      </c>
      <c r="E8" s="4" t="s">
        <v>18</v>
      </c>
      <c r="F8" s="4" t="s">
        <v>19</v>
      </c>
      <c r="G8" s="4" t="s">
        <v>20</v>
      </c>
      <c r="H8" s="4" t="s">
        <v>21</v>
      </c>
      <c r="I8" s="5" t="s">
        <v>21</v>
      </c>
      <c r="J8" s="1" t="s">
        <v>53</v>
      </c>
      <c r="K8" s="1" t="s">
        <v>54</v>
      </c>
      <c r="L8" s="1" t="s">
        <v>55</v>
      </c>
      <c r="M8" s="4" t="str">
        <f t="shared" si="0"/>
        <v>Outstanding</v>
      </c>
      <c r="N8" s="13" t="s">
        <v>21</v>
      </c>
    </row>
    <row r="9" spans="1:14" ht="60" customHeight="1" x14ac:dyDescent="0.35">
      <c r="A9" s="11" t="s">
        <v>56</v>
      </c>
      <c r="B9" s="1" t="s">
        <v>57</v>
      </c>
      <c r="C9" s="2" t="s">
        <v>16</v>
      </c>
      <c r="D9" s="3" t="s">
        <v>17</v>
      </c>
      <c r="E9" s="4" t="s">
        <v>18</v>
      </c>
      <c r="F9" s="4" t="s">
        <v>19</v>
      </c>
      <c r="G9" s="4" t="s">
        <v>20</v>
      </c>
      <c r="H9" s="4" t="s">
        <v>21</v>
      </c>
      <c r="I9" s="5" t="s">
        <v>21</v>
      </c>
      <c r="J9" s="1" t="s">
        <v>58</v>
      </c>
      <c r="K9" s="1" t="s">
        <v>59</v>
      </c>
      <c r="L9" s="1" t="s">
        <v>60</v>
      </c>
      <c r="M9" s="4" t="str">
        <f t="shared" si="0"/>
        <v>Outstanding</v>
      </c>
      <c r="N9" s="13" t="s">
        <v>21</v>
      </c>
    </row>
    <row r="10" spans="1:14" ht="60" customHeight="1" x14ac:dyDescent="0.35">
      <c r="A10" s="11" t="s">
        <v>61</v>
      </c>
      <c r="B10" s="1" t="s">
        <v>62</v>
      </c>
      <c r="C10" s="2" t="s">
        <v>16</v>
      </c>
      <c r="D10" s="3" t="s">
        <v>17</v>
      </c>
      <c r="E10" s="4" t="s">
        <v>18</v>
      </c>
      <c r="F10" s="4" t="s">
        <v>19</v>
      </c>
      <c r="G10" s="4" t="s">
        <v>20</v>
      </c>
      <c r="H10" s="4" t="s">
        <v>21</v>
      </c>
      <c r="I10" s="5" t="s">
        <v>21</v>
      </c>
      <c r="J10" s="1" t="s">
        <v>63</v>
      </c>
      <c r="K10" s="1" t="s">
        <v>64</v>
      </c>
      <c r="L10" s="1" t="s">
        <v>65</v>
      </c>
      <c r="M10" s="4" t="str">
        <f t="shared" si="0"/>
        <v>Outstanding</v>
      </c>
      <c r="N10" s="13" t="s">
        <v>21</v>
      </c>
    </row>
    <row r="11" spans="1:14" ht="60" customHeight="1" x14ac:dyDescent="0.35">
      <c r="A11" s="11" t="s">
        <v>66</v>
      </c>
      <c r="B11" s="1" t="s">
        <v>67</v>
      </c>
      <c r="C11" s="2" t="s">
        <v>16</v>
      </c>
      <c r="D11" s="3" t="s">
        <v>17</v>
      </c>
      <c r="E11" s="4" t="s">
        <v>18</v>
      </c>
      <c r="F11" s="4" t="s">
        <v>19</v>
      </c>
      <c r="G11" s="4" t="s">
        <v>20</v>
      </c>
      <c r="H11" s="4" t="s">
        <v>21</v>
      </c>
      <c r="I11" s="5" t="s">
        <v>21</v>
      </c>
      <c r="J11" s="1" t="s">
        <v>68</v>
      </c>
      <c r="K11" s="1" t="s">
        <v>69</v>
      </c>
      <c r="L11" s="1" t="s">
        <v>70</v>
      </c>
      <c r="M11" s="4" t="str">
        <f t="shared" si="0"/>
        <v>Outstanding</v>
      </c>
      <c r="N11" s="13" t="s">
        <v>21</v>
      </c>
    </row>
    <row r="12" spans="1:14" ht="60" customHeight="1" x14ac:dyDescent="0.35">
      <c r="A12" s="11" t="s">
        <v>71</v>
      </c>
      <c r="B12" s="1" t="s">
        <v>72</v>
      </c>
      <c r="C12" s="2" t="s">
        <v>52</v>
      </c>
      <c r="D12" s="3" t="s">
        <v>17</v>
      </c>
      <c r="E12" s="4" t="s">
        <v>18</v>
      </c>
      <c r="F12" s="4" t="s">
        <v>19</v>
      </c>
      <c r="G12" s="4" t="s">
        <v>20</v>
      </c>
      <c r="H12" s="4" t="s">
        <v>21</v>
      </c>
      <c r="I12" s="5" t="s">
        <v>21</v>
      </c>
      <c r="J12" s="1" t="s">
        <v>73</v>
      </c>
      <c r="K12" s="1" t="s">
        <v>74</v>
      </c>
      <c r="L12" s="1" t="s">
        <v>75</v>
      </c>
      <c r="M12" s="4" t="str">
        <f t="shared" si="0"/>
        <v>Outstanding</v>
      </c>
      <c r="N12" s="13" t="s">
        <v>21</v>
      </c>
    </row>
    <row r="13" spans="1:14" ht="60" customHeight="1" x14ac:dyDescent="0.35">
      <c r="A13" s="11" t="s">
        <v>76</v>
      </c>
      <c r="B13" s="1" t="s">
        <v>77</v>
      </c>
      <c r="C13" s="2" t="s">
        <v>16</v>
      </c>
      <c r="D13" s="3" t="s">
        <v>17</v>
      </c>
      <c r="E13" s="4" t="s">
        <v>18</v>
      </c>
      <c r="F13" s="4" t="s">
        <v>19</v>
      </c>
      <c r="G13" s="4" t="s">
        <v>20</v>
      </c>
      <c r="H13" s="4" t="s">
        <v>21</v>
      </c>
      <c r="I13" s="5" t="s">
        <v>21</v>
      </c>
      <c r="J13" s="1" t="s">
        <v>78</v>
      </c>
      <c r="K13" s="1" t="s">
        <v>79</v>
      </c>
      <c r="L13" s="1" t="s">
        <v>80</v>
      </c>
      <c r="M13" s="4" t="str">
        <f t="shared" si="0"/>
        <v>Outstanding</v>
      </c>
      <c r="N13" s="13" t="s">
        <v>21</v>
      </c>
    </row>
    <row r="14" spans="1:14" ht="60" customHeight="1" x14ac:dyDescent="0.35">
      <c r="A14" s="11" t="s">
        <v>81</v>
      </c>
      <c r="B14" s="1" t="s">
        <v>82</v>
      </c>
      <c r="C14" s="2" t="s">
        <v>16</v>
      </c>
      <c r="D14" s="3" t="s">
        <v>83</v>
      </c>
      <c r="E14" s="4" t="s">
        <v>18</v>
      </c>
      <c r="F14" s="4" t="s">
        <v>19</v>
      </c>
      <c r="G14" s="4" t="s">
        <v>20</v>
      </c>
      <c r="H14" s="4" t="s">
        <v>21</v>
      </c>
      <c r="I14" s="5" t="s">
        <v>21</v>
      </c>
      <c r="J14" s="1" t="s">
        <v>84</v>
      </c>
      <c r="K14" s="1" t="s">
        <v>85</v>
      </c>
      <c r="L14" s="1" t="s">
        <v>86</v>
      </c>
      <c r="M14" s="4" t="str">
        <f t="shared" si="0"/>
        <v>Outstanding</v>
      </c>
      <c r="N14" s="13" t="s">
        <v>21</v>
      </c>
    </row>
    <row r="15" spans="1:14" ht="60" customHeight="1" x14ac:dyDescent="0.35">
      <c r="A15" s="11" t="s">
        <v>87</v>
      </c>
      <c r="B15" s="1" t="s">
        <v>88</v>
      </c>
      <c r="C15" s="2" t="s">
        <v>16</v>
      </c>
      <c r="D15" s="3" t="s">
        <v>83</v>
      </c>
      <c r="E15" s="4" t="s">
        <v>18</v>
      </c>
      <c r="F15" s="4" t="s">
        <v>19</v>
      </c>
      <c r="G15" s="4" t="s">
        <v>20</v>
      </c>
      <c r="H15" s="4" t="s">
        <v>21</v>
      </c>
      <c r="I15" s="5" t="s">
        <v>21</v>
      </c>
      <c r="J15" s="1" t="s">
        <v>89</v>
      </c>
      <c r="K15" s="1" t="s">
        <v>90</v>
      </c>
      <c r="L15" s="1" t="s">
        <v>91</v>
      </c>
      <c r="M15" s="4" t="str">
        <f t="shared" si="0"/>
        <v>Outstanding</v>
      </c>
      <c r="N15" s="13" t="s">
        <v>21</v>
      </c>
    </row>
    <row r="16" spans="1:14" ht="60" customHeight="1" x14ac:dyDescent="0.35">
      <c r="A16" s="11" t="s">
        <v>92</v>
      </c>
      <c r="B16" s="1" t="s">
        <v>93</v>
      </c>
      <c r="C16" s="2" t="s">
        <v>16</v>
      </c>
      <c r="D16" s="3" t="s">
        <v>83</v>
      </c>
      <c r="E16" s="4" t="s">
        <v>18</v>
      </c>
      <c r="F16" s="4" t="s">
        <v>19</v>
      </c>
      <c r="G16" s="4" t="s">
        <v>20</v>
      </c>
      <c r="H16" s="4" t="s">
        <v>21</v>
      </c>
      <c r="I16" s="5" t="s">
        <v>21</v>
      </c>
      <c r="J16" s="1" t="s">
        <v>94</v>
      </c>
      <c r="K16" s="1" t="s">
        <v>95</v>
      </c>
      <c r="L16" s="1" t="s">
        <v>96</v>
      </c>
      <c r="M16" s="4" t="str">
        <f t="shared" si="0"/>
        <v>Outstanding</v>
      </c>
      <c r="N16" s="13" t="s">
        <v>21</v>
      </c>
    </row>
    <row r="17" spans="1:14" ht="60" customHeight="1" x14ac:dyDescent="0.35">
      <c r="A17" s="11" t="s">
        <v>97</v>
      </c>
      <c r="B17" s="1" t="s">
        <v>98</v>
      </c>
      <c r="C17" s="2" t="s">
        <v>52</v>
      </c>
      <c r="D17" s="3" t="s">
        <v>83</v>
      </c>
      <c r="E17" s="4" t="s">
        <v>18</v>
      </c>
      <c r="F17" s="4" t="s">
        <v>19</v>
      </c>
      <c r="G17" s="4" t="s">
        <v>20</v>
      </c>
      <c r="H17" s="4" t="s">
        <v>21</v>
      </c>
      <c r="I17" s="5" t="s">
        <v>21</v>
      </c>
      <c r="J17" s="1" t="s">
        <v>99</v>
      </c>
      <c r="K17" s="1" t="s">
        <v>100</v>
      </c>
      <c r="L17" s="1" t="s">
        <v>101</v>
      </c>
      <c r="M17" s="4" t="str">
        <f t="shared" si="0"/>
        <v>Outstanding</v>
      </c>
      <c r="N17" s="13" t="s">
        <v>21</v>
      </c>
    </row>
    <row r="18" spans="1:14" ht="60" customHeight="1" x14ac:dyDescent="0.35">
      <c r="A18" s="11" t="s">
        <v>102</v>
      </c>
      <c r="B18" s="1" t="s">
        <v>103</v>
      </c>
      <c r="C18" s="2" t="s">
        <v>16</v>
      </c>
      <c r="D18" s="3" t="s">
        <v>83</v>
      </c>
      <c r="E18" s="4" t="s">
        <v>18</v>
      </c>
      <c r="F18" s="4" t="s">
        <v>19</v>
      </c>
      <c r="G18" s="4" t="s">
        <v>20</v>
      </c>
      <c r="H18" s="4" t="s">
        <v>21</v>
      </c>
      <c r="I18" s="5" t="s">
        <v>21</v>
      </c>
      <c r="J18" s="1" t="s">
        <v>104</v>
      </c>
      <c r="K18" s="1" t="s">
        <v>105</v>
      </c>
      <c r="L18" s="1" t="s">
        <v>106</v>
      </c>
      <c r="M18" s="4" t="str">
        <f t="shared" si="0"/>
        <v>Outstanding</v>
      </c>
      <c r="N18" s="13" t="s">
        <v>21</v>
      </c>
    </row>
    <row r="19" spans="1:14" ht="60" customHeight="1" x14ac:dyDescent="0.35">
      <c r="A19" s="11" t="s">
        <v>107</v>
      </c>
      <c r="B19" s="1" t="s">
        <v>108</v>
      </c>
      <c r="C19" s="2" t="s">
        <v>16</v>
      </c>
      <c r="D19" s="3" t="s">
        <v>83</v>
      </c>
      <c r="E19" s="4" t="s">
        <v>18</v>
      </c>
      <c r="F19" s="4" t="s">
        <v>19</v>
      </c>
      <c r="G19" s="4" t="s">
        <v>20</v>
      </c>
      <c r="H19" s="4" t="s">
        <v>21</v>
      </c>
      <c r="I19" s="5" t="s">
        <v>21</v>
      </c>
      <c r="J19" s="1" t="s">
        <v>109</v>
      </c>
      <c r="K19" s="1" t="s">
        <v>110</v>
      </c>
      <c r="L19" s="1" t="s">
        <v>111</v>
      </c>
      <c r="M19" s="4" t="str">
        <f t="shared" si="0"/>
        <v>Outstanding</v>
      </c>
      <c r="N19" s="13" t="s">
        <v>21</v>
      </c>
    </row>
    <row r="20" spans="1:14" ht="60" customHeight="1" x14ac:dyDescent="0.35">
      <c r="A20" s="11" t="s">
        <v>112</v>
      </c>
      <c r="B20" s="1" t="s">
        <v>113</v>
      </c>
      <c r="C20" s="2" t="s">
        <v>16</v>
      </c>
      <c r="D20" s="3" t="s">
        <v>83</v>
      </c>
      <c r="E20" s="4" t="s">
        <v>18</v>
      </c>
      <c r="F20" s="4" t="s">
        <v>19</v>
      </c>
      <c r="G20" s="4" t="s">
        <v>20</v>
      </c>
      <c r="H20" s="4" t="s">
        <v>21</v>
      </c>
      <c r="I20" s="5" t="s">
        <v>21</v>
      </c>
      <c r="J20" s="1" t="s">
        <v>114</v>
      </c>
      <c r="K20" s="1" t="s">
        <v>115</v>
      </c>
      <c r="L20" s="1" t="s">
        <v>116</v>
      </c>
      <c r="M20" s="4" t="str">
        <f t="shared" si="0"/>
        <v>Outstanding</v>
      </c>
      <c r="N20" s="13" t="s">
        <v>21</v>
      </c>
    </row>
    <row r="21" spans="1:14" ht="60" customHeight="1" x14ac:dyDescent="0.35">
      <c r="A21" s="11" t="s">
        <v>117</v>
      </c>
      <c r="B21" s="1" t="s">
        <v>118</v>
      </c>
      <c r="C21" s="2" t="s">
        <v>119</v>
      </c>
      <c r="D21" s="3" t="s">
        <v>83</v>
      </c>
      <c r="E21" s="4" t="s">
        <v>18</v>
      </c>
      <c r="F21" s="4" t="s">
        <v>19</v>
      </c>
      <c r="G21" s="4" t="s">
        <v>20</v>
      </c>
      <c r="H21" s="4" t="s">
        <v>21</v>
      </c>
      <c r="I21" s="5" t="s">
        <v>21</v>
      </c>
      <c r="J21" s="1" t="s">
        <v>120</v>
      </c>
      <c r="K21" s="1" t="s">
        <v>121</v>
      </c>
      <c r="L21" s="1" t="s">
        <v>122</v>
      </c>
      <c r="M21" s="4" t="str">
        <f t="shared" si="0"/>
        <v>Outstanding</v>
      </c>
      <c r="N21" s="13" t="s">
        <v>21</v>
      </c>
    </row>
    <row r="22" spans="1:14" ht="60" customHeight="1" x14ac:dyDescent="0.35">
      <c r="A22" s="11" t="s">
        <v>123</v>
      </c>
      <c r="B22" s="1" t="s">
        <v>124</v>
      </c>
      <c r="C22" s="2" t="s">
        <v>52</v>
      </c>
      <c r="D22" s="3" t="s">
        <v>83</v>
      </c>
      <c r="E22" s="4" t="s">
        <v>18</v>
      </c>
      <c r="F22" s="4" t="s">
        <v>19</v>
      </c>
      <c r="G22" s="4" t="s">
        <v>20</v>
      </c>
      <c r="H22" s="4" t="s">
        <v>21</v>
      </c>
      <c r="I22" s="5" t="s">
        <v>21</v>
      </c>
      <c r="J22" s="1" t="s">
        <v>125</v>
      </c>
      <c r="K22" s="1" t="s">
        <v>126</v>
      </c>
      <c r="L22" s="1" t="s">
        <v>127</v>
      </c>
      <c r="M22" s="4" t="str">
        <f t="shared" si="0"/>
        <v>Outstanding</v>
      </c>
      <c r="N22" s="13" t="s">
        <v>21</v>
      </c>
    </row>
    <row r="23" spans="1:14" ht="60" customHeight="1" x14ac:dyDescent="0.35">
      <c r="A23" s="11" t="s">
        <v>128</v>
      </c>
      <c r="B23" s="1" t="s">
        <v>129</v>
      </c>
      <c r="C23" s="2" t="s">
        <v>16</v>
      </c>
      <c r="D23" s="3" t="s">
        <v>83</v>
      </c>
      <c r="E23" s="4" t="s">
        <v>18</v>
      </c>
      <c r="F23" s="4" t="s">
        <v>19</v>
      </c>
      <c r="G23" s="4" t="s">
        <v>20</v>
      </c>
      <c r="H23" s="4" t="s">
        <v>21</v>
      </c>
      <c r="I23" s="5" t="s">
        <v>21</v>
      </c>
      <c r="J23" s="1" t="s">
        <v>130</v>
      </c>
      <c r="K23" s="1" t="s">
        <v>131</v>
      </c>
      <c r="L23" s="1" t="s">
        <v>132</v>
      </c>
      <c r="M23" s="4" t="str">
        <f t="shared" si="0"/>
        <v>Outstanding</v>
      </c>
      <c r="N23" s="13" t="s">
        <v>21</v>
      </c>
    </row>
    <row r="24" spans="1:14" ht="60" customHeight="1" x14ac:dyDescent="0.35">
      <c r="A24" s="11" t="s">
        <v>133</v>
      </c>
      <c r="B24" s="1" t="s">
        <v>134</v>
      </c>
      <c r="C24" s="2" t="s">
        <v>16</v>
      </c>
      <c r="D24" s="3" t="s">
        <v>83</v>
      </c>
      <c r="E24" s="4" t="s">
        <v>18</v>
      </c>
      <c r="F24" s="4" t="s">
        <v>19</v>
      </c>
      <c r="G24" s="4" t="s">
        <v>20</v>
      </c>
      <c r="H24" s="4" t="s">
        <v>21</v>
      </c>
      <c r="I24" s="5" t="s">
        <v>21</v>
      </c>
      <c r="J24" s="1" t="s">
        <v>135</v>
      </c>
      <c r="K24" s="1" t="s">
        <v>136</v>
      </c>
      <c r="L24" s="1" t="s">
        <v>137</v>
      </c>
      <c r="M24" s="4" t="str">
        <f t="shared" si="0"/>
        <v>Outstanding</v>
      </c>
      <c r="N24" s="13" t="s">
        <v>21</v>
      </c>
    </row>
    <row r="25" spans="1:14" ht="60" customHeight="1" x14ac:dyDescent="0.35">
      <c r="A25" s="11" t="s">
        <v>138</v>
      </c>
      <c r="B25" s="1" t="s">
        <v>139</v>
      </c>
      <c r="C25" s="2" t="s">
        <v>52</v>
      </c>
      <c r="D25" s="3" t="s">
        <v>83</v>
      </c>
      <c r="E25" s="4" t="s">
        <v>18</v>
      </c>
      <c r="F25" s="4" t="s">
        <v>19</v>
      </c>
      <c r="G25" s="4" t="s">
        <v>20</v>
      </c>
      <c r="H25" s="4" t="s">
        <v>21</v>
      </c>
      <c r="I25" s="5" t="s">
        <v>21</v>
      </c>
      <c r="J25" s="1" t="s">
        <v>140</v>
      </c>
      <c r="K25" s="1" t="s">
        <v>141</v>
      </c>
      <c r="L25" s="1" t="s">
        <v>142</v>
      </c>
      <c r="M25" s="4" t="str">
        <f t="shared" si="0"/>
        <v>Outstanding</v>
      </c>
      <c r="N25" s="13" t="s">
        <v>21</v>
      </c>
    </row>
    <row r="26" spans="1:14" ht="60" customHeight="1" x14ac:dyDescent="0.35">
      <c r="A26" s="11" t="s">
        <v>143</v>
      </c>
      <c r="B26" s="1" t="s">
        <v>144</v>
      </c>
      <c r="C26" s="2" t="s">
        <v>52</v>
      </c>
      <c r="D26" s="3" t="s">
        <v>83</v>
      </c>
      <c r="E26" s="4" t="s">
        <v>18</v>
      </c>
      <c r="F26" s="4" t="s">
        <v>19</v>
      </c>
      <c r="G26" s="4" t="s">
        <v>20</v>
      </c>
      <c r="H26" s="4" t="s">
        <v>21</v>
      </c>
      <c r="I26" s="5" t="s">
        <v>21</v>
      </c>
      <c r="J26" s="1" t="s">
        <v>145</v>
      </c>
      <c r="K26" s="1" t="s">
        <v>146</v>
      </c>
      <c r="L26" s="1" t="s">
        <v>147</v>
      </c>
      <c r="M26" s="4" t="str">
        <f t="shared" si="0"/>
        <v>Outstanding</v>
      </c>
      <c r="N26" s="13" t="s">
        <v>21</v>
      </c>
    </row>
    <row r="27" spans="1:14" ht="60" customHeight="1" x14ac:dyDescent="0.35">
      <c r="A27" s="11" t="s">
        <v>148</v>
      </c>
      <c r="B27" s="1" t="s">
        <v>149</v>
      </c>
      <c r="C27" s="2" t="s">
        <v>16</v>
      </c>
      <c r="D27" s="3" t="s">
        <v>83</v>
      </c>
      <c r="E27" s="4" t="s">
        <v>18</v>
      </c>
      <c r="F27" s="4" t="s">
        <v>19</v>
      </c>
      <c r="G27" s="4" t="s">
        <v>20</v>
      </c>
      <c r="H27" s="4" t="s">
        <v>21</v>
      </c>
      <c r="I27" s="5" t="s">
        <v>21</v>
      </c>
      <c r="J27" s="1" t="s">
        <v>150</v>
      </c>
      <c r="K27" s="1" t="s">
        <v>151</v>
      </c>
      <c r="L27" s="1" t="s">
        <v>152</v>
      </c>
      <c r="M27" s="4" t="str">
        <f t="shared" si="0"/>
        <v>Outstanding</v>
      </c>
      <c r="N27" s="13" t="s">
        <v>21</v>
      </c>
    </row>
    <row r="28" spans="1:14" ht="60" customHeight="1" x14ac:dyDescent="0.35">
      <c r="A28" s="11" t="s">
        <v>153</v>
      </c>
      <c r="B28" s="1" t="s">
        <v>154</v>
      </c>
      <c r="C28" s="2" t="s">
        <v>52</v>
      </c>
      <c r="D28" s="3" t="s">
        <v>83</v>
      </c>
      <c r="E28" s="4" t="s">
        <v>18</v>
      </c>
      <c r="F28" s="4" t="s">
        <v>19</v>
      </c>
      <c r="G28" s="4" t="s">
        <v>20</v>
      </c>
      <c r="H28" s="4" t="s">
        <v>21</v>
      </c>
      <c r="I28" s="5" t="s">
        <v>21</v>
      </c>
      <c r="J28" s="1" t="s">
        <v>155</v>
      </c>
      <c r="K28" s="1" t="s">
        <v>156</v>
      </c>
      <c r="L28" s="1" t="s">
        <v>157</v>
      </c>
      <c r="M28" s="4" t="str">
        <f t="shared" si="0"/>
        <v>Outstanding</v>
      </c>
      <c r="N28" s="13" t="s">
        <v>21</v>
      </c>
    </row>
    <row r="29" spans="1:14" ht="60" customHeight="1" x14ac:dyDescent="0.35">
      <c r="A29" s="11" t="s">
        <v>158</v>
      </c>
      <c r="B29" s="1" t="s">
        <v>159</v>
      </c>
      <c r="C29" s="2" t="s">
        <v>52</v>
      </c>
      <c r="D29" s="3" t="s">
        <v>83</v>
      </c>
      <c r="E29" s="4" t="s">
        <v>18</v>
      </c>
      <c r="F29" s="4" t="s">
        <v>19</v>
      </c>
      <c r="G29" s="4" t="s">
        <v>20</v>
      </c>
      <c r="H29" s="4" t="s">
        <v>21</v>
      </c>
      <c r="I29" s="5" t="s">
        <v>21</v>
      </c>
      <c r="J29" s="1" t="s">
        <v>160</v>
      </c>
      <c r="K29" s="1" t="s">
        <v>161</v>
      </c>
      <c r="L29" s="1" t="s">
        <v>162</v>
      </c>
      <c r="M29" s="4" t="str">
        <f t="shared" si="0"/>
        <v>Outstanding</v>
      </c>
      <c r="N29" s="13" t="s">
        <v>21</v>
      </c>
    </row>
    <row r="30" spans="1:14" ht="60" customHeight="1" x14ac:dyDescent="0.35">
      <c r="A30" s="11" t="s">
        <v>163</v>
      </c>
      <c r="B30" s="1" t="s">
        <v>164</v>
      </c>
      <c r="C30" s="2" t="s">
        <v>16</v>
      </c>
      <c r="D30" s="3" t="s">
        <v>83</v>
      </c>
      <c r="E30" s="4" t="s">
        <v>18</v>
      </c>
      <c r="F30" s="4" t="s">
        <v>19</v>
      </c>
      <c r="G30" s="4" t="s">
        <v>20</v>
      </c>
      <c r="H30" s="4" t="s">
        <v>21</v>
      </c>
      <c r="I30" s="5" t="s">
        <v>21</v>
      </c>
      <c r="J30" s="1" t="s">
        <v>165</v>
      </c>
      <c r="K30" s="1" t="s">
        <v>166</v>
      </c>
      <c r="L30" s="1" t="s">
        <v>167</v>
      </c>
      <c r="M30" s="4" t="str">
        <f t="shared" si="0"/>
        <v>Outstanding</v>
      </c>
      <c r="N30" s="13" t="s">
        <v>21</v>
      </c>
    </row>
    <row r="31" spans="1:14" ht="60" customHeight="1" x14ac:dyDescent="0.35">
      <c r="A31" s="11" t="s">
        <v>168</v>
      </c>
      <c r="B31" s="1" t="s">
        <v>169</v>
      </c>
      <c r="C31" s="2" t="s">
        <v>16</v>
      </c>
      <c r="D31" s="3" t="s">
        <v>83</v>
      </c>
      <c r="E31" s="4" t="s">
        <v>18</v>
      </c>
      <c r="F31" s="4" t="s">
        <v>19</v>
      </c>
      <c r="G31" s="4" t="s">
        <v>20</v>
      </c>
      <c r="H31" s="4" t="s">
        <v>21</v>
      </c>
      <c r="I31" s="5" t="s">
        <v>21</v>
      </c>
      <c r="J31" s="1" t="s">
        <v>170</v>
      </c>
      <c r="K31" s="1" t="s">
        <v>171</v>
      </c>
      <c r="L31" s="1" t="s">
        <v>172</v>
      </c>
      <c r="M31" s="4" t="str">
        <f t="shared" si="0"/>
        <v>Outstanding</v>
      </c>
      <c r="N31" s="13" t="s">
        <v>21</v>
      </c>
    </row>
    <row r="32" spans="1:14" ht="60" customHeight="1" x14ac:dyDescent="0.35">
      <c r="A32" s="11" t="s">
        <v>173</v>
      </c>
      <c r="B32" s="1" t="s">
        <v>174</v>
      </c>
      <c r="C32" s="2" t="s">
        <v>16</v>
      </c>
      <c r="D32" s="3" t="s">
        <v>83</v>
      </c>
      <c r="E32" s="4" t="s">
        <v>18</v>
      </c>
      <c r="F32" s="4" t="s">
        <v>19</v>
      </c>
      <c r="G32" s="4" t="s">
        <v>20</v>
      </c>
      <c r="H32" s="4" t="s">
        <v>21</v>
      </c>
      <c r="I32" s="5" t="s">
        <v>21</v>
      </c>
      <c r="J32" s="1" t="s">
        <v>175</v>
      </c>
      <c r="K32" s="1" t="s">
        <v>176</v>
      </c>
      <c r="L32" s="1" t="s">
        <v>177</v>
      </c>
      <c r="M32" s="4" t="str">
        <f t="shared" si="0"/>
        <v>Outstanding</v>
      </c>
      <c r="N32" s="13" t="s">
        <v>21</v>
      </c>
    </row>
    <row r="33" spans="1:14" ht="60" customHeight="1" x14ac:dyDescent="0.35">
      <c r="A33" s="11" t="s">
        <v>178</v>
      </c>
      <c r="B33" s="1" t="s">
        <v>179</v>
      </c>
      <c r="C33" s="2" t="s">
        <v>16</v>
      </c>
      <c r="D33" s="3" t="s">
        <v>83</v>
      </c>
      <c r="E33" s="4" t="s">
        <v>18</v>
      </c>
      <c r="F33" s="4" t="s">
        <v>19</v>
      </c>
      <c r="G33" s="4" t="s">
        <v>20</v>
      </c>
      <c r="H33" s="4" t="s">
        <v>21</v>
      </c>
      <c r="I33" s="5" t="s">
        <v>21</v>
      </c>
      <c r="J33" s="1" t="s">
        <v>180</v>
      </c>
      <c r="K33" s="1" t="s">
        <v>181</v>
      </c>
      <c r="L33" s="1" t="s">
        <v>182</v>
      </c>
      <c r="M33" s="4" t="str">
        <f t="shared" si="0"/>
        <v>Outstanding</v>
      </c>
      <c r="N33" s="13" t="s">
        <v>21</v>
      </c>
    </row>
    <row r="34" spans="1:14" ht="60" customHeight="1" x14ac:dyDescent="0.35">
      <c r="A34" s="11" t="s">
        <v>183</v>
      </c>
      <c r="B34" s="1" t="s">
        <v>184</v>
      </c>
      <c r="C34" s="2" t="s">
        <v>16</v>
      </c>
      <c r="D34" s="3" t="s">
        <v>83</v>
      </c>
      <c r="E34" s="4" t="s">
        <v>18</v>
      </c>
      <c r="F34" s="4" t="s">
        <v>19</v>
      </c>
      <c r="G34" s="4" t="s">
        <v>20</v>
      </c>
      <c r="H34" s="4" t="s">
        <v>21</v>
      </c>
      <c r="I34" s="5" t="s">
        <v>21</v>
      </c>
      <c r="J34" s="1" t="s">
        <v>185</v>
      </c>
      <c r="K34" s="1" t="s">
        <v>181</v>
      </c>
      <c r="L34" s="1" t="s">
        <v>186</v>
      </c>
      <c r="M34" s="4" t="str">
        <f t="shared" si="0"/>
        <v>Outstanding</v>
      </c>
      <c r="N34" s="13" t="s">
        <v>21</v>
      </c>
    </row>
    <row r="35" spans="1:14" ht="60" customHeight="1" x14ac:dyDescent="0.35">
      <c r="A35" s="11" t="s">
        <v>187</v>
      </c>
      <c r="B35" s="1" t="s">
        <v>188</v>
      </c>
      <c r="C35" s="2" t="s">
        <v>16</v>
      </c>
      <c r="D35" s="3" t="s">
        <v>83</v>
      </c>
      <c r="E35" s="4" t="s">
        <v>18</v>
      </c>
      <c r="F35" s="4" t="s">
        <v>19</v>
      </c>
      <c r="G35" s="4" t="s">
        <v>20</v>
      </c>
      <c r="H35" s="4" t="s">
        <v>21</v>
      </c>
      <c r="I35" s="5" t="s">
        <v>21</v>
      </c>
      <c r="J35" s="1" t="s">
        <v>189</v>
      </c>
      <c r="K35" s="1" t="s">
        <v>181</v>
      </c>
      <c r="L35" s="1" t="s">
        <v>190</v>
      </c>
      <c r="M35" s="4" t="str">
        <f t="shared" si="0"/>
        <v>Outstanding</v>
      </c>
      <c r="N35" s="13" t="s">
        <v>21</v>
      </c>
    </row>
    <row r="36" spans="1:14" ht="60" customHeight="1" x14ac:dyDescent="0.35">
      <c r="A36" s="11" t="s">
        <v>191</v>
      </c>
      <c r="B36" s="1" t="s">
        <v>192</v>
      </c>
      <c r="C36" s="2" t="s">
        <v>16</v>
      </c>
      <c r="D36" s="3" t="s">
        <v>83</v>
      </c>
      <c r="E36" s="4" t="s">
        <v>18</v>
      </c>
      <c r="F36" s="4" t="s">
        <v>19</v>
      </c>
      <c r="G36" s="4" t="s">
        <v>20</v>
      </c>
      <c r="H36" s="4" t="s">
        <v>21</v>
      </c>
      <c r="I36" s="5" t="s">
        <v>21</v>
      </c>
      <c r="J36" s="1" t="s">
        <v>193</v>
      </c>
      <c r="K36" s="1" t="s">
        <v>194</v>
      </c>
      <c r="L36" s="1" t="s">
        <v>195</v>
      </c>
      <c r="M36" s="4" t="str">
        <f t="shared" si="0"/>
        <v>Outstanding</v>
      </c>
      <c r="N36" s="13" t="s">
        <v>21</v>
      </c>
    </row>
    <row r="37" spans="1:14" ht="60" customHeight="1" x14ac:dyDescent="0.35">
      <c r="A37" s="11" t="s">
        <v>196</v>
      </c>
      <c r="B37" s="1" t="s">
        <v>197</v>
      </c>
      <c r="C37" s="2" t="s">
        <v>16</v>
      </c>
      <c r="D37" s="3" t="s">
        <v>83</v>
      </c>
      <c r="E37" s="4" t="s">
        <v>18</v>
      </c>
      <c r="F37" s="4" t="s">
        <v>19</v>
      </c>
      <c r="G37" s="4" t="s">
        <v>20</v>
      </c>
      <c r="H37" s="4" t="s">
        <v>21</v>
      </c>
      <c r="I37" s="5" t="s">
        <v>21</v>
      </c>
      <c r="J37" s="1" t="s">
        <v>198</v>
      </c>
      <c r="K37" s="1" t="s">
        <v>199</v>
      </c>
      <c r="L37" s="1" t="s">
        <v>200</v>
      </c>
      <c r="M37" s="4" t="str">
        <f t="shared" si="0"/>
        <v>Outstanding</v>
      </c>
      <c r="N37" s="13" t="s">
        <v>21</v>
      </c>
    </row>
    <row r="38" spans="1:14" ht="60" customHeight="1" x14ac:dyDescent="0.35">
      <c r="A38" s="11" t="s">
        <v>201</v>
      </c>
      <c r="B38" s="1" t="s">
        <v>202</v>
      </c>
      <c r="C38" s="2" t="s">
        <v>52</v>
      </c>
      <c r="D38" s="3" t="s">
        <v>83</v>
      </c>
      <c r="E38" s="4" t="s">
        <v>18</v>
      </c>
      <c r="F38" s="4" t="s">
        <v>19</v>
      </c>
      <c r="G38" s="4" t="s">
        <v>20</v>
      </c>
      <c r="H38" s="4" t="s">
        <v>21</v>
      </c>
      <c r="I38" s="5" t="s">
        <v>21</v>
      </c>
      <c r="J38" s="1" t="s">
        <v>203</v>
      </c>
      <c r="K38" s="1" t="s">
        <v>204</v>
      </c>
      <c r="L38" s="1" t="s">
        <v>205</v>
      </c>
      <c r="M38" s="4" t="str">
        <f t="shared" si="0"/>
        <v>Outstanding</v>
      </c>
      <c r="N38" s="13" t="s">
        <v>21</v>
      </c>
    </row>
    <row r="39" spans="1:14" ht="60" customHeight="1" x14ac:dyDescent="0.35">
      <c r="A39" s="11" t="s">
        <v>206</v>
      </c>
      <c r="B39" s="1" t="s">
        <v>207</v>
      </c>
      <c r="C39" s="2" t="s">
        <v>52</v>
      </c>
      <c r="D39" s="3" t="s">
        <v>83</v>
      </c>
      <c r="E39" s="4" t="s">
        <v>18</v>
      </c>
      <c r="F39" s="4" t="s">
        <v>19</v>
      </c>
      <c r="G39" s="4" t="s">
        <v>20</v>
      </c>
      <c r="H39" s="4" t="s">
        <v>21</v>
      </c>
      <c r="I39" s="5" t="s">
        <v>21</v>
      </c>
      <c r="J39" s="1" t="s">
        <v>208</v>
      </c>
      <c r="K39" s="1" t="s">
        <v>209</v>
      </c>
      <c r="L39" s="1" t="s">
        <v>210</v>
      </c>
      <c r="M39" s="4" t="str">
        <f t="shared" si="0"/>
        <v>Outstanding</v>
      </c>
      <c r="N39" s="13" t="s">
        <v>21</v>
      </c>
    </row>
    <row r="40" spans="1:14" ht="60" customHeight="1" x14ac:dyDescent="0.35">
      <c r="A40" s="11" t="s">
        <v>211</v>
      </c>
      <c r="B40" s="1" t="s">
        <v>212</v>
      </c>
      <c r="C40" s="2" t="s">
        <v>16</v>
      </c>
      <c r="D40" s="3" t="s">
        <v>83</v>
      </c>
      <c r="E40" s="4" t="s">
        <v>18</v>
      </c>
      <c r="F40" s="4" t="s">
        <v>19</v>
      </c>
      <c r="G40" s="4" t="s">
        <v>20</v>
      </c>
      <c r="H40" s="4" t="s">
        <v>21</v>
      </c>
      <c r="I40" s="5" t="s">
        <v>21</v>
      </c>
      <c r="J40" s="1" t="s">
        <v>213</v>
      </c>
      <c r="K40" s="1" t="s">
        <v>214</v>
      </c>
      <c r="L40" s="1" t="s">
        <v>215</v>
      </c>
      <c r="M40" s="4" t="str">
        <f t="shared" si="0"/>
        <v>Outstanding</v>
      </c>
      <c r="N40" s="13" t="s">
        <v>21</v>
      </c>
    </row>
    <row r="41" spans="1:14" ht="60" customHeight="1" x14ac:dyDescent="0.35">
      <c r="A41" s="11" t="s">
        <v>216</v>
      </c>
      <c r="B41" s="1" t="s">
        <v>217</v>
      </c>
      <c r="C41" s="2" t="s">
        <v>16</v>
      </c>
      <c r="D41" s="3" t="s">
        <v>83</v>
      </c>
      <c r="E41" s="4" t="s">
        <v>18</v>
      </c>
      <c r="F41" s="4" t="s">
        <v>19</v>
      </c>
      <c r="G41" s="4" t="s">
        <v>20</v>
      </c>
      <c r="H41" s="4" t="s">
        <v>21</v>
      </c>
      <c r="I41" s="5" t="s">
        <v>21</v>
      </c>
      <c r="J41" s="1" t="s">
        <v>218</v>
      </c>
      <c r="K41" s="1" t="s">
        <v>115</v>
      </c>
      <c r="L41" s="1" t="s">
        <v>219</v>
      </c>
      <c r="M41" s="4" t="str">
        <f t="shared" si="0"/>
        <v>Outstanding</v>
      </c>
      <c r="N41" s="13" t="s">
        <v>21</v>
      </c>
    </row>
    <row r="42" spans="1:14" ht="60" customHeight="1" x14ac:dyDescent="0.35">
      <c r="A42" s="11" t="s">
        <v>220</v>
      </c>
      <c r="B42" s="1" t="s">
        <v>221</v>
      </c>
      <c r="C42" s="2" t="s">
        <v>16</v>
      </c>
      <c r="D42" s="3" t="s">
        <v>83</v>
      </c>
      <c r="E42" s="4" t="s">
        <v>18</v>
      </c>
      <c r="F42" s="4" t="s">
        <v>19</v>
      </c>
      <c r="G42" s="4" t="s">
        <v>20</v>
      </c>
      <c r="H42" s="4" t="s">
        <v>21</v>
      </c>
      <c r="I42" s="5" t="s">
        <v>21</v>
      </c>
      <c r="J42" s="1" t="s">
        <v>222</v>
      </c>
      <c r="K42" s="1" t="s">
        <v>223</v>
      </c>
      <c r="L42" s="1" t="s">
        <v>224</v>
      </c>
      <c r="M42" s="4" t="str">
        <f t="shared" si="0"/>
        <v>Outstanding</v>
      </c>
      <c r="N42" s="13" t="s">
        <v>21</v>
      </c>
    </row>
    <row r="43" spans="1:14" ht="60" customHeight="1" x14ac:dyDescent="0.35">
      <c r="A43" s="11" t="s">
        <v>225</v>
      </c>
      <c r="B43" s="1" t="s">
        <v>226</v>
      </c>
      <c r="C43" s="2" t="s">
        <v>16</v>
      </c>
      <c r="D43" s="3" t="s">
        <v>227</v>
      </c>
      <c r="E43" s="4" t="s">
        <v>18</v>
      </c>
      <c r="F43" s="4" t="s">
        <v>19</v>
      </c>
      <c r="G43" s="4" t="s">
        <v>20</v>
      </c>
      <c r="H43" s="4" t="s">
        <v>21</v>
      </c>
      <c r="I43" s="5" t="s">
        <v>21</v>
      </c>
      <c r="J43" s="1" t="s">
        <v>228</v>
      </c>
      <c r="K43" s="1" t="s">
        <v>229</v>
      </c>
      <c r="L43" s="1" t="s">
        <v>230</v>
      </c>
      <c r="M43" s="4" t="str">
        <f t="shared" si="0"/>
        <v>Outstanding</v>
      </c>
      <c r="N43" s="13" t="s">
        <v>21</v>
      </c>
    </row>
    <row r="44" spans="1:14" ht="60" customHeight="1" x14ac:dyDescent="0.35">
      <c r="A44" s="11" t="s">
        <v>231</v>
      </c>
      <c r="B44" s="1" t="s">
        <v>232</v>
      </c>
      <c r="C44" s="2" t="s">
        <v>16</v>
      </c>
      <c r="D44" s="3" t="s">
        <v>227</v>
      </c>
      <c r="E44" s="4" t="s">
        <v>18</v>
      </c>
      <c r="F44" s="4" t="s">
        <v>19</v>
      </c>
      <c r="G44" s="4" t="s">
        <v>20</v>
      </c>
      <c r="H44" s="4" t="s">
        <v>21</v>
      </c>
      <c r="I44" s="5" t="s">
        <v>21</v>
      </c>
      <c r="J44" s="1" t="s">
        <v>233</v>
      </c>
      <c r="K44" s="1" t="s">
        <v>234</v>
      </c>
      <c r="L44" s="1" t="s">
        <v>235</v>
      </c>
      <c r="M44" s="4" t="str">
        <f t="shared" si="0"/>
        <v>Outstanding</v>
      </c>
      <c r="N44" s="13" t="s">
        <v>21</v>
      </c>
    </row>
    <row r="45" spans="1:14" ht="60" customHeight="1" x14ac:dyDescent="0.35">
      <c r="A45" s="11" t="s">
        <v>236</v>
      </c>
      <c r="B45" s="1" t="s">
        <v>237</v>
      </c>
      <c r="C45" s="2" t="s">
        <v>52</v>
      </c>
      <c r="D45" s="3" t="s">
        <v>227</v>
      </c>
      <c r="E45" s="4" t="s">
        <v>18</v>
      </c>
      <c r="F45" s="4" t="s">
        <v>19</v>
      </c>
      <c r="G45" s="4" t="s">
        <v>20</v>
      </c>
      <c r="H45" s="4" t="s">
        <v>21</v>
      </c>
      <c r="I45" s="5" t="s">
        <v>21</v>
      </c>
      <c r="J45" s="1" t="s">
        <v>238</v>
      </c>
      <c r="K45" s="1" t="s">
        <v>239</v>
      </c>
      <c r="L45" s="1" t="s">
        <v>240</v>
      </c>
      <c r="M45" s="4" t="str">
        <f t="shared" si="0"/>
        <v>Outstanding</v>
      </c>
      <c r="N45" s="13" t="s">
        <v>21</v>
      </c>
    </row>
    <row r="46" spans="1:14" ht="60" customHeight="1" x14ac:dyDescent="0.35">
      <c r="A46" s="11" t="s">
        <v>241</v>
      </c>
      <c r="B46" s="1" t="s">
        <v>242</v>
      </c>
      <c r="C46" s="2" t="s">
        <v>16</v>
      </c>
      <c r="D46" s="3" t="s">
        <v>227</v>
      </c>
      <c r="E46" s="4" t="s">
        <v>18</v>
      </c>
      <c r="F46" s="4" t="s">
        <v>19</v>
      </c>
      <c r="G46" s="4" t="s">
        <v>20</v>
      </c>
      <c r="H46" s="4" t="s">
        <v>21</v>
      </c>
      <c r="I46" s="5" t="s">
        <v>21</v>
      </c>
      <c r="J46" s="1" t="s">
        <v>243</v>
      </c>
      <c r="K46" s="1" t="s">
        <v>244</v>
      </c>
      <c r="L46" s="1" t="s">
        <v>245</v>
      </c>
      <c r="M46" s="4" t="str">
        <f t="shared" si="0"/>
        <v>Outstanding</v>
      </c>
      <c r="N46" s="13" t="s">
        <v>21</v>
      </c>
    </row>
    <row r="47" spans="1:14" ht="60" customHeight="1" x14ac:dyDescent="0.35">
      <c r="A47" s="11" t="s">
        <v>246</v>
      </c>
      <c r="B47" s="1" t="s">
        <v>247</v>
      </c>
      <c r="C47" s="2" t="s">
        <v>16</v>
      </c>
      <c r="D47" s="3" t="s">
        <v>227</v>
      </c>
      <c r="E47" s="4" t="s">
        <v>18</v>
      </c>
      <c r="F47" s="4" t="s">
        <v>19</v>
      </c>
      <c r="G47" s="4" t="s">
        <v>20</v>
      </c>
      <c r="H47" s="4" t="s">
        <v>21</v>
      </c>
      <c r="I47" s="5" t="s">
        <v>21</v>
      </c>
      <c r="J47" s="1" t="s">
        <v>248</v>
      </c>
      <c r="K47" s="1" t="s">
        <v>249</v>
      </c>
      <c r="L47" s="1" t="s">
        <v>250</v>
      </c>
      <c r="M47" s="4" t="str">
        <f t="shared" si="0"/>
        <v>Outstanding</v>
      </c>
      <c r="N47" s="13" t="s">
        <v>21</v>
      </c>
    </row>
    <row r="48" spans="1:14" ht="60" customHeight="1" x14ac:dyDescent="0.35">
      <c r="A48" s="11" t="s">
        <v>251</v>
      </c>
      <c r="B48" s="1" t="s">
        <v>252</v>
      </c>
      <c r="C48" s="2" t="s">
        <v>16</v>
      </c>
      <c r="D48" s="3" t="s">
        <v>227</v>
      </c>
      <c r="E48" s="4" t="s">
        <v>18</v>
      </c>
      <c r="F48" s="4" t="s">
        <v>19</v>
      </c>
      <c r="G48" s="4" t="s">
        <v>20</v>
      </c>
      <c r="H48" s="4" t="s">
        <v>21</v>
      </c>
      <c r="I48" s="5" t="s">
        <v>21</v>
      </c>
      <c r="J48" s="1" t="s">
        <v>253</v>
      </c>
      <c r="K48" s="1" t="s">
        <v>254</v>
      </c>
      <c r="L48" s="1" t="s">
        <v>255</v>
      </c>
      <c r="M48" s="4" t="str">
        <f t="shared" si="0"/>
        <v>Outstanding</v>
      </c>
      <c r="N48" s="13" t="s">
        <v>21</v>
      </c>
    </row>
    <row r="49" spans="1:14" ht="60" customHeight="1" x14ac:dyDescent="0.35">
      <c r="A49" s="11" t="s">
        <v>256</v>
      </c>
      <c r="B49" s="1" t="s">
        <v>257</v>
      </c>
      <c r="C49" s="2" t="s">
        <v>52</v>
      </c>
      <c r="D49" s="3" t="s">
        <v>227</v>
      </c>
      <c r="E49" s="4" t="s">
        <v>18</v>
      </c>
      <c r="F49" s="4" t="s">
        <v>19</v>
      </c>
      <c r="G49" s="4" t="s">
        <v>20</v>
      </c>
      <c r="H49" s="4" t="s">
        <v>21</v>
      </c>
      <c r="I49" s="5" t="s">
        <v>21</v>
      </c>
      <c r="J49" s="1" t="s">
        <v>258</v>
      </c>
      <c r="K49" s="1" t="s">
        <v>259</v>
      </c>
      <c r="L49" s="1" t="s">
        <v>260</v>
      </c>
      <c r="M49" s="4" t="str">
        <f t="shared" si="0"/>
        <v>Outstanding</v>
      </c>
      <c r="N49" s="13" t="s">
        <v>21</v>
      </c>
    </row>
    <row r="50" spans="1:14" ht="60" customHeight="1" x14ac:dyDescent="0.35">
      <c r="A50" s="11" t="s">
        <v>261</v>
      </c>
      <c r="B50" s="1" t="s">
        <v>262</v>
      </c>
      <c r="C50" s="2" t="s">
        <v>52</v>
      </c>
      <c r="D50" s="3" t="s">
        <v>227</v>
      </c>
      <c r="E50" s="4" t="s">
        <v>18</v>
      </c>
      <c r="F50" s="4" t="s">
        <v>19</v>
      </c>
      <c r="G50" s="4" t="s">
        <v>20</v>
      </c>
      <c r="H50" s="4" t="s">
        <v>21</v>
      </c>
      <c r="I50" s="5" t="s">
        <v>21</v>
      </c>
      <c r="J50" s="1" t="s">
        <v>263</v>
      </c>
      <c r="K50" s="1" t="s">
        <v>264</v>
      </c>
      <c r="L50" s="1" t="s">
        <v>265</v>
      </c>
      <c r="M50" s="4" t="str">
        <f t="shared" si="0"/>
        <v>Outstanding</v>
      </c>
      <c r="N50" s="13" t="s">
        <v>21</v>
      </c>
    </row>
    <row r="51" spans="1:14" ht="60" customHeight="1" x14ac:dyDescent="0.35">
      <c r="A51" s="11" t="s">
        <v>266</v>
      </c>
      <c r="B51" s="1" t="s">
        <v>267</v>
      </c>
      <c r="C51" s="2" t="s">
        <v>16</v>
      </c>
      <c r="D51" s="3" t="s">
        <v>227</v>
      </c>
      <c r="E51" s="4" t="s">
        <v>18</v>
      </c>
      <c r="F51" s="4" t="s">
        <v>19</v>
      </c>
      <c r="G51" s="4" t="s">
        <v>20</v>
      </c>
      <c r="H51" s="4" t="s">
        <v>21</v>
      </c>
      <c r="I51" s="5" t="s">
        <v>21</v>
      </c>
      <c r="J51" s="1" t="s">
        <v>268</v>
      </c>
      <c r="K51" s="1" t="s">
        <v>269</v>
      </c>
      <c r="L51" s="1" t="s">
        <v>270</v>
      </c>
      <c r="M51" s="4" t="str">
        <f t="shared" si="0"/>
        <v>Outstanding</v>
      </c>
      <c r="N51" s="13" t="s">
        <v>21</v>
      </c>
    </row>
    <row r="52" spans="1:14" ht="60" customHeight="1" x14ac:dyDescent="0.35">
      <c r="A52" s="11" t="s">
        <v>271</v>
      </c>
      <c r="B52" s="1" t="s">
        <v>272</v>
      </c>
      <c r="C52" s="2" t="s">
        <v>16</v>
      </c>
      <c r="D52" s="3" t="s">
        <v>227</v>
      </c>
      <c r="E52" s="4" t="s">
        <v>18</v>
      </c>
      <c r="F52" s="4" t="s">
        <v>19</v>
      </c>
      <c r="G52" s="4" t="s">
        <v>20</v>
      </c>
      <c r="H52" s="4" t="s">
        <v>21</v>
      </c>
      <c r="I52" s="5" t="s">
        <v>21</v>
      </c>
      <c r="J52" s="1" t="s">
        <v>273</v>
      </c>
      <c r="K52" s="1" t="s">
        <v>274</v>
      </c>
      <c r="L52" s="1" t="s">
        <v>275</v>
      </c>
      <c r="M52" s="4" t="str">
        <f t="shared" si="0"/>
        <v>Outstanding</v>
      </c>
      <c r="N52" s="13" t="s">
        <v>21</v>
      </c>
    </row>
    <row r="53" spans="1:14" ht="60" customHeight="1" x14ac:dyDescent="0.35">
      <c r="A53" s="11" t="s">
        <v>276</v>
      </c>
      <c r="B53" s="1" t="s">
        <v>277</v>
      </c>
      <c r="C53" s="2" t="s">
        <v>16</v>
      </c>
      <c r="D53" s="3" t="s">
        <v>227</v>
      </c>
      <c r="E53" s="4" t="s">
        <v>18</v>
      </c>
      <c r="F53" s="4" t="s">
        <v>19</v>
      </c>
      <c r="G53" s="4" t="s">
        <v>20</v>
      </c>
      <c r="H53" s="4" t="s">
        <v>21</v>
      </c>
      <c r="I53" s="5" t="s">
        <v>21</v>
      </c>
      <c r="J53" s="1" t="s">
        <v>278</v>
      </c>
      <c r="K53" s="1" t="s">
        <v>279</v>
      </c>
      <c r="L53" s="1" t="s">
        <v>280</v>
      </c>
      <c r="M53" s="4" t="str">
        <f t="shared" si="0"/>
        <v>Outstanding</v>
      </c>
      <c r="N53" s="13" t="s">
        <v>21</v>
      </c>
    </row>
    <row r="54" spans="1:14" ht="60" customHeight="1" x14ac:dyDescent="0.35">
      <c r="A54" s="11" t="s">
        <v>281</v>
      </c>
      <c r="B54" s="1" t="s">
        <v>282</v>
      </c>
      <c r="C54" s="2" t="s">
        <v>16</v>
      </c>
      <c r="D54" s="3" t="s">
        <v>227</v>
      </c>
      <c r="E54" s="4" t="s">
        <v>18</v>
      </c>
      <c r="F54" s="4" t="s">
        <v>19</v>
      </c>
      <c r="G54" s="4" t="s">
        <v>20</v>
      </c>
      <c r="H54" s="4" t="s">
        <v>21</v>
      </c>
      <c r="I54" s="5" t="s">
        <v>21</v>
      </c>
      <c r="J54" s="1" t="s">
        <v>283</v>
      </c>
      <c r="K54" s="1" t="s">
        <v>284</v>
      </c>
      <c r="L54" s="1" t="s">
        <v>285</v>
      </c>
      <c r="M54" s="4" t="str">
        <f t="shared" si="0"/>
        <v>Outstanding</v>
      </c>
      <c r="N54" s="13" t="s">
        <v>21</v>
      </c>
    </row>
    <row r="55" spans="1:14" ht="60" customHeight="1" x14ac:dyDescent="0.35">
      <c r="A55" s="11" t="s">
        <v>286</v>
      </c>
      <c r="B55" s="1" t="s">
        <v>287</v>
      </c>
      <c r="C55" s="2" t="s">
        <v>16</v>
      </c>
      <c r="D55" s="3" t="s">
        <v>227</v>
      </c>
      <c r="E55" s="4" t="s">
        <v>18</v>
      </c>
      <c r="F55" s="4" t="s">
        <v>19</v>
      </c>
      <c r="G55" s="4" t="s">
        <v>20</v>
      </c>
      <c r="H55" s="4" t="s">
        <v>21</v>
      </c>
      <c r="I55" s="5" t="s">
        <v>21</v>
      </c>
      <c r="J55" s="1" t="s">
        <v>288</v>
      </c>
      <c r="K55" s="1" t="s">
        <v>289</v>
      </c>
      <c r="L55" s="1" t="s">
        <v>290</v>
      </c>
      <c r="M55" s="4" t="str">
        <f t="shared" si="0"/>
        <v>Outstanding</v>
      </c>
      <c r="N55" s="13" t="s">
        <v>21</v>
      </c>
    </row>
    <row r="56" spans="1:14" ht="60" customHeight="1" x14ac:dyDescent="0.35">
      <c r="A56" s="11" t="s">
        <v>291</v>
      </c>
      <c r="B56" s="1" t="s">
        <v>292</v>
      </c>
      <c r="C56" s="2" t="s">
        <v>52</v>
      </c>
      <c r="D56" s="3" t="s">
        <v>227</v>
      </c>
      <c r="E56" s="4" t="s">
        <v>18</v>
      </c>
      <c r="F56" s="4" t="s">
        <v>19</v>
      </c>
      <c r="G56" s="4" t="s">
        <v>20</v>
      </c>
      <c r="H56" s="4" t="s">
        <v>21</v>
      </c>
      <c r="I56" s="5" t="s">
        <v>21</v>
      </c>
      <c r="J56" s="1" t="s">
        <v>155</v>
      </c>
      <c r="K56" s="1" t="s">
        <v>293</v>
      </c>
      <c r="L56" s="1" t="s">
        <v>294</v>
      </c>
      <c r="M56" s="4" t="str">
        <f t="shared" si="0"/>
        <v>Outstanding</v>
      </c>
      <c r="N56" s="13" t="s">
        <v>21</v>
      </c>
    </row>
    <row r="57" spans="1:14" ht="60" customHeight="1" x14ac:dyDescent="0.35">
      <c r="A57" s="11" t="s">
        <v>295</v>
      </c>
      <c r="B57" s="1" t="s">
        <v>296</v>
      </c>
      <c r="C57" s="2" t="s">
        <v>52</v>
      </c>
      <c r="D57" s="3" t="s">
        <v>227</v>
      </c>
      <c r="E57" s="4" t="s">
        <v>18</v>
      </c>
      <c r="F57" s="4" t="s">
        <v>19</v>
      </c>
      <c r="G57" s="4" t="s">
        <v>20</v>
      </c>
      <c r="H57" s="4" t="s">
        <v>21</v>
      </c>
      <c r="I57" s="5" t="s">
        <v>21</v>
      </c>
      <c r="J57" s="1" t="s">
        <v>297</v>
      </c>
      <c r="K57" s="1" t="s">
        <v>298</v>
      </c>
      <c r="L57" s="1" t="s">
        <v>299</v>
      </c>
      <c r="M57" s="4" t="str">
        <f t="shared" si="0"/>
        <v>Outstanding</v>
      </c>
      <c r="N57" s="13" t="s">
        <v>21</v>
      </c>
    </row>
    <row r="58" spans="1:14" ht="60" customHeight="1" x14ac:dyDescent="0.35">
      <c r="A58" s="11" t="s">
        <v>300</v>
      </c>
      <c r="B58" s="1" t="s">
        <v>301</v>
      </c>
      <c r="C58" s="2" t="s">
        <v>52</v>
      </c>
      <c r="D58" s="3" t="s">
        <v>227</v>
      </c>
      <c r="E58" s="4" t="s">
        <v>18</v>
      </c>
      <c r="F58" s="4" t="s">
        <v>19</v>
      </c>
      <c r="G58" s="4" t="s">
        <v>20</v>
      </c>
      <c r="H58" s="4" t="s">
        <v>21</v>
      </c>
      <c r="I58" s="5" t="s">
        <v>21</v>
      </c>
      <c r="J58" s="1" t="s">
        <v>302</v>
      </c>
      <c r="K58" s="1" t="s">
        <v>303</v>
      </c>
      <c r="L58" s="1" t="s">
        <v>304</v>
      </c>
      <c r="M58" s="4" t="str">
        <f t="shared" si="0"/>
        <v>Outstanding</v>
      </c>
      <c r="N58" s="13" t="s">
        <v>21</v>
      </c>
    </row>
    <row r="59" spans="1:14" ht="60" customHeight="1" x14ac:dyDescent="0.35">
      <c r="A59" s="11" t="s">
        <v>305</v>
      </c>
      <c r="B59" s="1" t="s">
        <v>306</v>
      </c>
      <c r="C59" s="2" t="s">
        <v>16</v>
      </c>
      <c r="D59" s="3" t="s">
        <v>227</v>
      </c>
      <c r="E59" s="4" t="s">
        <v>18</v>
      </c>
      <c r="F59" s="4" t="s">
        <v>19</v>
      </c>
      <c r="G59" s="4" t="s">
        <v>20</v>
      </c>
      <c r="H59" s="4" t="s">
        <v>21</v>
      </c>
      <c r="I59" s="5" t="s">
        <v>21</v>
      </c>
      <c r="J59" s="1" t="s">
        <v>307</v>
      </c>
      <c r="K59" s="1" t="s">
        <v>308</v>
      </c>
      <c r="L59" s="1" t="s">
        <v>309</v>
      </c>
      <c r="M59" s="4" t="str">
        <f t="shared" si="0"/>
        <v>Outstanding</v>
      </c>
      <c r="N59" s="13" t="s">
        <v>21</v>
      </c>
    </row>
    <row r="60" spans="1:14" ht="60" customHeight="1" x14ac:dyDescent="0.35">
      <c r="A60" s="11" t="s">
        <v>310</v>
      </c>
      <c r="B60" s="1" t="s">
        <v>311</v>
      </c>
      <c r="C60" s="2" t="s">
        <v>52</v>
      </c>
      <c r="D60" s="3" t="s">
        <v>227</v>
      </c>
      <c r="E60" s="4" t="s">
        <v>18</v>
      </c>
      <c r="F60" s="4" t="s">
        <v>19</v>
      </c>
      <c r="G60" s="4" t="s">
        <v>20</v>
      </c>
      <c r="H60" s="4" t="s">
        <v>21</v>
      </c>
      <c r="I60" s="5" t="s">
        <v>21</v>
      </c>
      <c r="J60" s="1" t="s">
        <v>312</v>
      </c>
      <c r="K60" s="1" t="s">
        <v>313</v>
      </c>
      <c r="L60" s="1" t="s">
        <v>314</v>
      </c>
      <c r="M60" s="4" t="str">
        <f t="shared" si="0"/>
        <v>Outstanding</v>
      </c>
      <c r="N60" s="13" t="s">
        <v>21</v>
      </c>
    </row>
    <row r="61" spans="1:14" ht="60" customHeight="1" x14ac:dyDescent="0.35">
      <c r="A61" s="11" t="s">
        <v>315</v>
      </c>
      <c r="B61" s="1" t="s">
        <v>316</v>
      </c>
      <c r="C61" s="2" t="s">
        <v>16</v>
      </c>
      <c r="D61" s="3" t="s">
        <v>227</v>
      </c>
      <c r="E61" s="4" t="s">
        <v>18</v>
      </c>
      <c r="F61" s="4" t="s">
        <v>19</v>
      </c>
      <c r="G61" s="4" t="s">
        <v>20</v>
      </c>
      <c r="H61" s="4" t="s">
        <v>21</v>
      </c>
      <c r="I61" s="5" t="s">
        <v>21</v>
      </c>
      <c r="J61" s="1" t="s">
        <v>317</v>
      </c>
      <c r="K61" s="1" t="s">
        <v>318</v>
      </c>
      <c r="L61" s="1" t="s">
        <v>319</v>
      </c>
      <c r="M61" s="4" t="str">
        <f t="shared" si="0"/>
        <v>Outstanding</v>
      </c>
      <c r="N61" s="13" t="s">
        <v>21</v>
      </c>
    </row>
    <row r="62" spans="1:14" ht="60" customHeight="1" x14ac:dyDescent="0.35">
      <c r="A62" s="11" t="s">
        <v>320</v>
      </c>
      <c r="B62" s="1" t="s">
        <v>321</v>
      </c>
      <c r="C62" s="2" t="s">
        <v>16</v>
      </c>
      <c r="D62" s="3" t="s">
        <v>227</v>
      </c>
      <c r="E62" s="4" t="s">
        <v>18</v>
      </c>
      <c r="F62" s="4" t="s">
        <v>19</v>
      </c>
      <c r="G62" s="4" t="s">
        <v>20</v>
      </c>
      <c r="H62" s="4" t="s">
        <v>21</v>
      </c>
      <c r="I62" s="5" t="s">
        <v>21</v>
      </c>
      <c r="J62" s="1" t="s">
        <v>322</v>
      </c>
      <c r="K62" s="1" t="s">
        <v>323</v>
      </c>
      <c r="L62" s="1" t="s">
        <v>324</v>
      </c>
      <c r="M62" s="4" t="str">
        <f t="shared" si="0"/>
        <v>Outstanding</v>
      </c>
      <c r="N62" s="13" t="s">
        <v>21</v>
      </c>
    </row>
    <row r="63" spans="1:14" ht="60" customHeight="1" x14ac:dyDescent="0.35">
      <c r="A63" s="11" t="s">
        <v>325</v>
      </c>
      <c r="B63" s="1" t="s">
        <v>326</v>
      </c>
      <c r="C63" s="2" t="s">
        <v>16</v>
      </c>
      <c r="D63" s="3" t="s">
        <v>227</v>
      </c>
      <c r="E63" s="4" t="s">
        <v>18</v>
      </c>
      <c r="F63" s="4" t="s">
        <v>19</v>
      </c>
      <c r="G63" s="4" t="s">
        <v>20</v>
      </c>
      <c r="H63" s="4" t="s">
        <v>21</v>
      </c>
      <c r="I63" s="5" t="s">
        <v>21</v>
      </c>
      <c r="J63" s="1" t="s">
        <v>327</v>
      </c>
      <c r="K63" s="1" t="s">
        <v>328</v>
      </c>
      <c r="L63" s="1" t="s">
        <v>329</v>
      </c>
      <c r="M63" s="4" t="str">
        <f t="shared" si="0"/>
        <v>Outstanding</v>
      </c>
      <c r="N63" s="13" t="s">
        <v>21</v>
      </c>
    </row>
    <row r="64" spans="1:14" ht="60" customHeight="1" x14ac:dyDescent="0.35">
      <c r="A64" s="11" t="s">
        <v>330</v>
      </c>
      <c r="B64" s="1" t="s">
        <v>331</v>
      </c>
      <c r="C64" s="2" t="s">
        <v>16</v>
      </c>
      <c r="D64" s="3" t="s">
        <v>227</v>
      </c>
      <c r="E64" s="4" t="s">
        <v>18</v>
      </c>
      <c r="F64" s="4" t="s">
        <v>19</v>
      </c>
      <c r="G64" s="4" t="s">
        <v>20</v>
      </c>
      <c r="H64" s="4" t="s">
        <v>21</v>
      </c>
      <c r="I64" s="5" t="s">
        <v>21</v>
      </c>
      <c r="J64" s="1" t="s">
        <v>332</v>
      </c>
      <c r="K64" s="1" t="s">
        <v>333</v>
      </c>
      <c r="L64" s="1" t="s">
        <v>334</v>
      </c>
      <c r="M64" s="4" t="str">
        <f t="shared" si="0"/>
        <v>Outstanding</v>
      </c>
      <c r="N64" s="13" t="s">
        <v>21</v>
      </c>
    </row>
    <row r="65" spans="1:14" ht="60" customHeight="1" x14ac:dyDescent="0.35">
      <c r="A65" s="11" t="s">
        <v>335</v>
      </c>
      <c r="B65" s="1" t="s">
        <v>336</v>
      </c>
      <c r="C65" s="2" t="s">
        <v>16</v>
      </c>
      <c r="D65" s="3" t="s">
        <v>227</v>
      </c>
      <c r="E65" s="4" t="s">
        <v>18</v>
      </c>
      <c r="F65" s="4" t="s">
        <v>19</v>
      </c>
      <c r="G65" s="4" t="s">
        <v>20</v>
      </c>
      <c r="H65" s="4" t="s">
        <v>21</v>
      </c>
      <c r="I65" s="5" t="s">
        <v>21</v>
      </c>
      <c r="J65" s="1" t="s">
        <v>337</v>
      </c>
      <c r="K65" s="1" t="s">
        <v>338</v>
      </c>
      <c r="L65" s="1" t="s">
        <v>339</v>
      </c>
      <c r="M65" s="4" t="str">
        <f t="shared" si="0"/>
        <v>Outstanding</v>
      </c>
      <c r="N65" s="13" t="s">
        <v>21</v>
      </c>
    </row>
    <row r="66" spans="1:14" ht="60" customHeight="1" x14ac:dyDescent="0.35">
      <c r="A66" s="11" t="s">
        <v>340</v>
      </c>
      <c r="B66" s="1" t="s">
        <v>341</v>
      </c>
      <c r="C66" s="2" t="s">
        <v>16</v>
      </c>
      <c r="D66" s="3" t="s">
        <v>227</v>
      </c>
      <c r="E66" s="4" t="s">
        <v>18</v>
      </c>
      <c r="F66" s="4" t="s">
        <v>19</v>
      </c>
      <c r="G66" s="4" t="s">
        <v>20</v>
      </c>
      <c r="H66" s="4" t="s">
        <v>21</v>
      </c>
      <c r="I66" s="5" t="s">
        <v>21</v>
      </c>
      <c r="J66" s="1" t="s">
        <v>337</v>
      </c>
      <c r="K66" s="1" t="s">
        <v>342</v>
      </c>
      <c r="L66" s="1" t="s">
        <v>339</v>
      </c>
      <c r="M66" s="4" t="str">
        <f t="shared" si="0"/>
        <v>Outstanding</v>
      </c>
      <c r="N66" s="13" t="s">
        <v>21</v>
      </c>
    </row>
    <row r="67" spans="1:14" ht="60" customHeight="1" x14ac:dyDescent="0.35">
      <c r="A67" s="11" t="s">
        <v>343</v>
      </c>
      <c r="B67" s="1" t="s">
        <v>344</v>
      </c>
      <c r="C67" s="2" t="s">
        <v>119</v>
      </c>
      <c r="D67" s="3" t="s">
        <v>227</v>
      </c>
      <c r="E67" s="4" t="s">
        <v>18</v>
      </c>
      <c r="F67" s="4" t="s">
        <v>19</v>
      </c>
      <c r="G67" s="4" t="s">
        <v>20</v>
      </c>
      <c r="H67" s="4" t="s">
        <v>21</v>
      </c>
      <c r="I67" s="5" t="s">
        <v>21</v>
      </c>
      <c r="J67" s="1" t="s">
        <v>345</v>
      </c>
      <c r="K67" s="1" t="s">
        <v>346</v>
      </c>
      <c r="L67" s="1" t="s">
        <v>347</v>
      </c>
      <c r="M67" s="4" t="str">
        <f t="shared" si="0"/>
        <v>Outstanding</v>
      </c>
      <c r="N67" s="13" t="s">
        <v>21</v>
      </c>
    </row>
    <row r="68" spans="1:14" ht="60" customHeight="1" x14ac:dyDescent="0.35">
      <c r="A68" s="11" t="s">
        <v>348</v>
      </c>
      <c r="B68" s="1" t="s">
        <v>349</v>
      </c>
      <c r="C68" s="2" t="s">
        <v>119</v>
      </c>
      <c r="D68" s="3" t="s">
        <v>227</v>
      </c>
      <c r="E68" s="4" t="s">
        <v>18</v>
      </c>
      <c r="F68" s="4" t="s">
        <v>19</v>
      </c>
      <c r="G68" s="4" t="s">
        <v>20</v>
      </c>
      <c r="H68" s="4" t="s">
        <v>21</v>
      </c>
      <c r="I68" s="5" t="s">
        <v>21</v>
      </c>
      <c r="J68" s="1" t="s">
        <v>350</v>
      </c>
      <c r="K68" s="1" t="s">
        <v>351</v>
      </c>
      <c r="L68" s="1" t="s">
        <v>352</v>
      </c>
      <c r="M68" s="4" t="str">
        <f t="shared" si="0"/>
        <v>Outstanding</v>
      </c>
      <c r="N68" s="13" t="s">
        <v>21</v>
      </c>
    </row>
    <row r="69" spans="1:14" ht="60" customHeight="1" x14ac:dyDescent="0.35">
      <c r="A69" s="11" t="s">
        <v>353</v>
      </c>
      <c r="B69" s="1" t="s">
        <v>354</v>
      </c>
      <c r="C69" s="2" t="s">
        <v>119</v>
      </c>
      <c r="D69" s="3" t="s">
        <v>227</v>
      </c>
      <c r="E69" s="4" t="s">
        <v>18</v>
      </c>
      <c r="F69" s="4" t="s">
        <v>19</v>
      </c>
      <c r="G69" s="4" t="s">
        <v>20</v>
      </c>
      <c r="H69" s="4" t="s">
        <v>21</v>
      </c>
      <c r="I69" s="5" t="s">
        <v>21</v>
      </c>
      <c r="J69" s="1" t="s">
        <v>355</v>
      </c>
      <c r="K69" s="1" t="s">
        <v>356</v>
      </c>
      <c r="L69" s="1" t="s">
        <v>357</v>
      </c>
      <c r="M69" s="4" t="str">
        <f t="shared" si="0"/>
        <v>Outstanding</v>
      </c>
      <c r="N69" s="13" t="s">
        <v>21</v>
      </c>
    </row>
    <row r="70" spans="1:14" ht="60" customHeight="1" x14ac:dyDescent="0.35">
      <c r="A70" s="11" t="s">
        <v>358</v>
      </c>
      <c r="B70" s="1" t="s">
        <v>359</v>
      </c>
      <c r="C70" s="2" t="s">
        <v>52</v>
      </c>
      <c r="D70" s="3" t="s">
        <v>227</v>
      </c>
      <c r="E70" s="4" t="s">
        <v>18</v>
      </c>
      <c r="F70" s="4" t="s">
        <v>19</v>
      </c>
      <c r="G70" s="4" t="s">
        <v>20</v>
      </c>
      <c r="H70" s="4" t="s">
        <v>21</v>
      </c>
      <c r="I70" s="5" t="s">
        <v>21</v>
      </c>
      <c r="J70" s="1" t="s">
        <v>360</v>
      </c>
      <c r="K70" s="1" t="s">
        <v>361</v>
      </c>
      <c r="L70" s="1" t="s">
        <v>362</v>
      </c>
      <c r="M70" s="4" t="str">
        <f t="shared" si="0"/>
        <v>Outstanding</v>
      </c>
      <c r="N70" s="13" t="s">
        <v>21</v>
      </c>
    </row>
    <row r="71" spans="1:14" ht="60" customHeight="1" x14ac:dyDescent="0.35">
      <c r="A71" s="11" t="s">
        <v>363</v>
      </c>
      <c r="B71" s="1" t="s">
        <v>364</v>
      </c>
      <c r="C71" s="2" t="s">
        <v>16</v>
      </c>
      <c r="D71" s="3" t="s">
        <v>227</v>
      </c>
      <c r="E71" s="4" t="s">
        <v>18</v>
      </c>
      <c r="F71" s="4" t="s">
        <v>19</v>
      </c>
      <c r="G71" s="4" t="s">
        <v>20</v>
      </c>
      <c r="H71" s="4" t="s">
        <v>21</v>
      </c>
      <c r="I71" s="5" t="s">
        <v>21</v>
      </c>
      <c r="J71" s="1" t="s">
        <v>365</v>
      </c>
      <c r="K71" s="1" t="s">
        <v>366</v>
      </c>
      <c r="L71" s="1" t="s">
        <v>367</v>
      </c>
      <c r="M71" s="4" t="str">
        <f t="shared" si="0"/>
        <v>Outstanding</v>
      </c>
      <c r="N71" s="13" t="s">
        <v>21</v>
      </c>
    </row>
    <row r="72" spans="1:14" ht="60" customHeight="1" x14ac:dyDescent="0.35">
      <c r="A72" s="11" t="s">
        <v>368</v>
      </c>
      <c r="B72" s="1" t="s">
        <v>221</v>
      </c>
      <c r="C72" s="2" t="s">
        <v>16</v>
      </c>
      <c r="D72" s="3" t="s">
        <v>227</v>
      </c>
      <c r="E72" s="4" t="s">
        <v>18</v>
      </c>
      <c r="F72" s="4" t="s">
        <v>19</v>
      </c>
      <c r="G72" s="4" t="s">
        <v>20</v>
      </c>
      <c r="H72" s="4" t="s">
        <v>21</v>
      </c>
      <c r="I72" s="5" t="s">
        <v>21</v>
      </c>
      <c r="J72" s="1" t="s">
        <v>369</v>
      </c>
      <c r="K72" s="1" t="s">
        <v>370</v>
      </c>
      <c r="L72" s="1" t="s">
        <v>371</v>
      </c>
      <c r="M72" s="4" t="str">
        <f t="shared" si="0"/>
        <v>Outstanding</v>
      </c>
      <c r="N72" s="13" t="s">
        <v>21</v>
      </c>
    </row>
    <row r="73" spans="1:14" ht="60" customHeight="1" x14ac:dyDescent="0.35">
      <c r="A73" s="11" t="s">
        <v>372</v>
      </c>
      <c r="B73" s="1" t="s">
        <v>373</v>
      </c>
      <c r="C73" s="2" t="s">
        <v>119</v>
      </c>
      <c r="D73" s="3" t="s">
        <v>227</v>
      </c>
      <c r="E73" s="4" t="s">
        <v>18</v>
      </c>
      <c r="F73" s="4" t="s">
        <v>19</v>
      </c>
      <c r="G73" s="4" t="s">
        <v>20</v>
      </c>
      <c r="H73" s="4" t="s">
        <v>21</v>
      </c>
      <c r="I73" s="5" t="s">
        <v>21</v>
      </c>
      <c r="J73" s="1" t="s">
        <v>374</v>
      </c>
      <c r="K73" s="1" t="s">
        <v>375</v>
      </c>
      <c r="L73" s="1" t="s">
        <v>376</v>
      </c>
      <c r="M73" s="4" t="str">
        <f t="shared" si="0"/>
        <v>Outstanding</v>
      </c>
      <c r="N73" s="13" t="s">
        <v>21</v>
      </c>
    </row>
    <row r="74" spans="1:14" ht="60" customHeight="1" x14ac:dyDescent="0.35">
      <c r="A74" s="11" t="s">
        <v>377</v>
      </c>
      <c r="B74" s="1" t="s">
        <v>378</v>
      </c>
      <c r="C74" s="2" t="s">
        <v>52</v>
      </c>
      <c r="D74" s="3" t="s">
        <v>227</v>
      </c>
      <c r="E74" s="4" t="s">
        <v>18</v>
      </c>
      <c r="F74" s="4" t="s">
        <v>19</v>
      </c>
      <c r="G74" s="4" t="s">
        <v>20</v>
      </c>
      <c r="H74" s="4" t="s">
        <v>21</v>
      </c>
      <c r="I74" s="5" t="s">
        <v>21</v>
      </c>
      <c r="J74" s="1" t="s">
        <v>379</v>
      </c>
      <c r="K74" s="1" t="s">
        <v>380</v>
      </c>
      <c r="L74" s="1" t="s">
        <v>381</v>
      </c>
      <c r="M74" s="4" t="str">
        <f t="shared" si="0"/>
        <v>Outstanding</v>
      </c>
      <c r="N74" s="13" t="s">
        <v>21</v>
      </c>
    </row>
    <row r="75" spans="1:14" ht="60" customHeight="1" x14ac:dyDescent="0.35">
      <c r="A75" s="11" t="s">
        <v>382</v>
      </c>
      <c r="B75" s="1" t="s">
        <v>383</v>
      </c>
      <c r="C75" s="2" t="s">
        <v>16</v>
      </c>
      <c r="D75" s="3" t="s">
        <v>227</v>
      </c>
      <c r="E75" s="4" t="s">
        <v>18</v>
      </c>
      <c r="F75" s="4" t="s">
        <v>19</v>
      </c>
      <c r="G75" s="4" t="s">
        <v>20</v>
      </c>
      <c r="H75" s="4" t="s">
        <v>21</v>
      </c>
      <c r="I75" s="5" t="s">
        <v>21</v>
      </c>
      <c r="J75" s="1" t="s">
        <v>384</v>
      </c>
      <c r="K75" s="1" t="s">
        <v>385</v>
      </c>
      <c r="L75" s="1" t="s">
        <v>386</v>
      </c>
      <c r="M75" s="4" t="str">
        <f t="shared" si="0"/>
        <v>Outstanding</v>
      </c>
      <c r="N75" s="13" t="s">
        <v>21</v>
      </c>
    </row>
    <row r="76" spans="1:14" ht="60" customHeight="1" x14ac:dyDescent="0.35">
      <c r="A76" s="11" t="s">
        <v>387</v>
      </c>
      <c r="B76" s="1" t="s">
        <v>388</v>
      </c>
      <c r="C76" s="2" t="s">
        <v>16</v>
      </c>
      <c r="D76" s="3" t="s">
        <v>227</v>
      </c>
      <c r="E76" s="4" t="s">
        <v>18</v>
      </c>
      <c r="F76" s="4" t="s">
        <v>19</v>
      </c>
      <c r="G76" s="4" t="s">
        <v>20</v>
      </c>
      <c r="H76" s="4" t="s">
        <v>21</v>
      </c>
      <c r="I76" s="5" t="s">
        <v>21</v>
      </c>
      <c r="J76" s="1" t="s">
        <v>389</v>
      </c>
      <c r="K76" s="1" t="s">
        <v>390</v>
      </c>
      <c r="L76" s="1" t="s">
        <v>391</v>
      </c>
      <c r="M76" s="4" t="str">
        <f t="shared" si="0"/>
        <v>Outstanding</v>
      </c>
      <c r="N76" s="13" t="s">
        <v>21</v>
      </c>
    </row>
    <row r="77" spans="1:14" ht="60" customHeight="1" x14ac:dyDescent="0.35">
      <c r="A77" s="11" t="s">
        <v>392</v>
      </c>
      <c r="B77" s="1" t="s">
        <v>393</v>
      </c>
      <c r="C77" s="2" t="s">
        <v>16</v>
      </c>
      <c r="D77" s="3" t="s">
        <v>227</v>
      </c>
      <c r="E77" s="4" t="s">
        <v>18</v>
      </c>
      <c r="F77" s="4" t="s">
        <v>19</v>
      </c>
      <c r="G77" s="4" t="s">
        <v>20</v>
      </c>
      <c r="H77" s="4" t="s">
        <v>21</v>
      </c>
      <c r="I77" s="5" t="s">
        <v>21</v>
      </c>
      <c r="J77" s="1" t="s">
        <v>394</v>
      </c>
      <c r="K77" s="1" t="s">
        <v>395</v>
      </c>
      <c r="L77" s="1" t="s">
        <v>396</v>
      </c>
      <c r="M77" s="4" t="str">
        <f t="shared" si="0"/>
        <v>Outstanding</v>
      </c>
      <c r="N77" s="13" t="s">
        <v>21</v>
      </c>
    </row>
    <row r="78" spans="1:14" ht="60" customHeight="1" x14ac:dyDescent="0.35">
      <c r="A78" s="11" t="s">
        <v>397</v>
      </c>
      <c r="B78" s="1" t="s">
        <v>398</v>
      </c>
      <c r="C78" s="2" t="s">
        <v>16</v>
      </c>
      <c r="D78" s="3" t="s">
        <v>227</v>
      </c>
      <c r="E78" s="4" t="s">
        <v>18</v>
      </c>
      <c r="F78" s="4" t="s">
        <v>19</v>
      </c>
      <c r="G78" s="4" t="s">
        <v>20</v>
      </c>
      <c r="H78" s="4" t="s">
        <v>21</v>
      </c>
      <c r="I78" s="5" t="s">
        <v>21</v>
      </c>
      <c r="J78" s="1" t="s">
        <v>399</v>
      </c>
      <c r="K78" s="1" t="s">
        <v>400</v>
      </c>
      <c r="L78" s="1" t="s">
        <v>401</v>
      </c>
      <c r="M78" s="4" t="str">
        <f t="shared" si="0"/>
        <v>Outstanding</v>
      </c>
      <c r="N78" s="13" t="s">
        <v>21</v>
      </c>
    </row>
    <row r="79" spans="1:14" ht="60" customHeight="1" x14ac:dyDescent="0.35">
      <c r="A79" s="11" t="s">
        <v>402</v>
      </c>
      <c r="B79" s="1" t="s">
        <v>403</v>
      </c>
      <c r="C79" s="2" t="s">
        <v>119</v>
      </c>
      <c r="D79" s="3" t="s">
        <v>227</v>
      </c>
      <c r="E79" s="4" t="s">
        <v>18</v>
      </c>
      <c r="F79" s="4" t="s">
        <v>19</v>
      </c>
      <c r="G79" s="4" t="s">
        <v>20</v>
      </c>
      <c r="H79" s="4" t="s">
        <v>21</v>
      </c>
      <c r="I79" s="5" t="s">
        <v>21</v>
      </c>
      <c r="J79" s="1" t="s">
        <v>404</v>
      </c>
      <c r="K79" s="1" t="s">
        <v>405</v>
      </c>
      <c r="L79" s="1" t="s">
        <v>406</v>
      </c>
      <c r="M79" s="4" t="str">
        <f t="shared" si="0"/>
        <v>Outstanding</v>
      </c>
      <c r="N79" s="13" t="s">
        <v>21</v>
      </c>
    </row>
    <row r="80" spans="1:14" ht="60" customHeight="1" x14ac:dyDescent="0.35">
      <c r="A80" s="11" t="s">
        <v>407</v>
      </c>
      <c r="B80" s="1" t="s">
        <v>408</v>
      </c>
      <c r="C80" s="2" t="s">
        <v>16</v>
      </c>
      <c r="D80" s="3" t="s">
        <v>409</v>
      </c>
      <c r="E80" s="4" t="s">
        <v>18</v>
      </c>
      <c r="F80" s="4" t="s">
        <v>19</v>
      </c>
      <c r="G80" s="4" t="s">
        <v>20</v>
      </c>
      <c r="H80" s="4" t="s">
        <v>21</v>
      </c>
      <c r="I80" s="5" t="s">
        <v>21</v>
      </c>
      <c r="J80" s="1" t="s">
        <v>410</v>
      </c>
      <c r="K80" s="1" t="s">
        <v>411</v>
      </c>
      <c r="L80" s="1" t="s">
        <v>412</v>
      </c>
      <c r="M80" s="4" t="str">
        <f t="shared" si="0"/>
        <v>Outstanding</v>
      </c>
      <c r="N80" s="13" t="s">
        <v>21</v>
      </c>
    </row>
    <row r="81" spans="1:14" ht="60" customHeight="1" x14ac:dyDescent="0.35">
      <c r="A81" s="11" t="s">
        <v>413</v>
      </c>
      <c r="B81" s="1" t="s">
        <v>414</v>
      </c>
      <c r="C81" s="2" t="s">
        <v>52</v>
      </c>
      <c r="D81" s="3" t="s">
        <v>409</v>
      </c>
      <c r="E81" s="4" t="s">
        <v>18</v>
      </c>
      <c r="F81" s="4" t="s">
        <v>19</v>
      </c>
      <c r="G81" s="4" t="s">
        <v>20</v>
      </c>
      <c r="H81" s="4" t="s">
        <v>21</v>
      </c>
      <c r="I81" s="5" t="s">
        <v>21</v>
      </c>
      <c r="J81" s="1" t="s">
        <v>415</v>
      </c>
      <c r="K81" s="1" t="s">
        <v>416</v>
      </c>
      <c r="L81" s="1" t="s">
        <v>417</v>
      </c>
      <c r="M81" s="4" t="str">
        <f t="shared" si="0"/>
        <v>Outstanding</v>
      </c>
      <c r="N81" s="13" t="s">
        <v>21</v>
      </c>
    </row>
    <row r="82" spans="1:14" ht="60" customHeight="1" x14ac:dyDescent="0.35">
      <c r="A82" s="11" t="s">
        <v>418</v>
      </c>
      <c r="B82" s="1" t="s">
        <v>419</v>
      </c>
      <c r="C82" s="2" t="s">
        <v>16</v>
      </c>
      <c r="D82" s="3" t="s">
        <v>409</v>
      </c>
      <c r="E82" s="4" t="s">
        <v>18</v>
      </c>
      <c r="F82" s="4" t="s">
        <v>19</v>
      </c>
      <c r="G82" s="4" t="s">
        <v>20</v>
      </c>
      <c r="H82" s="4" t="s">
        <v>21</v>
      </c>
      <c r="I82" s="5" t="s">
        <v>21</v>
      </c>
      <c r="J82" s="1" t="s">
        <v>420</v>
      </c>
      <c r="K82" s="1" t="s">
        <v>421</v>
      </c>
      <c r="L82" s="1" t="s">
        <v>422</v>
      </c>
      <c r="M82" s="4" t="str">
        <f t="shared" si="0"/>
        <v>Outstanding</v>
      </c>
      <c r="N82" s="13" t="s">
        <v>21</v>
      </c>
    </row>
    <row r="83" spans="1:14" ht="60" customHeight="1" x14ac:dyDescent="0.35">
      <c r="A83" s="11" t="s">
        <v>423</v>
      </c>
      <c r="B83" s="1" t="s">
        <v>424</v>
      </c>
      <c r="C83" s="2" t="s">
        <v>119</v>
      </c>
      <c r="D83" s="3" t="s">
        <v>409</v>
      </c>
      <c r="E83" s="4" t="s">
        <v>18</v>
      </c>
      <c r="F83" s="4" t="s">
        <v>19</v>
      </c>
      <c r="G83" s="4" t="s">
        <v>20</v>
      </c>
      <c r="H83" s="4" t="s">
        <v>21</v>
      </c>
      <c r="I83" s="5" t="s">
        <v>21</v>
      </c>
      <c r="J83" s="1" t="s">
        <v>425</v>
      </c>
      <c r="K83" s="1" t="s">
        <v>426</v>
      </c>
      <c r="L83" s="1" t="s">
        <v>427</v>
      </c>
      <c r="M83" s="4" t="str">
        <f t="shared" si="0"/>
        <v>Outstanding</v>
      </c>
      <c r="N83" s="13" t="s">
        <v>21</v>
      </c>
    </row>
    <row r="84" spans="1:14" ht="60" customHeight="1" x14ac:dyDescent="0.35">
      <c r="A84" s="11" t="s">
        <v>428</v>
      </c>
      <c r="B84" s="1" t="s">
        <v>429</v>
      </c>
      <c r="C84" s="2" t="s">
        <v>16</v>
      </c>
      <c r="D84" s="3" t="s">
        <v>409</v>
      </c>
      <c r="E84" s="4" t="s">
        <v>18</v>
      </c>
      <c r="F84" s="4" t="s">
        <v>19</v>
      </c>
      <c r="G84" s="4" t="s">
        <v>20</v>
      </c>
      <c r="H84" s="4" t="s">
        <v>21</v>
      </c>
      <c r="I84" s="5" t="s">
        <v>21</v>
      </c>
      <c r="J84" s="1" t="s">
        <v>430</v>
      </c>
      <c r="K84" s="1" t="s">
        <v>431</v>
      </c>
      <c r="L84" s="1" t="s">
        <v>432</v>
      </c>
      <c r="M84" s="4" t="str">
        <f t="shared" si="0"/>
        <v>Outstanding</v>
      </c>
      <c r="N84" s="13" t="s">
        <v>21</v>
      </c>
    </row>
    <row r="85" spans="1:14" ht="60" customHeight="1" x14ac:dyDescent="0.35">
      <c r="A85" s="11" t="s">
        <v>433</v>
      </c>
      <c r="B85" s="1" t="s">
        <v>434</v>
      </c>
      <c r="C85" s="2" t="s">
        <v>16</v>
      </c>
      <c r="D85" s="3" t="s">
        <v>409</v>
      </c>
      <c r="E85" s="4" t="s">
        <v>18</v>
      </c>
      <c r="F85" s="4" t="s">
        <v>19</v>
      </c>
      <c r="G85" s="4" t="s">
        <v>20</v>
      </c>
      <c r="H85" s="4" t="s">
        <v>21</v>
      </c>
      <c r="I85" s="5" t="s">
        <v>21</v>
      </c>
      <c r="J85" s="1" t="s">
        <v>435</v>
      </c>
      <c r="K85" s="1" t="s">
        <v>436</v>
      </c>
      <c r="L85" s="1" t="s">
        <v>437</v>
      </c>
      <c r="M85" s="4" t="str">
        <f t="shared" si="0"/>
        <v>Outstanding</v>
      </c>
      <c r="N85" s="13" t="s">
        <v>21</v>
      </c>
    </row>
    <row r="86" spans="1:14" ht="60" customHeight="1" x14ac:dyDescent="0.35">
      <c r="A86" s="11" t="s">
        <v>438</v>
      </c>
      <c r="B86" s="1" t="s">
        <v>439</v>
      </c>
      <c r="C86" s="2" t="s">
        <v>52</v>
      </c>
      <c r="D86" s="3" t="s">
        <v>409</v>
      </c>
      <c r="E86" s="4" t="s">
        <v>18</v>
      </c>
      <c r="F86" s="4" t="s">
        <v>19</v>
      </c>
      <c r="G86" s="4" t="s">
        <v>20</v>
      </c>
      <c r="H86" s="4" t="s">
        <v>21</v>
      </c>
      <c r="I86" s="5" t="s">
        <v>21</v>
      </c>
      <c r="J86" s="1" t="s">
        <v>440</v>
      </c>
      <c r="K86" s="1" t="s">
        <v>441</v>
      </c>
      <c r="L86" s="1" t="s">
        <v>442</v>
      </c>
      <c r="M86" s="4" t="str">
        <f t="shared" si="0"/>
        <v>Outstanding</v>
      </c>
      <c r="N86" s="13" t="s">
        <v>21</v>
      </c>
    </row>
    <row r="87" spans="1:14" ht="60" customHeight="1" x14ac:dyDescent="0.35">
      <c r="A87" s="11" t="s">
        <v>443</v>
      </c>
      <c r="B87" s="1" t="s">
        <v>444</v>
      </c>
      <c r="C87" s="2" t="s">
        <v>52</v>
      </c>
      <c r="D87" s="3" t="s">
        <v>409</v>
      </c>
      <c r="E87" s="4" t="s">
        <v>18</v>
      </c>
      <c r="F87" s="4" t="s">
        <v>19</v>
      </c>
      <c r="G87" s="4" t="s">
        <v>20</v>
      </c>
      <c r="H87" s="4" t="s">
        <v>21</v>
      </c>
      <c r="I87" s="5" t="s">
        <v>21</v>
      </c>
      <c r="J87" s="1" t="s">
        <v>445</v>
      </c>
      <c r="K87" s="1" t="s">
        <v>446</v>
      </c>
      <c r="L87" s="1" t="s">
        <v>447</v>
      </c>
      <c r="M87" s="4" t="str">
        <f t="shared" si="0"/>
        <v>Outstanding</v>
      </c>
      <c r="N87" s="13" t="s">
        <v>21</v>
      </c>
    </row>
    <row r="88" spans="1:14" ht="60" customHeight="1" x14ac:dyDescent="0.35">
      <c r="A88" s="11" t="s">
        <v>448</v>
      </c>
      <c r="B88" s="1" t="s">
        <v>449</v>
      </c>
      <c r="C88" s="2" t="s">
        <v>119</v>
      </c>
      <c r="D88" s="3" t="s">
        <v>409</v>
      </c>
      <c r="E88" s="4" t="s">
        <v>18</v>
      </c>
      <c r="F88" s="4" t="s">
        <v>19</v>
      </c>
      <c r="G88" s="4" t="s">
        <v>20</v>
      </c>
      <c r="H88" s="4" t="s">
        <v>21</v>
      </c>
      <c r="I88" s="5" t="s">
        <v>21</v>
      </c>
      <c r="J88" s="1" t="s">
        <v>450</v>
      </c>
      <c r="K88" s="1" t="s">
        <v>451</v>
      </c>
      <c r="L88" s="1" t="s">
        <v>452</v>
      </c>
      <c r="M88" s="4" t="str">
        <f t="shared" si="0"/>
        <v>Outstanding</v>
      </c>
      <c r="N88" s="13" t="s">
        <v>21</v>
      </c>
    </row>
    <row r="89" spans="1:14" ht="60" customHeight="1" x14ac:dyDescent="0.35">
      <c r="A89" s="11" t="s">
        <v>453</v>
      </c>
      <c r="B89" s="1" t="s">
        <v>454</v>
      </c>
      <c r="C89" s="2" t="s">
        <v>16</v>
      </c>
      <c r="D89" s="3" t="s">
        <v>409</v>
      </c>
      <c r="E89" s="4" t="s">
        <v>18</v>
      </c>
      <c r="F89" s="4" t="s">
        <v>19</v>
      </c>
      <c r="G89" s="4" t="s">
        <v>20</v>
      </c>
      <c r="H89" s="4" t="s">
        <v>21</v>
      </c>
      <c r="I89" s="5" t="s">
        <v>21</v>
      </c>
      <c r="J89" s="1" t="s">
        <v>455</v>
      </c>
      <c r="K89" s="1" t="s">
        <v>456</v>
      </c>
      <c r="L89" s="1" t="s">
        <v>457</v>
      </c>
      <c r="M89" s="4" t="str">
        <f t="shared" si="0"/>
        <v>Outstanding</v>
      </c>
      <c r="N89" s="13" t="s">
        <v>21</v>
      </c>
    </row>
    <row r="90" spans="1:14" ht="60" customHeight="1" x14ac:dyDescent="0.35">
      <c r="A90" s="11" t="s">
        <v>458</v>
      </c>
      <c r="B90" s="1" t="s">
        <v>459</v>
      </c>
      <c r="C90" s="2" t="s">
        <v>16</v>
      </c>
      <c r="D90" s="3" t="s">
        <v>409</v>
      </c>
      <c r="E90" s="4" t="s">
        <v>18</v>
      </c>
      <c r="F90" s="4" t="s">
        <v>19</v>
      </c>
      <c r="G90" s="4" t="s">
        <v>20</v>
      </c>
      <c r="H90" s="4" t="s">
        <v>21</v>
      </c>
      <c r="I90" s="5" t="s">
        <v>21</v>
      </c>
      <c r="J90" s="1" t="s">
        <v>460</v>
      </c>
      <c r="K90" s="1" t="s">
        <v>461</v>
      </c>
      <c r="L90" s="1" t="s">
        <v>462</v>
      </c>
      <c r="M90" s="4" t="str">
        <f t="shared" si="0"/>
        <v>Outstanding</v>
      </c>
      <c r="N90" s="13" t="s">
        <v>21</v>
      </c>
    </row>
    <row r="91" spans="1:14" ht="60" customHeight="1" x14ac:dyDescent="0.35">
      <c r="A91" s="11" t="s">
        <v>463</v>
      </c>
      <c r="B91" s="1" t="s">
        <v>464</v>
      </c>
      <c r="C91" s="2" t="s">
        <v>16</v>
      </c>
      <c r="D91" s="3" t="s">
        <v>409</v>
      </c>
      <c r="E91" s="4" t="s">
        <v>18</v>
      </c>
      <c r="F91" s="4" t="s">
        <v>19</v>
      </c>
      <c r="G91" s="4" t="s">
        <v>20</v>
      </c>
      <c r="H91" s="4" t="s">
        <v>21</v>
      </c>
      <c r="I91" s="5" t="s">
        <v>21</v>
      </c>
      <c r="J91" s="1" t="s">
        <v>465</v>
      </c>
      <c r="K91" s="1" t="s">
        <v>466</v>
      </c>
      <c r="L91" s="1" t="s">
        <v>467</v>
      </c>
      <c r="M91" s="4" t="str">
        <f t="shared" si="0"/>
        <v>Outstanding</v>
      </c>
      <c r="N91" s="13" t="s">
        <v>21</v>
      </c>
    </row>
    <row r="92" spans="1:14" ht="60" customHeight="1" x14ac:dyDescent="0.35">
      <c r="A92" s="11" t="s">
        <v>468</v>
      </c>
      <c r="B92" s="1" t="s">
        <v>469</v>
      </c>
      <c r="C92" s="2" t="s">
        <v>16</v>
      </c>
      <c r="D92" s="3" t="s">
        <v>409</v>
      </c>
      <c r="E92" s="4" t="s">
        <v>18</v>
      </c>
      <c r="F92" s="4" t="s">
        <v>19</v>
      </c>
      <c r="G92" s="4" t="s">
        <v>20</v>
      </c>
      <c r="H92" s="4" t="s">
        <v>21</v>
      </c>
      <c r="I92" s="5" t="s">
        <v>21</v>
      </c>
      <c r="J92" s="1" t="s">
        <v>470</v>
      </c>
      <c r="K92" s="1" t="s">
        <v>471</v>
      </c>
      <c r="L92" s="1" t="s">
        <v>472</v>
      </c>
      <c r="M92" s="4" t="str">
        <f t="shared" si="0"/>
        <v>Outstanding</v>
      </c>
      <c r="N92" s="13" t="s">
        <v>21</v>
      </c>
    </row>
    <row r="93" spans="1:14" ht="60" customHeight="1" x14ac:dyDescent="0.35">
      <c r="A93" s="11" t="s">
        <v>473</v>
      </c>
      <c r="B93" s="1" t="s">
        <v>474</v>
      </c>
      <c r="C93" s="2" t="s">
        <v>16</v>
      </c>
      <c r="D93" s="3" t="s">
        <v>409</v>
      </c>
      <c r="E93" s="4" t="s">
        <v>18</v>
      </c>
      <c r="F93" s="4" t="s">
        <v>19</v>
      </c>
      <c r="G93" s="4" t="s">
        <v>20</v>
      </c>
      <c r="H93" s="4" t="s">
        <v>21</v>
      </c>
      <c r="I93" s="5" t="s">
        <v>21</v>
      </c>
      <c r="J93" s="1" t="s">
        <v>475</v>
      </c>
      <c r="K93" s="1" t="s">
        <v>476</v>
      </c>
      <c r="L93" s="1" t="s">
        <v>477</v>
      </c>
      <c r="M93" s="4" t="str">
        <f t="shared" si="0"/>
        <v>Outstanding</v>
      </c>
      <c r="N93" s="13" t="s">
        <v>21</v>
      </c>
    </row>
    <row r="94" spans="1:14" ht="60" customHeight="1" x14ac:dyDescent="0.35">
      <c r="A94" s="11" t="s">
        <v>478</v>
      </c>
      <c r="B94" s="1" t="s">
        <v>479</v>
      </c>
      <c r="C94" s="2" t="s">
        <v>52</v>
      </c>
      <c r="D94" s="3" t="s">
        <v>480</v>
      </c>
      <c r="E94" s="4" t="s">
        <v>18</v>
      </c>
      <c r="F94" s="4" t="s">
        <v>19</v>
      </c>
      <c r="G94" s="4" t="s">
        <v>20</v>
      </c>
      <c r="H94" s="4" t="s">
        <v>21</v>
      </c>
      <c r="I94" s="5" t="s">
        <v>21</v>
      </c>
      <c r="J94" s="1" t="s">
        <v>481</v>
      </c>
      <c r="K94" s="1" t="s">
        <v>482</v>
      </c>
      <c r="L94" s="1" t="s">
        <v>483</v>
      </c>
      <c r="M94" s="4" t="str">
        <f t="shared" si="0"/>
        <v>Outstanding</v>
      </c>
      <c r="N94" s="13" t="s">
        <v>21</v>
      </c>
    </row>
    <row r="95" spans="1:14" ht="60" customHeight="1" x14ac:dyDescent="0.35">
      <c r="A95" s="11" t="s">
        <v>484</v>
      </c>
      <c r="B95" s="1" t="s">
        <v>485</v>
      </c>
      <c r="C95" s="2" t="s">
        <v>52</v>
      </c>
      <c r="D95" s="3" t="s">
        <v>480</v>
      </c>
      <c r="E95" s="4" t="s">
        <v>18</v>
      </c>
      <c r="F95" s="4" t="s">
        <v>19</v>
      </c>
      <c r="G95" s="4" t="s">
        <v>20</v>
      </c>
      <c r="H95" s="4" t="s">
        <v>21</v>
      </c>
      <c r="I95" s="5" t="s">
        <v>21</v>
      </c>
      <c r="J95" s="1" t="s">
        <v>486</v>
      </c>
      <c r="K95" s="1" t="s">
        <v>487</v>
      </c>
      <c r="L95" s="1" t="s">
        <v>488</v>
      </c>
      <c r="M95" s="4" t="str">
        <f t="shared" si="0"/>
        <v>Outstanding</v>
      </c>
      <c r="N95" s="13" t="s">
        <v>21</v>
      </c>
    </row>
    <row r="96" spans="1:14" ht="60" customHeight="1" x14ac:dyDescent="0.35">
      <c r="A96" s="11" t="s">
        <v>489</v>
      </c>
      <c r="B96" s="1" t="s">
        <v>490</v>
      </c>
      <c r="C96" s="2" t="s">
        <v>52</v>
      </c>
      <c r="D96" s="3" t="s">
        <v>480</v>
      </c>
      <c r="E96" s="4" t="s">
        <v>18</v>
      </c>
      <c r="F96" s="4" t="s">
        <v>19</v>
      </c>
      <c r="G96" s="4" t="s">
        <v>20</v>
      </c>
      <c r="H96" s="4" t="s">
        <v>21</v>
      </c>
      <c r="I96" s="5" t="s">
        <v>21</v>
      </c>
      <c r="J96" s="1" t="s">
        <v>491</v>
      </c>
      <c r="K96" s="1" t="s">
        <v>492</v>
      </c>
      <c r="L96" s="1" t="s">
        <v>493</v>
      </c>
      <c r="M96" s="4" t="str">
        <f t="shared" si="0"/>
        <v>Outstanding</v>
      </c>
      <c r="N96" s="13" t="s">
        <v>21</v>
      </c>
    </row>
    <row r="97" spans="1:14" ht="60" customHeight="1" x14ac:dyDescent="0.35">
      <c r="A97" s="11" t="s">
        <v>494</v>
      </c>
      <c r="B97" s="1" t="s">
        <v>495</v>
      </c>
      <c r="C97" s="2" t="s">
        <v>52</v>
      </c>
      <c r="D97" s="3" t="s">
        <v>480</v>
      </c>
      <c r="E97" s="4" t="s">
        <v>18</v>
      </c>
      <c r="F97" s="4" t="s">
        <v>19</v>
      </c>
      <c r="G97" s="4" t="s">
        <v>20</v>
      </c>
      <c r="H97" s="4" t="s">
        <v>21</v>
      </c>
      <c r="I97" s="5" t="s">
        <v>21</v>
      </c>
      <c r="J97" s="1" t="s">
        <v>496</v>
      </c>
      <c r="K97" s="1" t="s">
        <v>497</v>
      </c>
      <c r="L97" s="1" t="s">
        <v>498</v>
      </c>
      <c r="M97" s="4" t="str">
        <f t="shared" si="0"/>
        <v>Outstanding</v>
      </c>
      <c r="N97" s="13" t="s">
        <v>21</v>
      </c>
    </row>
    <row r="98" spans="1:14" ht="60" customHeight="1" x14ac:dyDescent="0.35">
      <c r="A98" s="11" t="s">
        <v>499</v>
      </c>
      <c r="B98" s="1" t="s">
        <v>500</v>
      </c>
      <c r="C98" s="2" t="s">
        <v>52</v>
      </c>
      <c r="D98" s="3" t="s">
        <v>480</v>
      </c>
      <c r="E98" s="4" t="s">
        <v>18</v>
      </c>
      <c r="F98" s="4" t="s">
        <v>19</v>
      </c>
      <c r="G98" s="4" t="s">
        <v>20</v>
      </c>
      <c r="H98" s="4" t="s">
        <v>21</v>
      </c>
      <c r="I98" s="5" t="s">
        <v>21</v>
      </c>
      <c r="J98" s="1" t="s">
        <v>501</v>
      </c>
      <c r="K98" s="1" t="s">
        <v>502</v>
      </c>
      <c r="L98" s="1" t="s">
        <v>503</v>
      </c>
      <c r="M98" s="4" t="str">
        <f t="shared" si="0"/>
        <v>Outstanding</v>
      </c>
      <c r="N98" s="13" t="s">
        <v>21</v>
      </c>
    </row>
    <row r="99" spans="1:14" ht="60" customHeight="1" x14ac:dyDescent="0.35">
      <c r="A99" s="11" t="s">
        <v>504</v>
      </c>
      <c r="B99" s="1" t="s">
        <v>505</v>
      </c>
      <c r="C99" s="2" t="s">
        <v>16</v>
      </c>
      <c r="D99" s="3" t="s">
        <v>480</v>
      </c>
      <c r="E99" s="4" t="s">
        <v>18</v>
      </c>
      <c r="F99" s="4" t="s">
        <v>19</v>
      </c>
      <c r="G99" s="4" t="s">
        <v>20</v>
      </c>
      <c r="H99" s="4" t="s">
        <v>21</v>
      </c>
      <c r="I99" s="5" t="s">
        <v>21</v>
      </c>
      <c r="J99" s="1" t="s">
        <v>506</v>
      </c>
      <c r="K99" s="1" t="s">
        <v>507</v>
      </c>
      <c r="L99" s="1" t="s">
        <v>508</v>
      </c>
      <c r="M99" s="4" t="str">
        <f t="shared" si="0"/>
        <v>Outstanding</v>
      </c>
      <c r="N99" s="13" t="s">
        <v>21</v>
      </c>
    </row>
    <row r="100" spans="1:14" ht="60" customHeight="1" x14ac:dyDescent="0.35">
      <c r="A100" s="11" t="s">
        <v>509</v>
      </c>
      <c r="B100" s="1" t="s">
        <v>510</v>
      </c>
      <c r="C100" s="2" t="s">
        <v>16</v>
      </c>
      <c r="D100" s="3" t="s">
        <v>480</v>
      </c>
      <c r="E100" s="4" t="s">
        <v>18</v>
      </c>
      <c r="F100" s="4" t="s">
        <v>19</v>
      </c>
      <c r="G100" s="4" t="s">
        <v>20</v>
      </c>
      <c r="H100" s="4" t="s">
        <v>21</v>
      </c>
      <c r="I100" s="5" t="s">
        <v>21</v>
      </c>
      <c r="J100" s="1" t="s">
        <v>511</v>
      </c>
      <c r="K100" s="1" t="s">
        <v>512</v>
      </c>
      <c r="L100" s="1" t="s">
        <v>513</v>
      </c>
      <c r="M100" s="4" t="str">
        <f t="shared" si="0"/>
        <v>Outstanding</v>
      </c>
      <c r="N100" s="13" t="s">
        <v>21</v>
      </c>
    </row>
    <row r="101" spans="1:14" ht="60" customHeight="1" x14ac:dyDescent="0.35">
      <c r="A101" s="11" t="s">
        <v>514</v>
      </c>
      <c r="B101" s="1" t="s">
        <v>515</v>
      </c>
      <c r="C101" s="2" t="s">
        <v>16</v>
      </c>
      <c r="D101" s="3" t="s">
        <v>480</v>
      </c>
      <c r="E101" s="4" t="s">
        <v>18</v>
      </c>
      <c r="F101" s="4" t="s">
        <v>19</v>
      </c>
      <c r="G101" s="4" t="s">
        <v>20</v>
      </c>
      <c r="H101" s="4" t="s">
        <v>21</v>
      </c>
      <c r="I101" s="5" t="s">
        <v>21</v>
      </c>
      <c r="J101" s="1" t="s">
        <v>516</v>
      </c>
      <c r="K101" s="1" t="s">
        <v>517</v>
      </c>
      <c r="L101" s="1" t="s">
        <v>518</v>
      </c>
      <c r="M101" s="4" t="str">
        <f t="shared" si="0"/>
        <v>Outstanding</v>
      </c>
      <c r="N101" s="13" t="s">
        <v>21</v>
      </c>
    </row>
    <row r="102" spans="1:14" ht="60" customHeight="1" x14ac:dyDescent="0.35">
      <c r="A102" s="11" t="s">
        <v>519</v>
      </c>
      <c r="B102" s="1" t="s">
        <v>520</v>
      </c>
      <c r="C102" s="2" t="s">
        <v>52</v>
      </c>
      <c r="D102" s="3" t="s">
        <v>480</v>
      </c>
      <c r="E102" s="4" t="s">
        <v>18</v>
      </c>
      <c r="F102" s="4" t="s">
        <v>19</v>
      </c>
      <c r="G102" s="4" t="s">
        <v>20</v>
      </c>
      <c r="H102" s="4" t="s">
        <v>21</v>
      </c>
      <c r="I102" s="5" t="s">
        <v>21</v>
      </c>
      <c r="J102" s="1" t="s">
        <v>521</v>
      </c>
      <c r="K102" s="1" t="s">
        <v>522</v>
      </c>
      <c r="L102" s="1" t="s">
        <v>523</v>
      </c>
      <c r="M102" s="4" t="str">
        <f t="shared" si="0"/>
        <v>Outstanding</v>
      </c>
      <c r="N102" s="13" t="s">
        <v>21</v>
      </c>
    </row>
    <row r="103" spans="1:14" ht="60" customHeight="1" x14ac:dyDescent="0.35">
      <c r="A103" s="11" t="s">
        <v>524</v>
      </c>
      <c r="B103" s="1" t="s">
        <v>525</v>
      </c>
      <c r="C103" s="2" t="s">
        <v>52</v>
      </c>
      <c r="D103" s="3" t="s">
        <v>480</v>
      </c>
      <c r="E103" s="4" t="s">
        <v>18</v>
      </c>
      <c r="F103" s="4" t="s">
        <v>19</v>
      </c>
      <c r="G103" s="4" t="s">
        <v>20</v>
      </c>
      <c r="H103" s="4" t="s">
        <v>21</v>
      </c>
      <c r="I103" s="5" t="s">
        <v>21</v>
      </c>
      <c r="J103" s="1" t="s">
        <v>526</v>
      </c>
      <c r="K103" s="1" t="s">
        <v>527</v>
      </c>
      <c r="L103" s="1" t="s">
        <v>528</v>
      </c>
      <c r="M103" s="4" t="str">
        <f t="shared" si="0"/>
        <v>Outstanding</v>
      </c>
      <c r="N103" s="13" t="s">
        <v>21</v>
      </c>
    </row>
    <row r="104" spans="1:14" ht="60" customHeight="1" x14ac:dyDescent="0.35">
      <c r="A104" s="11" t="s">
        <v>529</v>
      </c>
      <c r="B104" s="1" t="s">
        <v>530</v>
      </c>
      <c r="C104" s="2" t="s">
        <v>52</v>
      </c>
      <c r="D104" s="3" t="s">
        <v>480</v>
      </c>
      <c r="E104" s="4" t="s">
        <v>18</v>
      </c>
      <c r="F104" s="4" t="s">
        <v>19</v>
      </c>
      <c r="G104" s="4" t="s">
        <v>20</v>
      </c>
      <c r="H104" s="4" t="s">
        <v>21</v>
      </c>
      <c r="I104" s="5" t="s">
        <v>21</v>
      </c>
      <c r="J104" s="1" t="s">
        <v>531</v>
      </c>
      <c r="K104" s="1" t="s">
        <v>532</v>
      </c>
      <c r="L104" s="1" t="s">
        <v>533</v>
      </c>
      <c r="M104" s="4" t="str">
        <f t="shared" si="0"/>
        <v>Outstanding</v>
      </c>
      <c r="N104" s="13" t="s">
        <v>21</v>
      </c>
    </row>
    <row r="105" spans="1:14" ht="60" customHeight="1" x14ac:dyDescent="0.35">
      <c r="A105" s="12" t="s">
        <v>534</v>
      </c>
      <c r="B105" s="6" t="s">
        <v>535</v>
      </c>
      <c r="C105" s="7" t="s">
        <v>16</v>
      </c>
      <c r="D105" s="8" t="s">
        <v>480</v>
      </c>
      <c r="E105" s="9" t="s">
        <v>18</v>
      </c>
      <c r="F105" s="9" t="s">
        <v>19</v>
      </c>
      <c r="G105" s="9" t="s">
        <v>20</v>
      </c>
      <c r="H105" s="9" t="s">
        <v>21</v>
      </c>
      <c r="I105" s="10" t="s">
        <v>21</v>
      </c>
      <c r="J105" s="6" t="s">
        <v>536</v>
      </c>
      <c r="K105" s="6" t="s">
        <v>537</v>
      </c>
      <c r="L105" s="6" t="s">
        <v>538</v>
      </c>
      <c r="M105" s="9" t="str">
        <f t="shared" si="0"/>
        <v>Outstanding</v>
      </c>
      <c r="N105" s="14" t="s">
        <v>21</v>
      </c>
    </row>
    <row r="109" spans="1:14" ht="32" customHeight="1" x14ac:dyDescent="0.35">
      <c r="A109" s="291" t="s">
        <v>539</v>
      </c>
      <c r="B109" s="291"/>
      <c r="C109" s="291"/>
      <c r="D109" s="291"/>
    </row>
  </sheetData>
  <mergeCells count="1">
    <mergeCell ref="A109:D109"/>
  </mergeCells>
  <conditionalFormatting sqref="C2:C105">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105">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105">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105">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105" xr:uid="{00000000-0002-0000-0200-000000000000}">
      <formula1>"Must,Should,Could,Won't,Unassigned"</formula1>
    </dataValidation>
    <dataValidation type="list" showErrorMessage="1" errorTitle="Invalid Value" error="Please select a value from the list: Low, Medium, High, Unassessed." sqref="F2:F105" xr:uid="{00000000-0002-0000-0200-000001000000}">
      <formula1>"Low,Medium,High,Unassessed"</formula1>
    </dataValidation>
    <dataValidation type="list" showErrorMessage="1" errorTitle="Invalid Value" error="Please select a value from the list: Phase1, Phase2, Phase3, Phase4, Phase5, Pending." sqref="G2:G10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105" xr:uid="{00000000-0002-0000-0200-000003000000}">
      <formula1>"Implemented,Testing,Failed,Compensated,Risk Accepted,N/A"</formula1>
    </dataValidation>
  </dataValidations>
  <hyperlinks>
    <hyperlink ref="A10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695</v>
      </c>
      <c r="C2" s="308" t="s">
        <v>695</v>
      </c>
      <c r="D2" s="308" t="s">
        <v>695</v>
      </c>
      <c r="E2" s="308" t="s">
        <v>695</v>
      </c>
      <c r="F2" s="308" t="s">
        <v>695</v>
      </c>
      <c r="G2" s="308" t="s">
        <v>695</v>
      </c>
      <c r="H2" s="312" t="s">
        <v>696</v>
      </c>
      <c r="I2" s="312" t="s">
        <v>696</v>
      </c>
      <c r="J2" s="312" t="s">
        <v>696</v>
      </c>
      <c r="K2" s="312" t="s">
        <v>696</v>
      </c>
      <c r="L2" s="312" t="s">
        <v>696</v>
      </c>
      <c r="M2" s="311" t="s">
        <v>697</v>
      </c>
      <c r="N2" s="311" t="s">
        <v>697</v>
      </c>
      <c r="O2" s="313" t="s">
        <v>698</v>
      </c>
      <c r="P2" s="313" t="s">
        <v>698</v>
      </c>
      <c r="Q2" s="309" t="s">
        <v>12</v>
      </c>
      <c r="R2" s="309" t="s">
        <v>12</v>
      </c>
      <c r="S2" s="309" t="s">
        <v>12</v>
      </c>
      <c r="T2" s="310" t="s">
        <v>699</v>
      </c>
    </row>
    <row r="3" spans="2:20" ht="35" customHeight="1" x14ac:dyDescent="0.35">
      <c r="B3" s="73" t="s">
        <v>700</v>
      </c>
      <c r="C3" s="73" t="s">
        <v>701</v>
      </c>
      <c r="D3" s="73" t="s">
        <v>702</v>
      </c>
      <c r="E3" s="73" t="s">
        <v>703</v>
      </c>
      <c r="F3" s="73" t="s">
        <v>704</v>
      </c>
      <c r="G3" s="73" t="s">
        <v>10</v>
      </c>
      <c r="H3" s="74" t="s">
        <v>705</v>
      </c>
      <c r="I3" s="74" t="s">
        <v>706</v>
      </c>
      <c r="J3" s="74" t="s">
        <v>707</v>
      </c>
      <c r="K3" s="74" t="s">
        <v>708</v>
      </c>
      <c r="L3" s="74" t="s">
        <v>639</v>
      </c>
      <c r="M3" s="75" t="s">
        <v>709</v>
      </c>
      <c r="N3" s="75" t="s">
        <v>710</v>
      </c>
      <c r="O3" s="76" t="s">
        <v>711</v>
      </c>
      <c r="P3" s="76" t="s">
        <v>712</v>
      </c>
      <c r="Q3" s="77" t="s">
        <v>12</v>
      </c>
      <c r="R3" s="77" t="s">
        <v>713</v>
      </c>
      <c r="S3" s="77" t="s">
        <v>714</v>
      </c>
      <c r="T3" s="78" t="s">
        <v>715</v>
      </c>
    </row>
    <row r="4" spans="2:20" ht="60" customHeight="1" x14ac:dyDescent="0.35">
      <c r="B4" s="79" t="s">
        <v>716</v>
      </c>
      <c r="C4" s="79" t="s">
        <v>717</v>
      </c>
      <c r="D4" s="79" t="s">
        <v>718</v>
      </c>
      <c r="E4" s="79" t="s">
        <v>719</v>
      </c>
      <c r="F4" s="79" t="s">
        <v>720</v>
      </c>
      <c r="G4" s="79" t="s">
        <v>721</v>
      </c>
      <c r="H4" s="79" t="s">
        <v>722</v>
      </c>
      <c r="I4" s="79" t="s">
        <v>723</v>
      </c>
      <c r="J4" s="79" t="s">
        <v>724</v>
      </c>
      <c r="K4" s="79" t="s">
        <v>725</v>
      </c>
      <c r="L4" s="79" t="s">
        <v>726</v>
      </c>
      <c r="M4" s="79" t="s">
        <v>727</v>
      </c>
      <c r="N4" s="79" t="s">
        <v>728</v>
      </c>
      <c r="O4" s="79" t="s">
        <v>729</v>
      </c>
      <c r="P4" s="79" t="s">
        <v>730</v>
      </c>
      <c r="Q4" s="79" t="s">
        <v>731</v>
      </c>
      <c r="R4" s="79" t="s">
        <v>732</v>
      </c>
      <c r="S4" s="79" t="s">
        <v>733</v>
      </c>
      <c r="T4" s="79" t="s">
        <v>734</v>
      </c>
    </row>
    <row r="5" spans="2:20" ht="60" customHeight="1" x14ac:dyDescent="0.35">
      <c r="B5" s="41" t="s">
        <v>735</v>
      </c>
      <c r="C5" s="80"/>
      <c r="D5" s="81"/>
      <c r="E5" s="81" t="s">
        <v>21</v>
      </c>
      <c r="F5" s="81" t="str">
        <f>IF(E5&lt;&gt;"", IFERROR(VLOOKUP(E5, Dashboard!$B50:$F55, 5, FALSE), ""), "")</f>
        <v/>
      </c>
      <c r="G5" s="82"/>
      <c r="H5" s="69"/>
      <c r="I5" s="69"/>
      <c r="J5" s="82"/>
      <c r="K5" s="82"/>
      <c r="L5" s="43"/>
      <c r="M5" s="43"/>
      <c r="N5" s="82"/>
      <c r="O5" s="82"/>
      <c r="P5" s="43"/>
      <c r="Q5" s="43" t="s">
        <v>21</v>
      </c>
      <c r="R5" s="82"/>
      <c r="S5" s="69"/>
      <c r="T5" s="82"/>
    </row>
    <row r="6" spans="2:20" ht="60" customHeight="1" x14ac:dyDescent="0.35">
      <c r="B6" s="41" t="s">
        <v>736</v>
      </c>
      <c r="C6" s="80"/>
      <c r="D6" s="81"/>
      <c r="E6" s="81" t="s">
        <v>21</v>
      </c>
      <c r="F6" s="81" t="str">
        <f>IF(E6&lt;&gt;"", IFERROR(VLOOKUP(E6, Dashboard!$B50:$F55, 5, FALSE), ""), "")</f>
        <v/>
      </c>
      <c r="G6" s="82"/>
      <c r="H6" s="69"/>
      <c r="I6" s="69"/>
      <c r="J6" s="82"/>
      <c r="K6" s="82"/>
      <c r="L6" s="43"/>
      <c r="M6" s="43"/>
      <c r="N6" s="82"/>
      <c r="O6" s="82"/>
      <c r="P6" s="43"/>
      <c r="Q6" s="43" t="s">
        <v>21</v>
      </c>
      <c r="R6" s="82"/>
      <c r="S6" s="69"/>
      <c r="T6" s="82"/>
    </row>
    <row r="7" spans="2:20" ht="60" customHeight="1" x14ac:dyDescent="0.35">
      <c r="B7" s="41" t="s">
        <v>737</v>
      </c>
      <c r="C7" s="80"/>
      <c r="D7" s="81"/>
      <c r="E7" s="81" t="s">
        <v>21</v>
      </c>
      <c r="F7" s="81" t="str">
        <f>IF(E7&lt;&gt;"", IFERROR(VLOOKUP(E7, Dashboard!$B50:$F55, 5, FALSE), ""), "")</f>
        <v/>
      </c>
      <c r="G7" s="82"/>
      <c r="H7" s="69"/>
      <c r="I7" s="69"/>
      <c r="J7" s="82"/>
      <c r="K7" s="82"/>
      <c r="L7" s="43"/>
      <c r="M7" s="43"/>
      <c r="N7" s="82"/>
      <c r="O7" s="82"/>
      <c r="P7" s="43"/>
      <c r="Q7" s="43" t="s">
        <v>21</v>
      </c>
      <c r="R7" s="82"/>
      <c r="S7" s="69"/>
      <c r="T7" s="82"/>
    </row>
    <row r="8" spans="2:20" ht="60" customHeight="1" x14ac:dyDescent="0.35">
      <c r="B8" s="41" t="s">
        <v>738</v>
      </c>
      <c r="C8" s="80"/>
      <c r="D8" s="81"/>
      <c r="E8" s="81" t="s">
        <v>21</v>
      </c>
      <c r="F8" s="81" t="str">
        <f>IF(E8&lt;&gt;"", IFERROR(VLOOKUP(E8, Dashboard!$B50:$F55, 5, FALSE), ""), "")</f>
        <v/>
      </c>
      <c r="G8" s="82"/>
      <c r="H8" s="69"/>
      <c r="I8" s="69"/>
      <c r="J8" s="82"/>
      <c r="K8" s="82"/>
      <c r="L8" s="43"/>
      <c r="M8" s="43"/>
      <c r="N8" s="82"/>
      <c r="O8" s="82"/>
      <c r="P8" s="43"/>
      <c r="Q8" s="43" t="s">
        <v>21</v>
      </c>
      <c r="R8" s="82"/>
      <c r="S8" s="69"/>
      <c r="T8" s="82"/>
    </row>
    <row r="9" spans="2:20" ht="60" customHeight="1" x14ac:dyDescent="0.35">
      <c r="B9" s="41" t="s">
        <v>739</v>
      </c>
      <c r="C9" s="80"/>
      <c r="D9" s="81"/>
      <c r="E9" s="81" t="s">
        <v>21</v>
      </c>
      <c r="F9" s="81" t="str">
        <f>IF(E9&lt;&gt;"", IFERROR(VLOOKUP(E9, Dashboard!$B50:$F55, 5, FALSE), ""), "")</f>
        <v/>
      </c>
      <c r="G9" s="82"/>
      <c r="H9" s="69"/>
      <c r="I9" s="69"/>
      <c r="J9" s="82"/>
      <c r="K9" s="82"/>
      <c r="L9" s="43"/>
      <c r="M9" s="43"/>
      <c r="N9" s="82"/>
      <c r="O9" s="82"/>
      <c r="P9" s="43"/>
      <c r="Q9" s="43" t="s">
        <v>21</v>
      </c>
      <c r="R9" s="82"/>
      <c r="S9" s="69"/>
      <c r="T9" s="82"/>
    </row>
    <row r="10" spans="2:20" ht="60" customHeight="1" x14ac:dyDescent="0.35">
      <c r="B10" s="41" t="s">
        <v>740</v>
      </c>
      <c r="C10" s="80"/>
      <c r="D10" s="81"/>
      <c r="E10" s="81" t="s">
        <v>21</v>
      </c>
      <c r="F10" s="81" t="str">
        <f>IF(E10&lt;&gt;"", IFERROR(VLOOKUP(E10, Dashboard!$B50:$F55, 5, FALSE), ""), "")</f>
        <v/>
      </c>
      <c r="G10" s="82"/>
      <c r="H10" s="69"/>
      <c r="I10" s="69"/>
      <c r="J10" s="82"/>
      <c r="K10" s="82"/>
      <c r="L10" s="43"/>
      <c r="M10" s="43"/>
      <c r="N10" s="82"/>
      <c r="O10" s="82"/>
      <c r="P10" s="43"/>
      <c r="Q10" s="43" t="s">
        <v>21</v>
      </c>
      <c r="R10" s="82"/>
      <c r="S10" s="69"/>
      <c r="T10" s="82"/>
    </row>
    <row r="11" spans="2:20" ht="60" customHeight="1" x14ac:dyDescent="0.35">
      <c r="B11" s="41" t="s">
        <v>741</v>
      </c>
      <c r="C11" s="80"/>
      <c r="D11" s="81"/>
      <c r="E11" s="81" t="s">
        <v>21</v>
      </c>
      <c r="F11" s="81" t="str">
        <f>IF(E11&lt;&gt;"", IFERROR(VLOOKUP(E11, Dashboard!$B50:$F55, 5, FALSE), ""), "")</f>
        <v/>
      </c>
      <c r="G11" s="82"/>
      <c r="H11" s="69"/>
      <c r="I11" s="69"/>
      <c r="J11" s="82"/>
      <c r="K11" s="82"/>
      <c r="L11" s="43"/>
      <c r="M11" s="43"/>
      <c r="N11" s="82"/>
      <c r="O11" s="82"/>
      <c r="P11" s="43"/>
      <c r="Q11" s="43" t="s">
        <v>21</v>
      </c>
      <c r="R11" s="82"/>
      <c r="S11" s="69"/>
      <c r="T11" s="82"/>
    </row>
    <row r="12" spans="2:20" ht="60" customHeight="1" x14ac:dyDescent="0.35">
      <c r="B12" s="41" t="s">
        <v>742</v>
      </c>
      <c r="C12" s="80"/>
      <c r="D12" s="81"/>
      <c r="E12" s="81" t="s">
        <v>21</v>
      </c>
      <c r="F12" s="81" t="str">
        <f>IF(E12&lt;&gt;"", IFERROR(VLOOKUP(E12, Dashboard!$B50:$F55, 5, FALSE), ""), "")</f>
        <v/>
      </c>
      <c r="G12" s="82"/>
      <c r="H12" s="69"/>
      <c r="I12" s="69"/>
      <c r="J12" s="82"/>
      <c r="K12" s="82"/>
      <c r="L12" s="43"/>
      <c r="M12" s="43"/>
      <c r="N12" s="82"/>
      <c r="O12" s="82"/>
      <c r="P12" s="43"/>
      <c r="Q12" s="43" t="s">
        <v>21</v>
      </c>
      <c r="R12" s="82"/>
      <c r="S12" s="69"/>
      <c r="T12" s="82"/>
    </row>
    <row r="13" spans="2:20" ht="60" customHeight="1" x14ac:dyDescent="0.35">
      <c r="B13" s="41" t="s">
        <v>743</v>
      </c>
      <c r="C13" s="80"/>
      <c r="D13" s="81"/>
      <c r="E13" s="81" t="s">
        <v>21</v>
      </c>
      <c r="F13" s="81" t="str">
        <f>IF(E13&lt;&gt;"", IFERROR(VLOOKUP(E13, Dashboard!$B50:$F55, 5, FALSE), ""), "")</f>
        <v/>
      </c>
      <c r="G13" s="82"/>
      <c r="H13" s="69"/>
      <c r="I13" s="69"/>
      <c r="J13" s="82"/>
      <c r="K13" s="82"/>
      <c r="L13" s="43"/>
      <c r="M13" s="43"/>
      <c r="N13" s="82"/>
      <c r="O13" s="82"/>
      <c r="P13" s="43"/>
      <c r="Q13" s="43" t="s">
        <v>21</v>
      </c>
      <c r="R13" s="82"/>
      <c r="S13" s="69"/>
      <c r="T13" s="82"/>
    </row>
    <row r="14" spans="2:20" ht="60" customHeight="1" x14ac:dyDescent="0.35">
      <c r="B14" s="41" t="s">
        <v>744</v>
      </c>
      <c r="C14" s="80"/>
      <c r="D14" s="81"/>
      <c r="E14" s="81" t="s">
        <v>21</v>
      </c>
      <c r="F14" s="81" t="str">
        <f>IF(E14&lt;&gt;"", IFERROR(VLOOKUP(E14, Dashboard!$B50:$F55, 5, FALSE), ""), "")</f>
        <v/>
      </c>
      <c r="G14" s="82"/>
      <c r="H14" s="69"/>
      <c r="I14" s="69"/>
      <c r="J14" s="82"/>
      <c r="K14" s="82"/>
      <c r="L14" s="43"/>
      <c r="M14" s="43"/>
      <c r="N14" s="82"/>
      <c r="O14" s="82"/>
      <c r="P14" s="43"/>
      <c r="Q14" s="43" t="s">
        <v>21</v>
      </c>
      <c r="R14" s="82"/>
      <c r="S14" s="69"/>
      <c r="T14" s="82"/>
    </row>
    <row r="15" spans="2:20" ht="60" customHeight="1" x14ac:dyDescent="0.35">
      <c r="B15" s="41" t="s">
        <v>745</v>
      </c>
      <c r="C15" s="80"/>
      <c r="D15" s="81"/>
      <c r="E15" s="81" t="s">
        <v>21</v>
      </c>
      <c r="F15" s="81" t="str">
        <f>IF(E15&lt;&gt;"", IFERROR(VLOOKUP(E15, Dashboard!$B50:$F55, 5, FALSE), ""), "")</f>
        <v/>
      </c>
      <c r="G15" s="82"/>
      <c r="H15" s="69"/>
      <c r="I15" s="69"/>
      <c r="J15" s="82"/>
      <c r="K15" s="82"/>
      <c r="L15" s="43"/>
      <c r="M15" s="43"/>
      <c r="N15" s="82"/>
      <c r="O15" s="82"/>
      <c r="P15" s="43"/>
      <c r="Q15" s="43" t="s">
        <v>21</v>
      </c>
      <c r="R15" s="82"/>
      <c r="S15" s="69"/>
      <c r="T15" s="82"/>
    </row>
    <row r="16" spans="2:20" ht="60" customHeight="1" x14ac:dyDescent="0.35">
      <c r="B16" s="41" t="s">
        <v>746</v>
      </c>
      <c r="C16" s="80"/>
      <c r="D16" s="81"/>
      <c r="E16" s="81" t="s">
        <v>21</v>
      </c>
      <c r="F16" s="81" t="str">
        <f>IF(E16&lt;&gt;"", IFERROR(VLOOKUP(E16, Dashboard!$B50:$F55, 5, FALSE), ""), "")</f>
        <v/>
      </c>
      <c r="G16" s="82"/>
      <c r="H16" s="69"/>
      <c r="I16" s="69"/>
      <c r="J16" s="82"/>
      <c r="K16" s="82"/>
      <c r="L16" s="43"/>
      <c r="M16" s="43"/>
      <c r="N16" s="82"/>
      <c r="O16" s="82"/>
      <c r="P16" s="43"/>
      <c r="Q16" s="43" t="s">
        <v>21</v>
      </c>
      <c r="R16" s="82"/>
      <c r="S16" s="69"/>
      <c r="T16" s="82"/>
    </row>
    <row r="17" spans="2:20" ht="60" customHeight="1" x14ac:dyDescent="0.35">
      <c r="B17" s="41" t="s">
        <v>747</v>
      </c>
      <c r="C17" s="80"/>
      <c r="D17" s="81"/>
      <c r="E17" s="81" t="s">
        <v>21</v>
      </c>
      <c r="F17" s="81" t="str">
        <f>IF(E17&lt;&gt;"", IFERROR(VLOOKUP(E17, Dashboard!$B50:$F55, 5, FALSE), ""), "")</f>
        <v/>
      </c>
      <c r="G17" s="82"/>
      <c r="H17" s="69"/>
      <c r="I17" s="69"/>
      <c r="J17" s="82"/>
      <c r="K17" s="82"/>
      <c r="L17" s="43"/>
      <c r="M17" s="43"/>
      <c r="N17" s="82"/>
      <c r="O17" s="82"/>
      <c r="P17" s="43"/>
      <c r="Q17" s="43" t="s">
        <v>21</v>
      </c>
      <c r="R17" s="82"/>
      <c r="S17" s="69"/>
      <c r="T17" s="82"/>
    </row>
    <row r="18" spans="2:20" ht="60" customHeight="1" x14ac:dyDescent="0.35">
      <c r="B18" s="41" t="s">
        <v>748</v>
      </c>
      <c r="C18" s="80"/>
      <c r="D18" s="81"/>
      <c r="E18" s="81" t="s">
        <v>21</v>
      </c>
      <c r="F18" s="81" t="str">
        <f>IF(E18&lt;&gt;"", IFERROR(VLOOKUP(E18, Dashboard!$B50:$F55, 5, FALSE), ""), "")</f>
        <v/>
      </c>
      <c r="G18" s="82"/>
      <c r="H18" s="69"/>
      <c r="I18" s="69"/>
      <c r="J18" s="82"/>
      <c r="K18" s="82"/>
      <c r="L18" s="43"/>
      <c r="M18" s="43"/>
      <c r="N18" s="82"/>
      <c r="O18" s="82"/>
      <c r="P18" s="43"/>
      <c r="Q18" s="43" t="s">
        <v>21</v>
      </c>
      <c r="R18" s="82"/>
      <c r="S18" s="69"/>
      <c r="T18" s="82"/>
    </row>
    <row r="19" spans="2:20" ht="60" customHeight="1" x14ac:dyDescent="0.35">
      <c r="B19" s="41" t="s">
        <v>749</v>
      </c>
      <c r="C19" s="80"/>
      <c r="D19" s="81"/>
      <c r="E19" s="81" t="s">
        <v>21</v>
      </c>
      <c r="F19" s="81" t="str">
        <f>IF(E19&lt;&gt;"", IFERROR(VLOOKUP(E19, Dashboard!$B50:$F55, 5, FALSE), ""), "")</f>
        <v/>
      </c>
      <c r="G19" s="82"/>
      <c r="H19" s="69"/>
      <c r="I19" s="69"/>
      <c r="J19" s="82"/>
      <c r="K19" s="82"/>
      <c r="L19" s="43"/>
      <c r="M19" s="43"/>
      <c r="N19" s="82"/>
      <c r="O19" s="82"/>
      <c r="P19" s="43"/>
      <c r="Q19" s="43" t="s">
        <v>21</v>
      </c>
      <c r="R19" s="82"/>
      <c r="S19" s="69"/>
      <c r="T19" s="82"/>
    </row>
    <row r="20" spans="2:20" ht="60" customHeight="1" x14ac:dyDescent="0.35">
      <c r="B20" s="41" t="s">
        <v>750</v>
      </c>
      <c r="C20" s="80"/>
      <c r="D20" s="81"/>
      <c r="E20" s="81" t="s">
        <v>21</v>
      </c>
      <c r="F20" s="81" t="str">
        <f>IF(E20&lt;&gt;"", IFERROR(VLOOKUP(E20, Dashboard!$B50:$F55, 5, FALSE), ""), "")</f>
        <v/>
      </c>
      <c r="G20" s="82"/>
      <c r="H20" s="69"/>
      <c r="I20" s="69"/>
      <c r="J20" s="82"/>
      <c r="K20" s="82"/>
      <c r="L20" s="43"/>
      <c r="M20" s="43"/>
      <c r="N20" s="82"/>
      <c r="O20" s="82"/>
      <c r="P20" s="43"/>
      <c r="Q20" s="43" t="s">
        <v>21</v>
      </c>
      <c r="R20" s="82"/>
      <c r="S20" s="69"/>
      <c r="T20" s="82"/>
    </row>
    <row r="21" spans="2:20" ht="60" customHeight="1" x14ac:dyDescent="0.35">
      <c r="B21" s="41" t="s">
        <v>751</v>
      </c>
      <c r="C21" s="80"/>
      <c r="D21" s="81"/>
      <c r="E21" s="81" t="s">
        <v>21</v>
      </c>
      <c r="F21" s="81" t="str">
        <f>IF(E21&lt;&gt;"", IFERROR(VLOOKUP(E21, Dashboard!$B50:$F55, 5, FALSE), ""), "")</f>
        <v/>
      </c>
      <c r="G21" s="82"/>
      <c r="H21" s="69"/>
      <c r="I21" s="69"/>
      <c r="J21" s="82"/>
      <c r="K21" s="82"/>
      <c r="L21" s="43"/>
      <c r="M21" s="43"/>
      <c r="N21" s="82"/>
      <c r="O21" s="82"/>
      <c r="P21" s="43"/>
      <c r="Q21" s="43" t="s">
        <v>21</v>
      </c>
      <c r="R21" s="82"/>
      <c r="S21" s="69"/>
      <c r="T21" s="82"/>
    </row>
    <row r="22" spans="2:20" ht="60" customHeight="1" x14ac:dyDescent="0.35">
      <c r="B22" s="41" t="s">
        <v>752</v>
      </c>
      <c r="C22" s="80"/>
      <c r="D22" s="81"/>
      <c r="E22" s="81" t="s">
        <v>21</v>
      </c>
      <c r="F22" s="81" t="str">
        <f>IF(E22&lt;&gt;"", IFERROR(VLOOKUP(E22, Dashboard!$B50:$F55, 5, FALSE), ""), "")</f>
        <v/>
      </c>
      <c r="G22" s="82"/>
      <c r="H22" s="69"/>
      <c r="I22" s="69"/>
      <c r="J22" s="82"/>
      <c r="K22" s="82"/>
      <c r="L22" s="43"/>
      <c r="M22" s="43"/>
      <c r="N22" s="82"/>
      <c r="O22" s="82"/>
      <c r="P22" s="43"/>
      <c r="Q22" s="43" t="s">
        <v>21</v>
      </c>
      <c r="R22" s="82"/>
      <c r="S22" s="69"/>
      <c r="T22" s="82"/>
    </row>
    <row r="23" spans="2:20" ht="60" customHeight="1" x14ac:dyDescent="0.35">
      <c r="B23" s="41" t="s">
        <v>753</v>
      </c>
      <c r="C23" s="80"/>
      <c r="D23" s="81"/>
      <c r="E23" s="81" t="s">
        <v>21</v>
      </c>
      <c r="F23" s="81" t="str">
        <f>IF(E23&lt;&gt;"", IFERROR(VLOOKUP(E23, Dashboard!$B50:$F55, 5, FALSE), ""), "")</f>
        <v/>
      </c>
      <c r="G23" s="82"/>
      <c r="H23" s="69"/>
      <c r="I23" s="69"/>
      <c r="J23" s="82"/>
      <c r="K23" s="82"/>
      <c r="L23" s="43"/>
      <c r="M23" s="43"/>
      <c r="N23" s="82"/>
      <c r="O23" s="82"/>
      <c r="P23" s="43"/>
      <c r="Q23" s="43" t="s">
        <v>21</v>
      </c>
      <c r="R23" s="82"/>
      <c r="S23" s="69"/>
      <c r="T23" s="82"/>
    </row>
    <row r="24" spans="2:20" ht="60" customHeight="1" x14ac:dyDescent="0.35">
      <c r="B24" s="41" t="s">
        <v>754</v>
      </c>
      <c r="C24" s="80"/>
      <c r="D24" s="81"/>
      <c r="E24" s="81" t="s">
        <v>21</v>
      </c>
      <c r="F24" s="81" t="str">
        <f>IF(E24&lt;&gt;"", IFERROR(VLOOKUP(E24, Dashboard!$B50:$F55, 5, FALSE), ""), "")</f>
        <v/>
      </c>
      <c r="G24" s="82"/>
      <c r="H24" s="69"/>
      <c r="I24" s="69"/>
      <c r="J24" s="82"/>
      <c r="K24" s="82"/>
      <c r="L24" s="43"/>
      <c r="M24" s="43"/>
      <c r="N24" s="82"/>
      <c r="O24" s="82"/>
      <c r="P24" s="43"/>
      <c r="Q24" s="43" t="s">
        <v>21</v>
      </c>
      <c r="R24" s="82"/>
      <c r="S24" s="69"/>
      <c r="T24" s="82"/>
    </row>
    <row r="25" spans="2:20" ht="60" customHeight="1" x14ac:dyDescent="0.35">
      <c r="B25" s="41" t="s">
        <v>755</v>
      </c>
      <c r="C25" s="80"/>
      <c r="D25" s="81"/>
      <c r="E25" s="81" t="s">
        <v>21</v>
      </c>
      <c r="F25" s="81" t="str">
        <f>IF(E25&lt;&gt;"", IFERROR(VLOOKUP(E25, Dashboard!$B50:$F55, 5, FALSE), ""), "")</f>
        <v/>
      </c>
      <c r="G25" s="82"/>
      <c r="H25" s="69"/>
      <c r="I25" s="69"/>
      <c r="J25" s="82"/>
      <c r="K25" s="82"/>
      <c r="L25" s="43"/>
      <c r="M25" s="43"/>
      <c r="N25" s="82"/>
      <c r="O25" s="82"/>
      <c r="P25" s="43"/>
      <c r="Q25" s="43" t="s">
        <v>21</v>
      </c>
      <c r="R25" s="82"/>
      <c r="S25" s="69"/>
      <c r="T25" s="82"/>
    </row>
    <row r="26" spans="2:20" ht="60" customHeight="1" x14ac:dyDescent="0.35">
      <c r="B26" s="41" t="s">
        <v>756</v>
      </c>
      <c r="C26" s="80"/>
      <c r="D26" s="81"/>
      <c r="E26" s="81" t="s">
        <v>21</v>
      </c>
      <c r="F26" s="81" t="str">
        <f>IF(E26&lt;&gt;"", IFERROR(VLOOKUP(E26, Dashboard!$B50:$F55, 5, FALSE), ""), "")</f>
        <v/>
      </c>
      <c r="G26" s="82"/>
      <c r="H26" s="69"/>
      <c r="I26" s="69"/>
      <c r="J26" s="82"/>
      <c r="K26" s="82"/>
      <c r="L26" s="43"/>
      <c r="M26" s="43"/>
      <c r="N26" s="82"/>
      <c r="O26" s="82"/>
      <c r="P26" s="43"/>
      <c r="Q26" s="43" t="s">
        <v>21</v>
      </c>
      <c r="R26" s="82"/>
      <c r="S26" s="69"/>
      <c r="T26" s="82"/>
    </row>
    <row r="27" spans="2:20" ht="60" customHeight="1" x14ac:dyDescent="0.35">
      <c r="B27" s="41" t="s">
        <v>757</v>
      </c>
      <c r="C27" s="80"/>
      <c r="D27" s="81"/>
      <c r="E27" s="81" t="s">
        <v>21</v>
      </c>
      <c r="F27" s="81" t="str">
        <f>IF(E27&lt;&gt;"", IFERROR(VLOOKUP(E27, Dashboard!$B50:$F55, 5, FALSE), ""), "")</f>
        <v/>
      </c>
      <c r="G27" s="82"/>
      <c r="H27" s="69"/>
      <c r="I27" s="69"/>
      <c r="J27" s="82"/>
      <c r="K27" s="82"/>
      <c r="L27" s="43"/>
      <c r="M27" s="43"/>
      <c r="N27" s="82"/>
      <c r="O27" s="82"/>
      <c r="P27" s="43"/>
      <c r="Q27" s="43" t="s">
        <v>21</v>
      </c>
      <c r="R27" s="82"/>
      <c r="S27" s="69"/>
      <c r="T27" s="82"/>
    </row>
    <row r="28" spans="2:20" ht="60" customHeight="1" x14ac:dyDescent="0.35">
      <c r="B28" s="41" t="s">
        <v>758</v>
      </c>
      <c r="C28" s="80"/>
      <c r="D28" s="81"/>
      <c r="E28" s="81" t="s">
        <v>21</v>
      </c>
      <c r="F28" s="81" t="str">
        <f>IF(E28&lt;&gt;"", IFERROR(VLOOKUP(E28, Dashboard!$B50:$F55, 5, FALSE), ""), "")</f>
        <v/>
      </c>
      <c r="G28" s="82"/>
      <c r="H28" s="69"/>
      <c r="I28" s="69"/>
      <c r="J28" s="82"/>
      <c r="K28" s="82"/>
      <c r="L28" s="43"/>
      <c r="M28" s="43"/>
      <c r="N28" s="82"/>
      <c r="O28" s="82"/>
      <c r="P28" s="43"/>
      <c r="Q28" s="43" t="s">
        <v>21</v>
      </c>
      <c r="R28" s="82"/>
      <c r="S28" s="69"/>
      <c r="T28" s="82"/>
    </row>
    <row r="29" spans="2:20" ht="60" customHeight="1" x14ac:dyDescent="0.35">
      <c r="B29" s="41" t="s">
        <v>759</v>
      </c>
      <c r="C29" s="80"/>
      <c r="D29" s="81"/>
      <c r="E29" s="81" t="s">
        <v>21</v>
      </c>
      <c r="F29" s="81" t="str">
        <f>IF(E29&lt;&gt;"", IFERROR(VLOOKUP(E29, Dashboard!$B50:$F55, 5, FALSE), ""), "")</f>
        <v/>
      </c>
      <c r="G29" s="82"/>
      <c r="H29" s="69"/>
      <c r="I29" s="69"/>
      <c r="J29" s="82"/>
      <c r="K29" s="82"/>
      <c r="L29" s="43"/>
      <c r="M29" s="43"/>
      <c r="N29" s="82"/>
      <c r="O29" s="82"/>
      <c r="P29" s="43"/>
      <c r="Q29" s="43" t="s">
        <v>21</v>
      </c>
      <c r="R29" s="82"/>
      <c r="S29" s="69"/>
      <c r="T29" s="82"/>
    </row>
    <row r="30" spans="2:20" ht="60" customHeight="1" x14ac:dyDescent="0.35">
      <c r="B30" s="41" t="s">
        <v>760</v>
      </c>
      <c r="C30" s="80"/>
      <c r="D30" s="81"/>
      <c r="E30" s="81" t="s">
        <v>21</v>
      </c>
      <c r="F30" s="81" t="str">
        <f>IF(E30&lt;&gt;"", IFERROR(VLOOKUP(E30, Dashboard!$B50:$F55, 5, FALSE), ""), "")</f>
        <v/>
      </c>
      <c r="G30" s="82"/>
      <c r="H30" s="69"/>
      <c r="I30" s="69"/>
      <c r="J30" s="82"/>
      <c r="K30" s="82"/>
      <c r="L30" s="43"/>
      <c r="M30" s="43"/>
      <c r="N30" s="82"/>
      <c r="O30" s="82"/>
      <c r="P30" s="43"/>
      <c r="Q30" s="43" t="s">
        <v>21</v>
      </c>
      <c r="R30" s="82"/>
      <c r="S30" s="69"/>
      <c r="T30" s="82"/>
    </row>
    <row r="31" spans="2:20" ht="60" customHeight="1" x14ac:dyDescent="0.35">
      <c r="B31" s="41" t="s">
        <v>761</v>
      </c>
      <c r="C31" s="80"/>
      <c r="D31" s="81"/>
      <c r="E31" s="81" t="s">
        <v>21</v>
      </c>
      <c r="F31" s="81" t="str">
        <f>IF(E31&lt;&gt;"", IFERROR(VLOOKUP(E31, Dashboard!$B50:$F55, 5, FALSE), ""), "")</f>
        <v/>
      </c>
      <c r="G31" s="82"/>
      <c r="H31" s="69"/>
      <c r="I31" s="69"/>
      <c r="J31" s="82"/>
      <c r="K31" s="82"/>
      <c r="L31" s="43"/>
      <c r="M31" s="43"/>
      <c r="N31" s="82"/>
      <c r="O31" s="82"/>
      <c r="P31" s="43"/>
      <c r="Q31" s="43" t="s">
        <v>21</v>
      </c>
      <c r="R31" s="82"/>
      <c r="S31" s="69"/>
      <c r="T31" s="82"/>
    </row>
    <row r="32" spans="2:20" ht="60" customHeight="1" x14ac:dyDescent="0.35">
      <c r="B32" s="41" t="s">
        <v>762</v>
      </c>
      <c r="C32" s="80"/>
      <c r="D32" s="81"/>
      <c r="E32" s="81" t="s">
        <v>21</v>
      </c>
      <c r="F32" s="81" t="str">
        <f>IF(E32&lt;&gt;"", IFERROR(VLOOKUP(E32, Dashboard!$B50:$F55, 5, FALSE), ""), "")</f>
        <v/>
      </c>
      <c r="G32" s="82"/>
      <c r="H32" s="69"/>
      <c r="I32" s="69"/>
      <c r="J32" s="82"/>
      <c r="K32" s="82"/>
      <c r="L32" s="43"/>
      <c r="M32" s="43"/>
      <c r="N32" s="82"/>
      <c r="O32" s="82"/>
      <c r="P32" s="43"/>
      <c r="Q32" s="43" t="s">
        <v>21</v>
      </c>
      <c r="R32" s="82"/>
      <c r="S32" s="69"/>
      <c r="T32" s="82"/>
    </row>
    <row r="33" spans="2:20" ht="60" customHeight="1" x14ac:dyDescent="0.35">
      <c r="B33" s="41" t="s">
        <v>763</v>
      </c>
      <c r="C33" s="80"/>
      <c r="D33" s="81"/>
      <c r="E33" s="81" t="s">
        <v>21</v>
      </c>
      <c r="F33" s="81" t="str">
        <f>IF(E33&lt;&gt;"", IFERROR(VLOOKUP(E33, Dashboard!$B50:$F55, 5, FALSE), ""), "")</f>
        <v/>
      </c>
      <c r="G33" s="82"/>
      <c r="H33" s="69"/>
      <c r="I33" s="69"/>
      <c r="J33" s="82"/>
      <c r="K33" s="82"/>
      <c r="L33" s="43"/>
      <c r="M33" s="43"/>
      <c r="N33" s="82"/>
      <c r="O33" s="82"/>
      <c r="P33" s="43"/>
      <c r="Q33" s="43" t="s">
        <v>21</v>
      </c>
      <c r="R33" s="82"/>
      <c r="S33" s="69"/>
      <c r="T33" s="82"/>
    </row>
    <row r="34" spans="2:20" ht="60" customHeight="1" x14ac:dyDescent="0.35">
      <c r="B34" s="41" t="s">
        <v>764</v>
      </c>
      <c r="C34" s="80"/>
      <c r="D34" s="81"/>
      <c r="E34" s="81" t="s">
        <v>21</v>
      </c>
      <c r="F34" s="81" t="str">
        <f>IF(E34&lt;&gt;"", IFERROR(VLOOKUP(E34, Dashboard!$B50:$F55, 5, FALSE), ""), "")</f>
        <v/>
      </c>
      <c r="G34" s="82"/>
      <c r="H34" s="69"/>
      <c r="I34" s="69"/>
      <c r="J34" s="82"/>
      <c r="K34" s="82"/>
      <c r="L34" s="43"/>
      <c r="M34" s="43"/>
      <c r="N34" s="82"/>
      <c r="O34" s="82"/>
      <c r="P34" s="43"/>
      <c r="Q34" s="43" t="s">
        <v>21</v>
      </c>
      <c r="R34" s="82"/>
      <c r="S34" s="69"/>
      <c r="T34" s="82"/>
    </row>
    <row r="35" spans="2:20" ht="60" customHeight="1" x14ac:dyDescent="0.35">
      <c r="B35" s="41" t="s">
        <v>765</v>
      </c>
      <c r="C35" s="80"/>
      <c r="D35" s="81"/>
      <c r="E35" s="81" t="s">
        <v>21</v>
      </c>
      <c r="F35" s="81" t="str">
        <f>IF(E35&lt;&gt;"", IFERROR(VLOOKUP(E35, Dashboard!$B50:$F55, 5, FALSE), ""), "")</f>
        <v/>
      </c>
      <c r="G35" s="82"/>
      <c r="H35" s="69"/>
      <c r="I35" s="69"/>
      <c r="J35" s="82"/>
      <c r="K35" s="82"/>
      <c r="L35" s="43"/>
      <c r="M35" s="43"/>
      <c r="N35" s="82"/>
      <c r="O35" s="82"/>
      <c r="P35" s="43"/>
      <c r="Q35" s="43" t="s">
        <v>21</v>
      </c>
      <c r="R35" s="82"/>
      <c r="S35" s="69"/>
      <c r="T35" s="82"/>
    </row>
    <row r="36" spans="2:20" ht="60" customHeight="1" x14ac:dyDescent="0.35">
      <c r="B36" s="41" t="s">
        <v>766</v>
      </c>
      <c r="C36" s="80"/>
      <c r="D36" s="81"/>
      <c r="E36" s="81" t="s">
        <v>21</v>
      </c>
      <c r="F36" s="81" t="str">
        <f>IF(E36&lt;&gt;"", IFERROR(VLOOKUP(E36, Dashboard!$B50:$F55, 5, FALSE), ""), "")</f>
        <v/>
      </c>
      <c r="G36" s="82"/>
      <c r="H36" s="69"/>
      <c r="I36" s="69"/>
      <c r="J36" s="82"/>
      <c r="K36" s="82"/>
      <c r="L36" s="43"/>
      <c r="M36" s="43"/>
      <c r="N36" s="82"/>
      <c r="O36" s="82"/>
      <c r="P36" s="43"/>
      <c r="Q36" s="43" t="s">
        <v>21</v>
      </c>
      <c r="R36" s="82"/>
      <c r="S36" s="69"/>
      <c r="T36" s="82"/>
    </row>
    <row r="37" spans="2:20" ht="60" customHeight="1" x14ac:dyDescent="0.35">
      <c r="B37" s="41" t="s">
        <v>767</v>
      </c>
      <c r="C37" s="80"/>
      <c r="D37" s="81"/>
      <c r="E37" s="81" t="s">
        <v>21</v>
      </c>
      <c r="F37" s="81" t="str">
        <f>IF(E37&lt;&gt;"", IFERROR(VLOOKUP(E37, Dashboard!$B50:$F55, 5, FALSE), ""), "")</f>
        <v/>
      </c>
      <c r="G37" s="82"/>
      <c r="H37" s="69"/>
      <c r="I37" s="69"/>
      <c r="J37" s="82"/>
      <c r="K37" s="82"/>
      <c r="L37" s="43"/>
      <c r="M37" s="43"/>
      <c r="N37" s="82"/>
      <c r="O37" s="82"/>
      <c r="P37" s="43"/>
      <c r="Q37" s="43" t="s">
        <v>21</v>
      </c>
      <c r="R37" s="82"/>
      <c r="S37" s="69"/>
      <c r="T37" s="82"/>
    </row>
    <row r="38" spans="2:20" ht="60" customHeight="1" x14ac:dyDescent="0.35">
      <c r="B38" s="41" t="s">
        <v>768</v>
      </c>
      <c r="C38" s="80"/>
      <c r="D38" s="81"/>
      <c r="E38" s="81" t="s">
        <v>21</v>
      </c>
      <c r="F38" s="81" t="str">
        <f>IF(E38&lt;&gt;"", IFERROR(VLOOKUP(E38, Dashboard!$B50:$F55, 5, FALSE), ""), "")</f>
        <v/>
      </c>
      <c r="G38" s="82"/>
      <c r="H38" s="69"/>
      <c r="I38" s="69"/>
      <c r="J38" s="82"/>
      <c r="K38" s="82"/>
      <c r="L38" s="43"/>
      <c r="M38" s="43"/>
      <c r="N38" s="82"/>
      <c r="O38" s="82"/>
      <c r="P38" s="43"/>
      <c r="Q38" s="43" t="s">
        <v>21</v>
      </c>
      <c r="R38" s="82"/>
      <c r="S38" s="69"/>
      <c r="T38" s="82"/>
    </row>
    <row r="39" spans="2:20" ht="60" customHeight="1" x14ac:dyDescent="0.35">
      <c r="B39" s="41" t="s">
        <v>769</v>
      </c>
      <c r="C39" s="80"/>
      <c r="D39" s="81"/>
      <c r="E39" s="81" t="s">
        <v>21</v>
      </c>
      <c r="F39" s="81" t="str">
        <f>IF(E39&lt;&gt;"", IFERROR(VLOOKUP(E39, Dashboard!$B50:$F55, 5, FALSE), ""), "")</f>
        <v/>
      </c>
      <c r="G39" s="82"/>
      <c r="H39" s="69"/>
      <c r="I39" s="69"/>
      <c r="J39" s="82"/>
      <c r="K39" s="82"/>
      <c r="L39" s="43"/>
      <c r="M39" s="43"/>
      <c r="N39" s="82"/>
      <c r="O39" s="82"/>
      <c r="P39" s="43"/>
      <c r="Q39" s="43" t="s">
        <v>21</v>
      </c>
      <c r="R39" s="82"/>
      <c r="S39" s="69"/>
      <c r="T39" s="82"/>
    </row>
    <row r="40" spans="2:20" ht="60" customHeight="1" x14ac:dyDescent="0.35">
      <c r="B40" s="41" t="s">
        <v>770</v>
      </c>
      <c r="C40" s="80"/>
      <c r="D40" s="81"/>
      <c r="E40" s="81" t="s">
        <v>21</v>
      </c>
      <c r="F40" s="81" t="str">
        <f>IF(E40&lt;&gt;"", IFERROR(VLOOKUP(E40, Dashboard!$B50:$F55, 5, FALSE), ""), "")</f>
        <v/>
      </c>
      <c r="G40" s="82"/>
      <c r="H40" s="69"/>
      <c r="I40" s="69"/>
      <c r="J40" s="82"/>
      <c r="K40" s="82"/>
      <c r="L40" s="43"/>
      <c r="M40" s="43"/>
      <c r="N40" s="82"/>
      <c r="O40" s="82"/>
      <c r="P40" s="43"/>
      <c r="Q40" s="43" t="s">
        <v>21</v>
      </c>
      <c r="R40" s="82"/>
      <c r="S40" s="69"/>
      <c r="T40" s="82"/>
    </row>
    <row r="41" spans="2:20" ht="60" customHeight="1" x14ac:dyDescent="0.35">
      <c r="B41" s="41" t="s">
        <v>771</v>
      </c>
      <c r="C41" s="80"/>
      <c r="D41" s="81"/>
      <c r="E41" s="81" t="s">
        <v>21</v>
      </c>
      <c r="F41" s="81" t="str">
        <f>IF(E41&lt;&gt;"", IFERROR(VLOOKUP(E41, Dashboard!$B50:$F55, 5, FALSE), ""), "")</f>
        <v/>
      </c>
      <c r="G41" s="82"/>
      <c r="H41" s="69"/>
      <c r="I41" s="69"/>
      <c r="J41" s="82"/>
      <c r="K41" s="82"/>
      <c r="L41" s="43"/>
      <c r="M41" s="43"/>
      <c r="N41" s="82"/>
      <c r="O41" s="82"/>
      <c r="P41" s="43"/>
      <c r="Q41" s="43" t="s">
        <v>21</v>
      </c>
      <c r="R41" s="82"/>
      <c r="S41" s="69"/>
      <c r="T41" s="82"/>
    </row>
    <row r="42" spans="2:20" ht="60" customHeight="1" x14ac:dyDescent="0.35">
      <c r="B42" s="41" t="s">
        <v>772</v>
      </c>
      <c r="C42" s="80"/>
      <c r="D42" s="81"/>
      <c r="E42" s="81" t="s">
        <v>21</v>
      </c>
      <c r="F42" s="81" t="str">
        <f>IF(E42&lt;&gt;"", IFERROR(VLOOKUP(E42, Dashboard!$B50:$F55, 5, FALSE), ""), "")</f>
        <v/>
      </c>
      <c r="G42" s="82"/>
      <c r="H42" s="69"/>
      <c r="I42" s="69"/>
      <c r="J42" s="82"/>
      <c r="K42" s="82"/>
      <c r="L42" s="43"/>
      <c r="M42" s="43"/>
      <c r="N42" s="82"/>
      <c r="O42" s="82"/>
      <c r="P42" s="43"/>
      <c r="Q42" s="43" t="s">
        <v>21</v>
      </c>
      <c r="R42" s="82"/>
      <c r="S42" s="69"/>
      <c r="T42" s="82"/>
    </row>
    <row r="43" spans="2:20" ht="60" customHeight="1" x14ac:dyDescent="0.35">
      <c r="B43" s="41" t="s">
        <v>773</v>
      </c>
      <c r="C43" s="80"/>
      <c r="D43" s="81"/>
      <c r="E43" s="81" t="s">
        <v>21</v>
      </c>
      <c r="F43" s="81" t="str">
        <f>IF(E43&lt;&gt;"", IFERROR(VLOOKUP(E43, Dashboard!$B50:$F55, 5, FALSE), ""), "")</f>
        <v/>
      </c>
      <c r="G43" s="82"/>
      <c r="H43" s="69"/>
      <c r="I43" s="69"/>
      <c r="J43" s="82"/>
      <c r="K43" s="82"/>
      <c r="L43" s="43"/>
      <c r="M43" s="43"/>
      <c r="N43" s="82"/>
      <c r="O43" s="82"/>
      <c r="P43" s="43"/>
      <c r="Q43" s="43" t="s">
        <v>21</v>
      </c>
      <c r="R43" s="82"/>
      <c r="S43" s="69"/>
      <c r="T43" s="82"/>
    </row>
    <row r="44" spans="2:20" ht="60" customHeight="1" x14ac:dyDescent="0.35">
      <c r="B44" s="41" t="s">
        <v>774</v>
      </c>
      <c r="C44" s="80"/>
      <c r="D44" s="81"/>
      <c r="E44" s="81" t="s">
        <v>21</v>
      </c>
      <c r="F44" s="81" t="str">
        <f>IF(E44&lt;&gt;"", IFERROR(VLOOKUP(E44, Dashboard!$B50:$F55, 5, FALSE), ""), "")</f>
        <v/>
      </c>
      <c r="G44" s="82"/>
      <c r="H44" s="69"/>
      <c r="I44" s="69"/>
      <c r="J44" s="82"/>
      <c r="K44" s="82"/>
      <c r="L44" s="43"/>
      <c r="M44" s="43"/>
      <c r="N44" s="82"/>
      <c r="O44" s="82"/>
      <c r="P44" s="43"/>
      <c r="Q44" s="43" t="s">
        <v>21</v>
      </c>
      <c r="R44" s="82"/>
      <c r="S44" s="69"/>
      <c r="T44" s="82"/>
    </row>
    <row r="45" spans="2:20" ht="60" customHeight="1" x14ac:dyDescent="0.35">
      <c r="B45" s="41" t="s">
        <v>775</v>
      </c>
      <c r="C45" s="80"/>
      <c r="D45" s="81"/>
      <c r="E45" s="81" t="s">
        <v>21</v>
      </c>
      <c r="F45" s="81" t="str">
        <f>IF(E45&lt;&gt;"", IFERROR(VLOOKUP(E45, Dashboard!$B50:$F55, 5, FALSE), ""), "")</f>
        <v/>
      </c>
      <c r="G45" s="82"/>
      <c r="H45" s="69"/>
      <c r="I45" s="69"/>
      <c r="J45" s="82"/>
      <c r="K45" s="82"/>
      <c r="L45" s="43"/>
      <c r="M45" s="43"/>
      <c r="N45" s="82"/>
      <c r="O45" s="82"/>
      <c r="P45" s="43"/>
      <c r="Q45" s="43" t="s">
        <v>21</v>
      </c>
      <c r="R45" s="82"/>
      <c r="S45" s="69"/>
      <c r="T45" s="82"/>
    </row>
    <row r="46" spans="2:20" ht="60" customHeight="1" x14ac:dyDescent="0.35">
      <c r="B46" s="41" t="s">
        <v>776</v>
      </c>
      <c r="C46" s="80"/>
      <c r="D46" s="81"/>
      <c r="E46" s="81" t="s">
        <v>21</v>
      </c>
      <c r="F46" s="81" t="str">
        <f>IF(E46&lt;&gt;"", IFERROR(VLOOKUP(E46, Dashboard!$B50:$F55, 5, FALSE), ""), "")</f>
        <v/>
      </c>
      <c r="G46" s="82"/>
      <c r="H46" s="69"/>
      <c r="I46" s="69"/>
      <c r="J46" s="82"/>
      <c r="K46" s="82"/>
      <c r="L46" s="43"/>
      <c r="M46" s="43"/>
      <c r="N46" s="82"/>
      <c r="O46" s="82"/>
      <c r="P46" s="43"/>
      <c r="Q46" s="43" t="s">
        <v>21</v>
      </c>
      <c r="R46" s="82"/>
      <c r="S46" s="69"/>
      <c r="T46" s="82"/>
    </row>
    <row r="47" spans="2:20" ht="60" customHeight="1" x14ac:dyDescent="0.35">
      <c r="B47" s="41" t="s">
        <v>777</v>
      </c>
      <c r="C47" s="80"/>
      <c r="D47" s="81"/>
      <c r="E47" s="81" t="s">
        <v>21</v>
      </c>
      <c r="F47" s="81" t="str">
        <f>IF(E47&lt;&gt;"", IFERROR(VLOOKUP(E47, Dashboard!$B50:$F55, 5, FALSE), ""), "")</f>
        <v/>
      </c>
      <c r="G47" s="82"/>
      <c r="H47" s="69"/>
      <c r="I47" s="69"/>
      <c r="J47" s="82"/>
      <c r="K47" s="82"/>
      <c r="L47" s="43"/>
      <c r="M47" s="43"/>
      <c r="N47" s="82"/>
      <c r="O47" s="82"/>
      <c r="P47" s="43"/>
      <c r="Q47" s="43" t="s">
        <v>21</v>
      </c>
      <c r="R47" s="82"/>
      <c r="S47" s="69"/>
      <c r="T47" s="82"/>
    </row>
    <row r="48" spans="2:20" ht="60" customHeight="1" x14ac:dyDescent="0.35">
      <c r="B48" s="41" t="s">
        <v>778</v>
      </c>
      <c r="C48" s="80"/>
      <c r="D48" s="81"/>
      <c r="E48" s="81" t="s">
        <v>21</v>
      </c>
      <c r="F48" s="81" t="str">
        <f>IF(E48&lt;&gt;"", IFERROR(VLOOKUP(E48, Dashboard!$B50:$F55, 5, FALSE), ""), "")</f>
        <v/>
      </c>
      <c r="G48" s="82"/>
      <c r="H48" s="69"/>
      <c r="I48" s="69"/>
      <c r="J48" s="82"/>
      <c r="K48" s="82"/>
      <c r="L48" s="43"/>
      <c r="M48" s="43"/>
      <c r="N48" s="82"/>
      <c r="O48" s="82"/>
      <c r="P48" s="43"/>
      <c r="Q48" s="43" t="s">
        <v>21</v>
      </c>
      <c r="R48" s="82"/>
      <c r="S48" s="69"/>
      <c r="T48" s="82"/>
    </row>
    <row r="49" spans="2:20" ht="60" customHeight="1" x14ac:dyDescent="0.35">
      <c r="B49" s="41" t="s">
        <v>779</v>
      </c>
      <c r="C49" s="80"/>
      <c r="D49" s="81"/>
      <c r="E49" s="81" t="s">
        <v>21</v>
      </c>
      <c r="F49" s="81" t="str">
        <f>IF(E49&lt;&gt;"", IFERROR(VLOOKUP(E49, Dashboard!$B50:$F55, 5, FALSE), ""), "")</f>
        <v/>
      </c>
      <c r="G49" s="82"/>
      <c r="H49" s="69"/>
      <c r="I49" s="69"/>
      <c r="J49" s="82"/>
      <c r="K49" s="82"/>
      <c r="L49" s="43"/>
      <c r="M49" s="43"/>
      <c r="N49" s="82"/>
      <c r="O49" s="82"/>
      <c r="P49" s="43"/>
      <c r="Q49" s="43" t="s">
        <v>21</v>
      </c>
      <c r="R49" s="82"/>
      <c r="S49" s="69"/>
      <c r="T49" s="82"/>
    </row>
    <row r="50" spans="2:20" ht="60" customHeight="1" x14ac:dyDescent="0.35">
      <c r="B50" s="41" t="s">
        <v>780</v>
      </c>
      <c r="C50" s="80"/>
      <c r="D50" s="81"/>
      <c r="E50" s="81" t="s">
        <v>21</v>
      </c>
      <c r="F50" s="81" t="str">
        <f>IF(E50&lt;&gt;"", IFERROR(VLOOKUP(E50, Dashboard!$B50:$F55, 5, FALSE), ""), "")</f>
        <v/>
      </c>
      <c r="G50" s="82"/>
      <c r="H50" s="69"/>
      <c r="I50" s="69"/>
      <c r="J50" s="82"/>
      <c r="K50" s="82"/>
      <c r="L50" s="43"/>
      <c r="M50" s="43"/>
      <c r="N50" s="82"/>
      <c r="O50" s="82"/>
      <c r="P50" s="43"/>
      <c r="Q50" s="43" t="s">
        <v>21</v>
      </c>
      <c r="R50" s="82"/>
      <c r="S50" s="69"/>
      <c r="T50" s="82"/>
    </row>
    <row r="51" spans="2:20" ht="60" customHeight="1" x14ac:dyDescent="0.35">
      <c r="B51" s="41" t="s">
        <v>781</v>
      </c>
      <c r="C51" s="80"/>
      <c r="D51" s="81"/>
      <c r="E51" s="81" t="s">
        <v>21</v>
      </c>
      <c r="F51" s="81" t="str">
        <f>IF(E51&lt;&gt;"", IFERROR(VLOOKUP(E51, Dashboard!$B50:$F55, 5, FALSE), ""), "")</f>
        <v/>
      </c>
      <c r="G51" s="82"/>
      <c r="H51" s="69"/>
      <c r="I51" s="69"/>
      <c r="J51" s="82"/>
      <c r="K51" s="82"/>
      <c r="L51" s="43"/>
      <c r="M51" s="43"/>
      <c r="N51" s="82"/>
      <c r="O51" s="82"/>
      <c r="P51" s="43"/>
      <c r="Q51" s="43" t="s">
        <v>21</v>
      </c>
      <c r="R51" s="82"/>
      <c r="S51" s="69"/>
      <c r="T51" s="82"/>
    </row>
    <row r="52" spans="2:20" ht="60" customHeight="1" x14ac:dyDescent="0.35">
      <c r="B52" s="41" t="s">
        <v>782</v>
      </c>
      <c r="C52" s="80"/>
      <c r="D52" s="81"/>
      <c r="E52" s="81" t="s">
        <v>21</v>
      </c>
      <c r="F52" s="81" t="str">
        <f>IF(E52&lt;&gt;"", IFERROR(VLOOKUP(E52, Dashboard!$B50:$F55, 5, FALSE), ""), "")</f>
        <v/>
      </c>
      <c r="G52" s="82"/>
      <c r="H52" s="69"/>
      <c r="I52" s="69"/>
      <c r="J52" s="82"/>
      <c r="K52" s="82"/>
      <c r="L52" s="43"/>
      <c r="M52" s="43"/>
      <c r="N52" s="82"/>
      <c r="O52" s="82"/>
      <c r="P52" s="43"/>
      <c r="Q52" s="43" t="s">
        <v>21</v>
      </c>
      <c r="R52" s="82"/>
      <c r="S52" s="69"/>
      <c r="T52" s="82"/>
    </row>
    <row r="53" spans="2:20" ht="60" customHeight="1" x14ac:dyDescent="0.35">
      <c r="B53" s="41" t="s">
        <v>783</v>
      </c>
      <c r="C53" s="80"/>
      <c r="D53" s="81"/>
      <c r="E53" s="81" t="s">
        <v>21</v>
      </c>
      <c r="F53" s="81" t="str">
        <f>IF(E53&lt;&gt;"", IFERROR(VLOOKUP(E53, Dashboard!$B50:$F55, 5, FALSE), ""), "")</f>
        <v/>
      </c>
      <c r="G53" s="82"/>
      <c r="H53" s="69"/>
      <c r="I53" s="69"/>
      <c r="J53" s="82"/>
      <c r="K53" s="82"/>
      <c r="L53" s="43"/>
      <c r="M53" s="43"/>
      <c r="N53" s="82"/>
      <c r="O53" s="82"/>
      <c r="P53" s="43"/>
      <c r="Q53" s="43" t="s">
        <v>21</v>
      </c>
      <c r="R53" s="82"/>
      <c r="S53" s="69"/>
      <c r="T53" s="82"/>
    </row>
    <row r="54" spans="2:20" ht="60" customHeight="1" x14ac:dyDescent="0.35">
      <c r="B54" s="41" t="s">
        <v>784</v>
      </c>
      <c r="C54" s="80"/>
      <c r="D54" s="81"/>
      <c r="E54" s="81" t="s">
        <v>21</v>
      </c>
      <c r="F54" s="81" t="str">
        <f>IF(E54&lt;&gt;"", IFERROR(VLOOKUP(E54, Dashboard!$B50:$F55,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539</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785</v>
      </c>
      <c r="B1" s="107" t="s">
        <v>0</v>
      </c>
      <c r="C1" s="107" t="s">
        <v>786</v>
      </c>
      <c r="D1" s="107" t="s">
        <v>10</v>
      </c>
      <c r="E1" s="107" t="s">
        <v>787</v>
      </c>
      <c r="F1" s="107" t="s">
        <v>788</v>
      </c>
      <c r="G1" s="107" t="s">
        <v>789</v>
      </c>
      <c r="H1" s="107" t="s">
        <v>790</v>
      </c>
      <c r="I1" s="107" t="s">
        <v>791</v>
      </c>
      <c r="J1" s="107" t="s">
        <v>792</v>
      </c>
      <c r="K1" s="107" t="s">
        <v>793</v>
      </c>
      <c r="L1" s="107" t="s">
        <v>794</v>
      </c>
      <c r="M1" s="107" t="s">
        <v>795</v>
      </c>
      <c r="N1" s="107" t="s">
        <v>796</v>
      </c>
      <c r="O1" s="107" t="s">
        <v>797</v>
      </c>
      <c r="P1" s="107" t="s">
        <v>798</v>
      </c>
      <c r="Q1" s="107" t="s">
        <v>799</v>
      </c>
      <c r="R1" s="107" t="s">
        <v>800</v>
      </c>
      <c r="S1" s="107" t="s">
        <v>801</v>
      </c>
      <c r="T1" s="107" t="s">
        <v>802</v>
      </c>
      <c r="U1" s="107" t="s">
        <v>803</v>
      </c>
      <c r="V1" s="107" t="s">
        <v>804</v>
      </c>
      <c r="W1" s="107" t="s">
        <v>805</v>
      </c>
      <c r="X1" s="107" t="s">
        <v>806</v>
      </c>
      <c r="Y1" s="107" t="s">
        <v>807</v>
      </c>
      <c r="Z1" s="107" t="s">
        <v>808</v>
      </c>
      <c r="AA1" s="107" t="s">
        <v>809</v>
      </c>
      <c r="AB1" s="107" t="s">
        <v>810</v>
      </c>
      <c r="AC1" s="107" t="s">
        <v>811</v>
      </c>
      <c r="AD1" s="107" t="s">
        <v>812</v>
      </c>
      <c r="AE1" s="107" t="s">
        <v>813</v>
      </c>
      <c r="AF1" s="107" t="s">
        <v>814</v>
      </c>
      <c r="AG1" s="107" t="s">
        <v>815</v>
      </c>
      <c r="AH1" s="107" t="s">
        <v>816</v>
      </c>
      <c r="AI1" s="107" t="s">
        <v>817</v>
      </c>
      <c r="AJ1" s="107" t="s">
        <v>818</v>
      </c>
      <c r="AK1" s="107" t="s">
        <v>819</v>
      </c>
      <c r="AL1" s="107" t="s">
        <v>820</v>
      </c>
      <c r="AM1" s="107" t="s">
        <v>821</v>
      </c>
      <c r="AN1" s="107" t="s">
        <v>822</v>
      </c>
      <c r="AO1" s="107" t="s">
        <v>823</v>
      </c>
      <c r="AP1" s="107" t="s">
        <v>824</v>
      </c>
      <c r="AQ1" s="107" t="s">
        <v>825</v>
      </c>
      <c r="AR1" s="107" t="s">
        <v>826</v>
      </c>
      <c r="AS1" s="107" t="s">
        <v>827</v>
      </c>
      <c r="AT1" s="107" t="s">
        <v>828</v>
      </c>
      <c r="AU1" s="107" t="s">
        <v>829</v>
      </c>
      <c r="AV1" s="107" t="s">
        <v>830</v>
      </c>
      <c r="AW1" s="108" t="s">
        <v>831</v>
      </c>
    </row>
    <row r="2" spans="1:49" ht="60" customHeight="1" outlineLevel="1" x14ac:dyDescent="0.35">
      <c r="A2" s="100" t="s">
        <v>832</v>
      </c>
      <c r="B2" s="83">
        <v>1</v>
      </c>
      <c r="C2" s="85" t="s">
        <v>21</v>
      </c>
      <c r="D2" s="87" t="s">
        <v>833</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832</v>
      </c>
      <c r="B3" s="84" t="s">
        <v>834</v>
      </c>
      <c r="C3" s="86" t="s">
        <v>835</v>
      </c>
      <c r="D3" s="88" t="s">
        <v>836</v>
      </c>
      <c r="E3" s="88" t="s">
        <v>837</v>
      </c>
      <c r="F3" s="89" t="s">
        <v>838</v>
      </c>
      <c r="G3" s="89" t="s">
        <v>839</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832</v>
      </c>
      <c r="B4" s="84" t="s">
        <v>840</v>
      </c>
      <c r="C4" s="86" t="s">
        <v>841</v>
      </c>
      <c r="D4" s="88" t="s">
        <v>842</v>
      </c>
      <c r="E4" s="88" t="s">
        <v>843</v>
      </c>
      <c r="F4" s="89" t="s">
        <v>838</v>
      </c>
      <c r="G4" s="89" t="s">
        <v>844</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832</v>
      </c>
      <c r="B5" s="84" t="s">
        <v>845</v>
      </c>
      <c r="C5" s="86" t="s">
        <v>846</v>
      </c>
      <c r="D5" s="88" t="s">
        <v>847</v>
      </c>
      <c r="E5" s="88" t="s">
        <v>848</v>
      </c>
      <c r="F5" s="89" t="s">
        <v>838</v>
      </c>
      <c r="G5" s="89" t="s">
        <v>849</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832</v>
      </c>
      <c r="B6" s="84" t="s">
        <v>850</v>
      </c>
      <c r="C6" s="86" t="s">
        <v>851</v>
      </c>
      <c r="D6" s="88" t="s">
        <v>852</v>
      </c>
      <c r="E6" s="88" t="s">
        <v>853</v>
      </c>
      <c r="F6" s="89" t="s">
        <v>838</v>
      </c>
      <c r="G6" s="89" t="s">
        <v>839</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832</v>
      </c>
      <c r="B7" s="84" t="s">
        <v>854</v>
      </c>
      <c r="C7" s="86" t="s">
        <v>855</v>
      </c>
      <c r="D7" s="88" t="s">
        <v>856</v>
      </c>
      <c r="E7" s="88" t="s">
        <v>857</v>
      </c>
      <c r="F7" s="89" t="s">
        <v>838</v>
      </c>
      <c r="G7" s="89" t="s">
        <v>849</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858</v>
      </c>
      <c r="B8" s="83">
        <v>2</v>
      </c>
      <c r="C8" s="85" t="s">
        <v>21</v>
      </c>
      <c r="D8" s="87" t="s">
        <v>859</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858</v>
      </c>
      <c r="B9" s="84" t="s">
        <v>860</v>
      </c>
      <c r="C9" s="86" t="s">
        <v>861</v>
      </c>
      <c r="D9" s="88" t="s">
        <v>862</v>
      </c>
      <c r="E9" s="88" t="s">
        <v>863</v>
      </c>
      <c r="F9" s="89" t="s">
        <v>864</v>
      </c>
      <c r="G9" s="89" t="s">
        <v>839</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858</v>
      </c>
      <c r="B10" s="84" t="s">
        <v>865</v>
      </c>
      <c r="C10" s="86" t="s">
        <v>866</v>
      </c>
      <c r="D10" s="88" t="s">
        <v>867</v>
      </c>
      <c r="E10" s="88" t="s">
        <v>868</v>
      </c>
      <c r="F10" s="89" t="s">
        <v>864</v>
      </c>
      <c r="G10" s="89" t="s">
        <v>839</v>
      </c>
      <c r="H10" s="89">
        <v>1</v>
      </c>
      <c r="I10" s="91">
        <f>IF(COUNTIF(J10:AW10,"&lt;&gt;")=0,"",SUMPRODUCT(((Recommendations[ImplStatus]="Implemented")+(Recommendations[ImplStatus]="Compensated"))*ISNUMBER(MATCH(Recommendations[Id],J10:AW10,0)))/COUNTIF(J10:AW10,"&lt;&gt;"))</f>
        <v>0</v>
      </c>
      <c r="J10" s="93" t="s">
        <v>143</v>
      </c>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858</v>
      </c>
      <c r="B11" s="84" t="s">
        <v>869</v>
      </c>
      <c r="C11" s="86" t="s">
        <v>870</v>
      </c>
      <c r="D11" s="88" t="s">
        <v>871</v>
      </c>
      <c r="E11" s="88" t="s">
        <v>872</v>
      </c>
      <c r="F11" s="89" t="s">
        <v>864</v>
      </c>
      <c r="G11" s="89" t="s">
        <v>844</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858</v>
      </c>
      <c r="B12" s="84" t="s">
        <v>873</v>
      </c>
      <c r="C12" s="86" t="s">
        <v>874</v>
      </c>
      <c r="D12" s="88" t="s">
        <v>875</v>
      </c>
      <c r="E12" s="88" t="s">
        <v>876</v>
      </c>
      <c r="F12" s="89" t="s">
        <v>864</v>
      </c>
      <c r="G12" s="89" t="s">
        <v>849</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858</v>
      </c>
      <c r="B13" s="84" t="s">
        <v>877</v>
      </c>
      <c r="C13" s="86" t="s">
        <v>878</v>
      </c>
      <c r="D13" s="88" t="s">
        <v>879</v>
      </c>
      <c r="E13" s="88" t="s">
        <v>880</v>
      </c>
      <c r="F13" s="89" t="s">
        <v>864</v>
      </c>
      <c r="G13" s="89" t="s">
        <v>881</v>
      </c>
      <c r="H13" s="89">
        <v>2</v>
      </c>
      <c r="I13" s="91">
        <f>IF(COUNTIF(J13:AW13,"&lt;&gt;")=0,"",SUMPRODUCT(((Recommendations[ImplStatus]="Implemented")+(Recommendations[ImplStatus]="Compensated"))*ISNUMBER(MATCH(Recommendations[Id],J13:AW13,0)))/COUNTIF(J13:AW13,"&lt;&gt;"))</f>
        <v>0</v>
      </c>
      <c r="J13" s="93" t="s">
        <v>133</v>
      </c>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858</v>
      </c>
      <c r="B14" s="84" t="s">
        <v>882</v>
      </c>
      <c r="C14" s="86" t="s">
        <v>883</v>
      </c>
      <c r="D14" s="88" t="s">
        <v>884</v>
      </c>
      <c r="E14" s="88" t="s">
        <v>885</v>
      </c>
      <c r="F14" s="89" t="s">
        <v>864</v>
      </c>
      <c r="G14" s="89" t="s">
        <v>881</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858</v>
      </c>
      <c r="B15" s="84" t="s">
        <v>886</v>
      </c>
      <c r="C15" s="86" t="s">
        <v>887</v>
      </c>
      <c r="D15" s="88" t="s">
        <v>888</v>
      </c>
      <c r="E15" s="88" t="s">
        <v>889</v>
      </c>
      <c r="F15" s="89" t="s">
        <v>864</v>
      </c>
      <c r="G15" s="89" t="s">
        <v>881</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890</v>
      </c>
      <c r="B16" s="83">
        <v>3</v>
      </c>
      <c r="C16" s="85" t="s">
        <v>21</v>
      </c>
      <c r="D16" s="87" t="s">
        <v>891</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890</v>
      </c>
      <c r="B17" s="84" t="s">
        <v>892</v>
      </c>
      <c r="C17" s="86" t="s">
        <v>893</v>
      </c>
      <c r="D17" s="88" t="s">
        <v>894</v>
      </c>
      <c r="E17" s="88" t="s">
        <v>895</v>
      </c>
      <c r="F17" s="89" t="s">
        <v>896</v>
      </c>
      <c r="G17" s="89" t="s">
        <v>897</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890</v>
      </c>
      <c r="B18" s="84" t="s">
        <v>898</v>
      </c>
      <c r="C18" s="86" t="s">
        <v>899</v>
      </c>
      <c r="D18" s="88" t="s">
        <v>900</v>
      </c>
      <c r="E18" s="88" t="s">
        <v>901</v>
      </c>
      <c r="F18" s="89" t="s">
        <v>896</v>
      </c>
      <c r="G18" s="89" t="s">
        <v>839</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890</v>
      </c>
      <c r="B19" s="84" t="s">
        <v>902</v>
      </c>
      <c r="C19" s="86" t="s">
        <v>903</v>
      </c>
      <c r="D19" s="88" t="s">
        <v>904</v>
      </c>
      <c r="E19" s="88" t="s">
        <v>905</v>
      </c>
      <c r="F19" s="89" t="s">
        <v>896</v>
      </c>
      <c r="G19" s="89" t="s">
        <v>881</v>
      </c>
      <c r="H19" s="89">
        <v>1</v>
      </c>
      <c r="I19" s="91" t="str">
        <f>IF(COUNTIF(J19:AW19,"&lt;&gt;")=0,"",SUMPRODUCT(((Recommendations[ImplStatus]="Implemented")+(Recommendations[ImplStatus]="Compensated"))*ISNUMBER(MATCH(Recommendations[Id],J19:AW19,0)))/COUNTIF(J19:AW19,"&lt;&gt;"))</f>
        <v/>
      </c>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890</v>
      </c>
      <c r="B20" s="84" t="s">
        <v>906</v>
      </c>
      <c r="C20" s="86" t="s">
        <v>907</v>
      </c>
      <c r="D20" s="88" t="s">
        <v>908</v>
      </c>
      <c r="E20" s="88" t="s">
        <v>909</v>
      </c>
      <c r="F20" s="89" t="s">
        <v>896</v>
      </c>
      <c r="G20" s="89" t="s">
        <v>881</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890</v>
      </c>
      <c r="B21" s="84" t="s">
        <v>910</v>
      </c>
      <c r="C21" s="86" t="s">
        <v>911</v>
      </c>
      <c r="D21" s="88" t="s">
        <v>912</v>
      </c>
      <c r="E21" s="88" t="s">
        <v>913</v>
      </c>
      <c r="F21" s="89" t="s">
        <v>896</v>
      </c>
      <c r="G21" s="89" t="s">
        <v>881</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890</v>
      </c>
      <c r="B22" s="84" t="s">
        <v>914</v>
      </c>
      <c r="C22" s="86" t="s">
        <v>915</v>
      </c>
      <c r="D22" s="88" t="s">
        <v>916</v>
      </c>
      <c r="E22" s="88" t="s">
        <v>917</v>
      </c>
      <c r="F22" s="89" t="s">
        <v>896</v>
      </c>
      <c r="G22" s="89" t="s">
        <v>881</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890</v>
      </c>
      <c r="B23" s="84" t="s">
        <v>918</v>
      </c>
      <c r="C23" s="86" t="s">
        <v>919</v>
      </c>
      <c r="D23" s="88" t="s">
        <v>920</v>
      </c>
      <c r="E23" s="88" t="s">
        <v>921</v>
      </c>
      <c r="F23" s="89" t="s">
        <v>896</v>
      </c>
      <c r="G23" s="89" t="s">
        <v>839</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890</v>
      </c>
      <c r="B24" s="84" t="s">
        <v>922</v>
      </c>
      <c r="C24" s="86" t="s">
        <v>923</v>
      </c>
      <c r="D24" s="88" t="s">
        <v>924</v>
      </c>
      <c r="E24" s="88" t="s">
        <v>925</v>
      </c>
      <c r="F24" s="89" t="s">
        <v>896</v>
      </c>
      <c r="G24" s="89" t="s">
        <v>839</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890</v>
      </c>
      <c r="B25" s="84" t="s">
        <v>926</v>
      </c>
      <c r="C25" s="86" t="s">
        <v>927</v>
      </c>
      <c r="D25" s="88" t="s">
        <v>928</v>
      </c>
      <c r="E25" s="88" t="s">
        <v>929</v>
      </c>
      <c r="F25" s="89" t="s">
        <v>896</v>
      </c>
      <c r="G25" s="89" t="s">
        <v>881</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890</v>
      </c>
      <c r="B26" s="84" t="s">
        <v>930</v>
      </c>
      <c r="C26" s="86" t="s">
        <v>931</v>
      </c>
      <c r="D26" s="88" t="s">
        <v>932</v>
      </c>
      <c r="E26" s="88" t="s">
        <v>933</v>
      </c>
      <c r="F26" s="89" t="s">
        <v>896</v>
      </c>
      <c r="G26" s="89" t="s">
        <v>881</v>
      </c>
      <c r="H26" s="89">
        <v>2</v>
      </c>
      <c r="I26" s="91">
        <f>IF(COUNTIF(J26:AW26,"&lt;&gt;")=0,"",SUMPRODUCT(((Recommendations[ImplStatus]="Implemented")+(Recommendations[ImplStatus]="Compensated"))*ISNUMBER(MATCH(Recommendations[Id],J26:AW26,0)))/COUNTIF(J26:AW26,"&lt;&gt;"))</f>
        <v>0</v>
      </c>
      <c r="J26" s="93" t="s">
        <v>236</v>
      </c>
      <c r="K26" s="93" t="s">
        <v>377</v>
      </c>
      <c r="L26" s="93" t="s">
        <v>478</v>
      </c>
      <c r="M26" s="93" t="s">
        <v>484</v>
      </c>
      <c r="N26" s="93" t="s">
        <v>489</v>
      </c>
      <c r="O26" s="93" t="s">
        <v>524</v>
      </c>
      <c r="P26" s="93" t="s">
        <v>529</v>
      </c>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890</v>
      </c>
      <c r="B27" s="84" t="s">
        <v>934</v>
      </c>
      <c r="C27" s="86" t="s">
        <v>935</v>
      </c>
      <c r="D27" s="88" t="s">
        <v>936</v>
      </c>
      <c r="E27" s="88" t="s">
        <v>937</v>
      </c>
      <c r="F27" s="89" t="s">
        <v>896</v>
      </c>
      <c r="G27" s="89" t="s">
        <v>881</v>
      </c>
      <c r="H27" s="89">
        <v>2</v>
      </c>
      <c r="I27" s="91" t="str">
        <f>IF(COUNTIF(J27:AW27,"&lt;&gt;")=0,"",SUMPRODUCT(((Recommendations[ImplStatus]="Implemented")+(Recommendations[ImplStatus]="Compensated"))*ISNUMBER(MATCH(Recommendations[Id],J27:AW27,0)))/COUNTIF(J27:AW27,"&lt;&gt;"))</f>
        <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890</v>
      </c>
      <c r="B28" s="84" t="s">
        <v>938</v>
      </c>
      <c r="C28" s="86" t="s">
        <v>939</v>
      </c>
      <c r="D28" s="88" t="s">
        <v>940</v>
      </c>
      <c r="E28" s="88" t="s">
        <v>941</v>
      </c>
      <c r="F28" s="89" t="s">
        <v>896</v>
      </c>
      <c r="G28" s="89" t="s">
        <v>881</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890</v>
      </c>
      <c r="B29" s="84" t="s">
        <v>942</v>
      </c>
      <c r="C29" s="86" t="s">
        <v>943</v>
      </c>
      <c r="D29" s="88" t="s">
        <v>944</v>
      </c>
      <c r="E29" s="88" t="s">
        <v>945</v>
      </c>
      <c r="F29" s="89" t="s">
        <v>896</v>
      </c>
      <c r="G29" s="89" t="s">
        <v>881</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890</v>
      </c>
      <c r="B30" s="84" t="s">
        <v>946</v>
      </c>
      <c r="C30" s="86" t="s">
        <v>947</v>
      </c>
      <c r="D30" s="88" t="s">
        <v>948</v>
      </c>
      <c r="E30" s="88" t="s">
        <v>949</v>
      </c>
      <c r="F30" s="89" t="s">
        <v>896</v>
      </c>
      <c r="G30" s="89" t="s">
        <v>849</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950</v>
      </c>
      <c r="B31" s="83">
        <v>4</v>
      </c>
      <c r="C31" s="85" t="s">
        <v>21</v>
      </c>
      <c r="D31" s="87" t="s">
        <v>951</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950</v>
      </c>
      <c r="B32" s="84" t="s">
        <v>952</v>
      </c>
      <c r="C32" s="86" t="s">
        <v>953</v>
      </c>
      <c r="D32" s="88" t="s">
        <v>954</v>
      </c>
      <c r="E32" s="88" t="s">
        <v>955</v>
      </c>
      <c r="F32" s="89" t="s">
        <v>956</v>
      </c>
      <c r="G32" s="89" t="s">
        <v>897</v>
      </c>
      <c r="H32" s="89">
        <v>1</v>
      </c>
      <c r="I32" s="91">
        <f>IF(COUNTIF(J32:AW32,"&lt;&gt;")=0,"",SUMPRODUCT(((Recommendations[ImplStatus]="Implemented")+(Recommendations[ImplStatus]="Compensated"))*ISNUMBER(MATCH(Recommendations[Id],J32:AW32,0)))/COUNTIF(J32:AW32,"&lt;&gt;"))</f>
        <v>0</v>
      </c>
      <c r="J32" s="93" t="s">
        <v>112</v>
      </c>
      <c r="K32" s="93" t="s">
        <v>133</v>
      </c>
      <c r="L32" s="93" t="s">
        <v>216</v>
      </c>
      <c r="M32" s="93" t="s">
        <v>266</v>
      </c>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950</v>
      </c>
      <c r="B33" s="84" t="s">
        <v>957</v>
      </c>
      <c r="C33" s="86" t="s">
        <v>958</v>
      </c>
      <c r="D33" s="88" t="s">
        <v>959</v>
      </c>
      <c r="E33" s="88" t="s">
        <v>960</v>
      </c>
      <c r="F33" s="89" t="s">
        <v>956</v>
      </c>
      <c r="G33" s="89" t="s">
        <v>897</v>
      </c>
      <c r="H33" s="89">
        <v>1</v>
      </c>
      <c r="I33" s="91" t="str">
        <f>IF(COUNTIF(J33:AW33,"&lt;&gt;")=0,"",SUMPRODUCT(((Recommendations[ImplStatus]="Implemented")+(Recommendations[ImplStatus]="Compensated"))*ISNUMBER(MATCH(Recommendations[Id],J33:AW33,0)))/COUNTIF(J33:AW33,"&lt;&gt;"))</f>
        <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950</v>
      </c>
      <c r="B34" s="84" t="s">
        <v>961</v>
      </c>
      <c r="C34" s="86" t="s">
        <v>962</v>
      </c>
      <c r="D34" s="88" t="s">
        <v>963</v>
      </c>
      <c r="E34" s="88" t="s">
        <v>964</v>
      </c>
      <c r="F34" s="89" t="s">
        <v>838</v>
      </c>
      <c r="G34" s="89" t="s">
        <v>881</v>
      </c>
      <c r="H34" s="89">
        <v>1</v>
      </c>
      <c r="I34" s="91">
        <f>IF(COUNTIF(J34:AW34,"&lt;&gt;")=0,"",SUMPRODUCT(((Recommendations[ImplStatus]="Implemented")+(Recommendations[ImplStatus]="Compensated"))*ISNUMBER(MATCH(Recommendations[Id],J34:AW34,0)))/COUNTIF(J34:AW34,"&lt;&gt;"))</f>
        <v>0</v>
      </c>
      <c r="J34" s="93" t="s">
        <v>81</v>
      </c>
      <c r="K34" s="93" t="s">
        <v>206</v>
      </c>
      <c r="L34" s="93" t="s">
        <v>225</v>
      </c>
      <c r="M34" s="93" t="s">
        <v>310</v>
      </c>
      <c r="N34" s="93" t="s">
        <v>372</v>
      </c>
      <c r="O34" s="93" t="s">
        <v>402</v>
      </c>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950</v>
      </c>
      <c r="B35" s="84" t="s">
        <v>965</v>
      </c>
      <c r="C35" s="86" t="s">
        <v>966</v>
      </c>
      <c r="D35" s="88" t="s">
        <v>967</v>
      </c>
      <c r="E35" s="88" t="s">
        <v>968</v>
      </c>
      <c r="F35" s="89" t="s">
        <v>838</v>
      </c>
      <c r="G35" s="89" t="s">
        <v>881</v>
      </c>
      <c r="H35" s="89">
        <v>1</v>
      </c>
      <c r="I35" s="91">
        <f>IF(COUNTIF(J35:AW35,"&lt;&gt;")=0,"",SUMPRODUCT(((Recommendations[ImplStatus]="Implemented")+(Recommendations[ImplStatus]="Compensated"))*ISNUMBER(MATCH(Recommendations[Id],J35:AW35,0)))/COUNTIF(J35:AW35,"&lt;&gt;"))</f>
        <v>0</v>
      </c>
      <c r="J35" s="93" t="s">
        <v>35</v>
      </c>
      <c r="K35" s="93" t="s">
        <v>56</v>
      </c>
      <c r="L35" s="93" t="s">
        <v>71</v>
      </c>
      <c r="M35" s="93" t="s">
        <v>407</v>
      </c>
      <c r="N35" s="93" t="s">
        <v>413</v>
      </c>
      <c r="O35" s="93" t="s">
        <v>453</v>
      </c>
      <c r="P35" s="93" t="s">
        <v>473</v>
      </c>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950</v>
      </c>
      <c r="B36" s="84" t="s">
        <v>969</v>
      </c>
      <c r="C36" s="86" t="s">
        <v>970</v>
      </c>
      <c r="D36" s="88" t="s">
        <v>971</v>
      </c>
      <c r="E36" s="88" t="s">
        <v>972</v>
      </c>
      <c r="F36" s="89" t="s">
        <v>838</v>
      </c>
      <c r="G36" s="89" t="s">
        <v>881</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950</v>
      </c>
      <c r="B37" s="84" t="s">
        <v>973</v>
      </c>
      <c r="C37" s="86" t="s">
        <v>974</v>
      </c>
      <c r="D37" s="88" t="s">
        <v>975</v>
      </c>
      <c r="E37" s="88" t="s">
        <v>976</v>
      </c>
      <c r="F37" s="89" t="s">
        <v>838</v>
      </c>
      <c r="G37" s="89" t="s">
        <v>881</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950</v>
      </c>
      <c r="B38" s="84" t="s">
        <v>977</v>
      </c>
      <c r="C38" s="86" t="s">
        <v>978</v>
      </c>
      <c r="D38" s="88" t="s">
        <v>979</v>
      </c>
      <c r="E38" s="88" t="s">
        <v>980</v>
      </c>
      <c r="F38" s="89" t="s">
        <v>981</v>
      </c>
      <c r="G38" s="89" t="s">
        <v>881</v>
      </c>
      <c r="H38" s="89">
        <v>1</v>
      </c>
      <c r="I38" s="91">
        <f>IF(COUNTIF(J38:AW38,"&lt;&gt;")=0,"",SUMPRODUCT(((Recommendations[ImplStatus]="Implemented")+(Recommendations[ImplStatus]="Compensated"))*ISNUMBER(MATCH(Recommendations[Id],J38:AW38,0)))/COUNTIF(J38:AW38,"&lt;&gt;"))</f>
        <v>0</v>
      </c>
      <c r="J38" s="93" t="s">
        <v>87</v>
      </c>
      <c r="K38" s="93" t="s">
        <v>92</v>
      </c>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950</v>
      </c>
      <c r="B39" s="84" t="s">
        <v>982</v>
      </c>
      <c r="C39" s="86" t="s">
        <v>983</v>
      </c>
      <c r="D39" s="88" t="s">
        <v>984</v>
      </c>
      <c r="E39" s="88" t="s">
        <v>985</v>
      </c>
      <c r="F39" s="89" t="s">
        <v>838</v>
      </c>
      <c r="G39" s="89" t="s">
        <v>881</v>
      </c>
      <c r="H39" s="89">
        <v>2</v>
      </c>
      <c r="I39" s="91">
        <f>IF(COUNTIF(J39:AW39,"&lt;&gt;")=0,"",SUMPRODUCT(((Recommendations[ImplStatus]="Implemented")+(Recommendations[ImplStatus]="Compensated"))*ISNUMBER(MATCH(Recommendations[Id],J39:AW39,0)))/COUNTIF(J39:AW39,"&lt;&gt;"))</f>
        <v>0</v>
      </c>
      <c r="J39" s="93" t="s">
        <v>14</v>
      </c>
      <c r="K39" s="93" t="s">
        <v>153</v>
      </c>
      <c r="L39" s="93" t="s">
        <v>291</v>
      </c>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950</v>
      </c>
      <c r="B40" s="84" t="s">
        <v>986</v>
      </c>
      <c r="C40" s="86" t="s">
        <v>987</v>
      </c>
      <c r="D40" s="88" t="s">
        <v>988</v>
      </c>
      <c r="E40" s="88" t="s">
        <v>989</v>
      </c>
      <c r="F40" s="89" t="s">
        <v>838</v>
      </c>
      <c r="G40" s="89" t="s">
        <v>881</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950</v>
      </c>
      <c r="B41" s="84" t="s">
        <v>990</v>
      </c>
      <c r="C41" s="86" t="s">
        <v>991</v>
      </c>
      <c r="D41" s="88" t="s">
        <v>992</v>
      </c>
      <c r="E41" s="88" t="s">
        <v>993</v>
      </c>
      <c r="F41" s="89" t="s">
        <v>838</v>
      </c>
      <c r="G41" s="89" t="s">
        <v>881</v>
      </c>
      <c r="H41" s="89">
        <v>2</v>
      </c>
      <c r="I41" s="91">
        <f>IF(COUNTIF(J41:AW41,"&lt;&gt;")=0,"",SUMPRODUCT(((Recommendations[ImplStatus]="Implemented")+(Recommendations[ImplStatus]="Compensated"))*ISNUMBER(MATCH(Recommendations[Id],J41:AW41,0)))/COUNTIF(J41:AW41,"&lt;&gt;"))</f>
        <v>0</v>
      </c>
      <c r="J41" s="93" t="s">
        <v>107</v>
      </c>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950</v>
      </c>
      <c r="B42" s="84" t="s">
        <v>994</v>
      </c>
      <c r="C42" s="86" t="s">
        <v>995</v>
      </c>
      <c r="D42" s="88" t="s">
        <v>996</v>
      </c>
      <c r="E42" s="88" t="s">
        <v>997</v>
      </c>
      <c r="F42" s="89" t="s">
        <v>896</v>
      </c>
      <c r="G42" s="89" t="s">
        <v>881</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950</v>
      </c>
      <c r="B43" s="84" t="s">
        <v>998</v>
      </c>
      <c r="C43" s="86" t="s">
        <v>999</v>
      </c>
      <c r="D43" s="88" t="s">
        <v>1000</v>
      </c>
      <c r="E43" s="88" t="s">
        <v>1001</v>
      </c>
      <c r="F43" s="89" t="s">
        <v>896</v>
      </c>
      <c r="G43" s="89" t="s">
        <v>881</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1002</v>
      </c>
      <c r="B44" s="83">
        <v>5</v>
      </c>
      <c r="C44" s="85" t="s">
        <v>21</v>
      </c>
      <c r="D44" s="87" t="s">
        <v>1003</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1002</v>
      </c>
      <c r="B45" s="84" t="s">
        <v>1004</v>
      </c>
      <c r="C45" s="86" t="s">
        <v>1005</v>
      </c>
      <c r="D45" s="88" t="s">
        <v>1006</v>
      </c>
      <c r="E45" s="88" t="s">
        <v>1007</v>
      </c>
      <c r="F45" s="89" t="s">
        <v>981</v>
      </c>
      <c r="G45" s="89" t="s">
        <v>839</v>
      </c>
      <c r="H45" s="89">
        <v>1</v>
      </c>
      <c r="I45" s="91">
        <f>IF(COUNTIF(J45:AW45,"&lt;&gt;")=0,"",SUMPRODUCT(((Recommendations[ImplStatus]="Implemented")+(Recommendations[ImplStatus]="Compensated"))*ISNUMBER(MATCH(Recommendations[Id],J45:AW45,0)))/COUNTIF(J45:AW45,"&lt;&gt;"))</f>
        <v>0</v>
      </c>
      <c r="J45" s="93" t="s">
        <v>87</v>
      </c>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1002</v>
      </c>
      <c r="B46" s="84" t="s">
        <v>1008</v>
      </c>
      <c r="C46" s="86" t="s">
        <v>1009</v>
      </c>
      <c r="D46" s="88" t="s">
        <v>1010</v>
      </c>
      <c r="E46" s="88" t="s">
        <v>1011</v>
      </c>
      <c r="F46" s="89" t="s">
        <v>981</v>
      </c>
      <c r="G46" s="89" t="s">
        <v>881</v>
      </c>
      <c r="H46" s="89">
        <v>1</v>
      </c>
      <c r="I46" s="91">
        <f>IF(COUNTIF(J46:AW46,"&lt;&gt;")=0,"",SUMPRODUCT(((Recommendations[ImplStatus]="Implemented")+(Recommendations[ImplStatus]="Compensated"))*ISNUMBER(MATCH(Recommendations[Id],J46:AW46,0)))/COUNTIF(J46:AW46,"&lt;&gt;"))</f>
        <v>0</v>
      </c>
      <c r="J46" s="93" t="s">
        <v>168</v>
      </c>
      <c r="K46" s="93" t="s">
        <v>173</v>
      </c>
      <c r="L46" s="93" t="s">
        <v>178</v>
      </c>
      <c r="M46" s="93" t="s">
        <v>183</v>
      </c>
      <c r="N46" s="93" t="s">
        <v>187</v>
      </c>
      <c r="O46" s="93" t="s">
        <v>191</v>
      </c>
      <c r="P46" s="93" t="s">
        <v>196</v>
      </c>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1002</v>
      </c>
      <c r="B47" s="84" t="s">
        <v>1012</v>
      </c>
      <c r="C47" s="86" t="s">
        <v>1013</v>
      </c>
      <c r="D47" s="88" t="s">
        <v>1014</v>
      </c>
      <c r="E47" s="88" t="s">
        <v>1015</v>
      </c>
      <c r="F47" s="89" t="s">
        <v>981</v>
      </c>
      <c r="G47" s="89" t="s">
        <v>881</v>
      </c>
      <c r="H47" s="89">
        <v>1</v>
      </c>
      <c r="I47" s="91">
        <f>IF(COUNTIF(J47:AW47,"&lt;&gt;")=0,"",SUMPRODUCT(((Recommendations[ImplStatus]="Implemented")+(Recommendations[ImplStatus]="Compensated"))*ISNUMBER(MATCH(Recommendations[Id],J47:AW47,0)))/COUNTIF(J47:AW47,"&lt;&gt;"))</f>
        <v>0</v>
      </c>
      <c r="J47" s="93" t="s">
        <v>92</v>
      </c>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1002</v>
      </c>
      <c r="B48" s="84" t="s">
        <v>1016</v>
      </c>
      <c r="C48" s="86" t="s">
        <v>1017</v>
      </c>
      <c r="D48" s="88" t="s">
        <v>1018</v>
      </c>
      <c r="E48" s="88" t="s">
        <v>1019</v>
      </c>
      <c r="F48" s="89" t="s">
        <v>981</v>
      </c>
      <c r="G48" s="89" t="s">
        <v>881</v>
      </c>
      <c r="H48" s="89">
        <v>1</v>
      </c>
      <c r="I48" s="91">
        <f>IF(COUNTIF(J48:AW48,"&lt;&gt;")=0,"",SUMPRODUCT(((Recommendations[ImplStatus]="Implemented")+(Recommendations[ImplStatus]="Compensated"))*ISNUMBER(MATCH(Recommendations[Id],J48:AW48,0)))/COUNTIF(J48:AW48,"&lt;&gt;"))</f>
        <v>0</v>
      </c>
      <c r="J48" s="93" t="s">
        <v>102</v>
      </c>
      <c r="K48" s="93" t="s">
        <v>363</v>
      </c>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1002</v>
      </c>
      <c r="B49" s="84" t="s">
        <v>1020</v>
      </c>
      <c r="C49" s="86" t="s">
        <v>1021</v>
      </c>
      <c r="D49" s="88" t="s">
        <v>1022</v>
      </c>
      <c r="E49" s="88" t="s">
        <v>1023</v>
      </c>
      <c r="F49" s="89" t="s">
        <v>981</v>
      </c>
      <c r="G49" s="89" t="s">
        <v>839</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1002</v>
      </c>
      <c r="B50" s="84" t="s">
        <v>1024</v>
      </c>
      <c r="C50" s="86" t="s">
        <v>1025</v>
      </c>
      <c r="D50" s="88" t="s">
        <v>1026</v>
      </c>
      <c r="E50" s="88" t="s">
        <v>1027</v>
      </c>
      <c r="F50" s="89" t="s">
        <v>981</v>
      </c>
      <c r="G50" s="89" t="s">
        <v>897</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1028</v>
      </c>
      <c r="B51" s="83">
        <v>6</v>
      </c>
      <c r="C51" s="85" t="s">
        <v>21</v>
      </c>
      <c r="D51" s="87" t="s">
        <v>1029</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1028</v>
      </c>
      <c r="B52" s="84" t="s">
        <v>1030</v>
      </c>
      <c r="C52" s="86" t="s">
        <v>1031</v>
      </c>
      <c r="D52" s="88" t="s">
        <v>1032</v>
      </c>
      <c r="E52" s="88" t="s">
        <v>1033</v>
      </c>
      <c r="F52" s="89" t="s">
        <v>956</v>
      </c>
      <c r="G52" s="89" t="s">
        <v>897</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1028</v>
      </c>
      <c r="B53" s="84" t="s">
        <v>1034</v>
      </c>
      <c r="C53" s="86" t="s">
        <v>1035</v>
      </c>
      <c r="D53" s="88" t="s">
        <v>1036</v>
      </c>
      <c r="E53" s="88" t="s">
        <v>1037</v>
      </c>
      <c r="F53" s="89" t="s">
        <v>956</v>
      </c>
      <c r="G53" s="89" t="s">
        <v>897</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1028</v>
      </c>
      <c r="B54" s="84" t="s">
        <v>1038</v>
      </c>
      <c r="C54" s="86" t="s">
        <v>1039</v>
      </c>
      <c r="D54" s="88" t="s">
        <v>1040</v>
      </c>
      <c r="E54" s="88" t="s">
        <v>1041</v>
      </c>
      <c r="F54" s="89" t="s">
        <v>981</v>
      </c>
      <c r="G54" s="89" t="s">
        <v>881</v>
      </c>
      <c r="H54" s="89">
        <v>1</v>
      </c>
      <c r="I54" s="91">
        <f>IF(COUNTIF(J54:AW54,"&lt;&gt;")=0,"",SUMPRODUCT(((Recommendations[ImplStatus]="Implemented")+(Recommendations[ImplStatus]="Compensated"))*ISNUMBER(MATCH(Recommendations[Id],J54:AW54,0)))/COUNTIF(J54:AW54,"&lt;&gt;"))</f>
        <v>0</v>
      </c>
      <c r="J54" s="93" t="s">
        <v>158</v>
      </c>
      <c r="K54" s="93" t="s">
        <v>295</v>
      </c>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1028</v>
      </c>
      <c r="B55" s="84" t="s">
        <v>1042</v>
      </c>
      <c r="C55" s="86" t="s">
        <v>1043</v>
      </c>
      <c r="D55" s="88" t="s">
        <v>1044</v>
      </c>
      <c r="E55" s="88" t="s">
        <v>1045</v>
      </c>
      <c r="F55" s="89" t="s">
        <v>981</v>
      </c>
      <c r="G55" s="89" t="s">
        <v>881</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1028</v>
      </c>
      <c r="B56" s="84" t="s">
        <v>1046</v>
      </c>
      <c r="C56" s="86" t="s">
        <v>1047</v>
      </c>
      <c r="D56" s="88" t="s">
        <v>1048</v>
      </c>
      <c r="E56" s="88" t="s">
        <v>1049</v>
      </c>
      <c r="F56" s="89" t="s">
        <v>981</v>
      </c>
      <c r="G56" s="89" t="s">
        <v>881</v>
      </c>
      <c r="H56" s="89">
        <v>1</v>
      </c>
      <c r="I56" s="91">
        <f>IF(COUNTIF(J56:AW56,"&lt;&gt;")=0,"",SUMPRODUCT(((Recommendations[ImplStatus]="Implemented")+(Recommendations[ImplStatus]="Compensated"))*ISNUMBER(MATCH(Recommendations[Id],J56:AW56,0)))/COUNTIF(J56:AW56,"&lt;&gt;"))</f>
        <v>0</v>
      </c>
      <c r="J56" s="93" t="s">
        <v>158</v>
      </c>
      <c r="K56" s="93" t="s">
        <v>295</v>
      </c>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1028</v>
      </c>
      <c r="B57" s="84" t="s">
        <v>1050</v>
      </c>
      <c r="C57" s="86" t="s">
        <v>1051</v>
      </c>
      <c r="D57" s="88" t="s">
        <v>1052</v>
      </c>
      <c r="E57" s="88" t="s">
        <v>1053</v>
      </c>
      <c r="F57" s="89" t="s">
        <v>864</v>
      </c>
      <c r="G57" s="89" t="s">
        <v>839</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1028</v>
      </c>
      <c r="B58" s="84" t="s">
        <v>1054</v>
      </c>
      <c r="C58" s="86" t="s">
        <v>1055</v>
      </c>
      <c r="D58" s="88" t="s">
        <v>1056</v>
      </c>
      <c r="E58" s="88" t="s">
        <v>1057</v>
      </c>
      <c r="F58" s="89" t="s">
        <v>981</v>
      </c>
      <c r="G58" s="89" t="s">
        <v>881</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1028</v>
      </c>
      <c r="B59" s="84" t="s">
        <v>1058</v>
      </c>
      <c r="C59" s="86" t="s">
        <v>1059</v>
      </c>
      <c r="D59" s="88" t="s">
        <v>1060</v>
      </c>
      <c r="E59" s="88" t="s">
        <v>1061</v>
      </c>
      <c r="F59" s="89" t="s">
        <v>981</v>
      </c>
      <c r="G59" s="89" t="s">
        <v>897</v>
      </c>
      <c r="H59" s="89">
        <v>3</v>
      </c>
      <c r="I59" s="91">
        <f>IF(COUNTIF(J59:AW59,"&lt;&gt;")=0,"",SUMPRODUCT(((Recommendations[ImplStatus]="Implemented")+(Recommendations[ImplStatus]="Compensated"))*ISNUMBER(MATCH(Recommendations[Id],J59:AW59,0)))/COUNTIF(J59:AW59,"&lt;&gt;"))</f>
        <v>0</v>
      </c>
      <c r="J59" s="93" t="s">
        <v>97</v>
      </c>
      <c r="K59" s="93" t="s">
        <v>256</v>
      </c>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1062</v>
      </c>
      <c r="B60" s="83">
        <v>7</v>
      </c>
      <c r="C60" s="85" t="s">
        <v>21</v>
      </c>
      <c r="D60" s="87" t="s">
        <v>1063</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1062</v>
      </c>
      <c r="B61" s="84" t="s">
        <v>1064</v>
      </c>
      <c r="C61" s="86" t="s">
        <v>1065</v>
      </c>
      <c r="D61" s="88" t="s">
        <v>1066</v>
      </c>
      <c r="E61" s="88" t="s">
        <v>1067</v>
      </c>
      <c r="F61" s="89" t="s">
        <v>956</v>
      </c>
      <c r="G61" s="89" t="s">
        <v>897</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1062</v>
      </c>
      <c r="B62" s="84" t="s">
        <v>1068</v>
      </c>
      <c r="C62" s="86" t="s">
        <v>1069</v>
      </c>
      <c r="D62" s="88" t="s">
        <v>1070</v>
      </c>
      <c r="E62" s="88" t="s">
        <v>1071</v>
      </c>
      <c r="F62" s="89" t="s">
        <v>956</v>
      </c>
      <c r="G62" s="89" t="s">
        <v>897</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1062</v>
      </c>
      <c r="B63" s="84" t="s">
        <v>1072</v>
      </c>
      <c r="C63" s="86" t="s">
        <v>1073</v>
      </c>
      <c r="D63" s="88" t="s">
        <v>1074</v>
      </c>
      <c r="E63" s="88" t="s">
        <v>1075</v>
      </c>
      <c r="F63" s="89" t="s">
        <v>864</v>
      </c>
      <c r="G63" s="89" t="s">
        <v>881</v>
      </c>
      <c r="H63" s="89">
        <v>1</v>
      </c>
      <c r="I63" s="91">
        <f>IF(COUNTIF(J63:AW63,"&lt;&gt;")=0,"",SUMPRODUCT(((Recommendations[ImplStatus]="Implemented")+(Recommendations[ImplStatus]="Compensated"))*ISNUMBER(MATCH(Recommendations[Id],J63:AW63,0)))/COUNTIF(J63:AW63,"&lt;&gt;"))</f>
        <v>0</v>
      </c>
      <c r="J63" s="93" t="s">
        <v>143</v>
      </c>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1062</v>
      </c>
      <c r="B64" s="84" t="s">
        <v>1076</v>
      </c>
      <c r="C64" s="86" t="s">
        <v>1077</v>
      </c>
      <c r="D64" s="88" t="s">
        <v>1078</v>
      </c>
      <c r="E64" s="88" t="s">
        <v>1079</v>
      </c>
      <c r="F64" s="89" t="s">
        <v>864</v>
      </c>
      <c r="G64" s="89" t="s">
        <v>881</v>
      </c>
      <c r="H64" s="89">
        <v>1</v>
      </c>
      <c r="I64" s="91" t="str">
        <f>IF(COUNTIF(J64:AW64,"&lt;&gt;")=0,"",SUMPRODUCT(((Recommendations[ImplStatus]="Implemented")+(Recommendations[ImplStatus]="Compensated"))*ISNUMBER(MATCH(Recommendations[Id],J64:AW64,0)))/COUNTIF(J64:AW64,"&lt;&gt;"))</f>
        <v/>
      </c>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1062</v>
      </c>
      <c r="B65" s="84" t="s">
        <v>1080</v>
      </c>
      <c r="C65" s="86" t="s">
        <v>1081</v>
      </c>
      <c r="D65" s="88" t="s">
        <v>1082</v>
      </c>
      <c r="E65" s="88" t="s">
        <v>1083</v>
      </c>
      <c r="F65" s="89" t="s">
        <v>864</v>
      </c>
      <c r="G65" s="89" t="s">
        <v>839</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1062</v>
      </c>
      <c r="B66" s="84" t="s">
        <v>1084</v>
      </c>
      <c r="C66" s="86" t="s">
        <v>1085</v>
      </c>
      <c r="D66" s="88" t="s">
        <v>1086</v>
      </c>
      <c r="E66" s="88" t="s">
        <v>1087</v>
      </c>
      <c r="F66" s="89" t="s">
        <v>864</v>
      </c>
      <c r="G66" s="89" t="s">
        <v>839</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1062</v>
      </c>
      <c r="B67" s="84" t="s">
        <v>1088</v>
      </c>
      <c r="C67" s="86" t="s">
        <v>1089</v>
      </c>
      <c r="D67" s="88" t="s">
        <v>1090</v>
      </c>
      <c r="E67" s="88" t="s">
        <v>1091</v>
      </c>
      <c r="F67" s="89" t="s">
        <v>864</v>
      </c>
      <c r="G67" s="89" t="s">
        <v>844</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1092</v>
      </c>
      <c r="B68" s="83">
        <v>8</v>
      </c>
      <c r="C68" s="85" t="s">
        <v>21</v>
      </c>
      <c r="D68" s="87" t="s">
        <v>1093</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1092</v>
      </c>
      <c r="B69" s="84" t="s">
        <v>1094</v>
      </c>
      <c r="C69" s="86" t="s">
        <v>1095</v>
      </c>
      <c r="D69" s="88" t="s">
        <v>1096</v>
      </c>
      <c r="E69" s="88" t="s">
        <v>1097</v>
      </c>
      <c r="F69" s="89" t="s">
        <v>956</v>
      </c>
      <c r="G69" s="89" t="s">
        <v>897</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1092</v>
      </c>
      <c r="B70" s="84" t="s">
        <v>1098</v>
      </c>
      <c r="C70" s="86" t="s">
        <v>1099</v>
      </c>
      <c r="D70" s="88" t="s">
        <v>1100</v>
      </c>
      <c r="E70" s="88" t="s">
        <v>1101</v>
      </c>
      <c r="F70" s="89" t="s">
        <v>896</v>
      </c>
      <c r="G70" s="89" t="s">
        <v>849</v>
      </c>
      <c r="H70" s="89">
        <v>1</v>
      </c>
      <c r="I70" s="91">
        <f>IF(COUNTIF(J70:AW70,"&lt;&gt;")=0,"",SUMPRODUCT(((Recommendations[ImplStatus]="Implemented")+(Recommendations[ImplStatus]="Compensated"))*ISNUMBER(MATCH(Recommendations[Id],J70:AW70,0)))/COUNTIF(J70:AW70,"&lt;&gt;"))</f>
        <v>0</v>
      </c>
      <c r="J70" s="93" t="s">
        <v>123</v>
      </c>
      <c r="K70" s="93" t="s">
        <v>418</v>
      </c>
      <c r="L70" s="93" t="s">
        <v>423</v>
      </c>
      <c r="M70" s="93" t="s">
        <v>428</v>
      </c>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1092</v>
      </c>
      <c r="B71" s="84" t="s">
        <v>1102</v>
      </c>
      <c r="C71" s="86" t="s">
        <v>1103</v>
      </c>
      <c r="D71" s="88" t="s">
        <v>1104</v>
      </c>
      <c r="E71" s="88" t="s">
        <v>1105</v>
      </c>
      <c r="F71" s="89" t="s">
        <v>896</v>
      </c>
      <c r="G71" s="89" t="s">
        <v>881</v>
      </c>
      <c r="H71" s="89">
        <v>1</v>
      </c>
      <c r="I71" s="91">
        <f>IF(COUNTIF(J71:AW71,"&lt;&gt;")=0,"",SUMPRODUCT(((Recommendations[ImplStatus]="Implemented")+(Recommendations[ImplStatus]="Compensated"))*ISNUMBER(MATCH(Recommendations[Id],J71:AW71,0)))/COUNTIF(J71:AW71,"&lt;&gt;"))</f>
        <v>0</v>
      </c>
      <c r="J71" s="93" t="s">
        <v>117</v>
      </c>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1092</v>
      </c>
      <c r="B72" s="84" t="s">
        <v>1106</v>
      </c>
      <c r="C72" s="86" t="s">
        <v>1107</v>
      </c>
      <c r="D72" s="88" t="s">
        <v>1108</v>
      </c>
      <c r="E72" s="88" t="s">
        <v>1109</v>
      </c>
      <c r="F72" s="89" t="s">
        <v>1110</v>
      </c>
      <c r="G72" s="89" t="s">
        <v>881</v>
      </c>
      <c r="H72" s="89">
        <v>2</v>
      </c>
      <c r="I72" s="91">
        <f>IF(COUNTIF(J72:AW72,"&lt;&gt;")=0,"",SUMPRODUCT(((Recommendations[ImplStatus]="Implemented")+(Recommendations[ImplStatus]="Compensated"))*ISNUMBER(MATCH(Recommendations[Id],J72:AW72,0)))/COUNTIF(J72:AW72,"&lt;&gt;"))</f>
        <v>0</v>
      </c>
      <c r="J72" s="93" t="s">
        <v>128</v>
      </c>
      <c r="K72" s="93" t="s">
        <v>163</v>
      </c>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1092</v>
      </c>
      <c r="B73" s="84" t="s">
        <v>1111</v>
      </c>
      <c r="C73" s="86" t="s">
        <v>1112</v>
      </c>
      <c r="D73" s="88" t="s">
        <v>1113</v>
      </c>
      <c r="E73" s="88" t="s">
        <v>1114</v>
      </c>
      <c r="F73" s="89" t="s">
        <v>896</v>
      </c>
      <c r="G73" s="89" t="s">
        <v>849</v>
      </c>
      <c r="H73" s="89">
        <v>2</v>
      </c>
      <c r="I73" s="91">
        <f>IF(COUNTIF(J73:AW73,"&lt;&gt;")=0,"",SUMPRODUCT(((Recommendations[ImplStatus]="Implemented")+(Recommendations[ImplStatus]="Compensated"))*ISNUMBER(MATCH(Recommendations[Id],J73:AW73,0)))/COUNTIF(J73:AW73,"&lt;&gt;"))</f>
        <v>0</v>
      </c>
      <c r="J73" s="93" t="s">
        <v>102</v>
      </c>
      <c r="K73" s="93" t="s">
        <v>123</v>
      </c>
      <c r="L73" s="93" t="s">
        <v>418</v>
      </c>
      <c r="M73" s="93" t="s">
        <v>423</v>
      </c>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1092</v>
      </c>
      <c r="B74" s="84" t="s">
        <v>1115</v>
      </c>
      <c r="C74" s="86" t="s">
        <v>1116</v>
      </c>
      <c r="D74" s="88" t="s">
        <v>1117</v>
      </c>
      <c r="E74" s="88" t="s">
        <v>1118</v>
      </c>
      <c r="F74" s="89" t="s">
        <v>896</v>
      </c>
      <c r="G74" s="89" t="s">
        <v>849</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1092</v>
      </c>
      <c r="B75" s="84" t="s">
        <v>1119</v>
      </c>
      <c r="C75" s="86" t="s">
        <v>1120</v>
      </c>
      <c r="D75" s="88" t="s">
        <v>1121</v>
      </c>
      <c r="E75" s="88" t="s">
        <v>1122</v>
      </c>
      <c r="F75" s="89" t="s">
        <v>896</v>
      </c>
      <c r="G75" s="89" t="s">
        <v>849</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1092</v>
      </c>
      <c r="B76" s="84" t="s">
        <v>1123</v>
      </c>
      <c r="C76" s="86" t="s">
        <v>1124</v>
      </c>
      <c r="D76" s="88" t="s">
        <v>1125</v>
      </c>
      <c r="E76" s="88" t="s">
        <v>1126</v>
      </c>
      <c r="F76" s="89" t="s">
        <v>896</v>
      </c>
      <c r="G76" s="89" t="s">
        <v>849</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1092</v>
      </c>
      <c r="B77" s="84" t="s">
        <v>1127</v>
      </c>
      <c r="C77" s="86" t="s">
        <v>1128</v>
      </c>
      <c r="D77" s="88" t="s">
        <v>1129</v>
      </c>
      <c r="E77" s="88" t="s">
        <v>1130</v>
      </c>
      <c r="F77" s="89" t="s">
        <v>896</v>
      </c>
      <c r="G77" s="89" t="s">
        <v>849</v>
      </c>
      <c r="H77" s="89">
        <v>2</v>
      </c>
      <c r="I77" s="91">
        <f>IF(COUNTIF(J77:AW77,"&lt;&gt;")=0,"",SUMPRODUCT(((Recommendations[ImplStatus]="Implemented")+(Recommendations[ImplStatus]="Compensated"))*ISNUMBER(MATCH(Recommendations[Id],J77:AW77,0)))/COUNTIF(J77:AW77,"&lt;&gt;"))</f>
        <v>0</v>
      </c>
      <c r="J77" s="93" t="s">
        <v>428</v>
      </c>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1092</v>
      </c>
      <c r="B78" s="84" t="s">
        <v>1131</v>
      </c>
      <c r="C78" s="86" t="s">
        <v>1132</v>
      </c>
      <c r="D78" s="88" t="s">
        <v>1133</v>
      </c>
      <c r="E78" s="88" t="s">
        <v>1134</v>
      </c>
      <c r="F78" s="89" t="s">
        <v>896</v>
      </c>
      <c r="G78" s="89" t="s">
        <v>881</v>
      </c>
      <c r="H78" s="89">
        <v>2</v>
      </c>
      <c r="I78" s="91">
        <f>IF(COUNTIF(J78:AW78,"&lt;&gt;")=0,"",SUMPRODUCT(((Recommendations[ImplStatus]="Implemented")+(Recommendations[ImplStatus]="Compensated"))*ISNUMBER(MATCH(Recommendations[Id],J78:AW78,0)))/COUNTIF(J78:AW78,"&lt;&gt;"))</f>
        <v>0</v>
      </c>
      <c r="J78" s="93" t="s">
        <v>117</v>
      </c>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1092</v>
      </c>
      <c r="B79" s="84" t="s">
        <v>1135</v>
      </c>
      <c r="C79" s="86" t="s">
        <v>1136</v>
      </c>
      <c r="D79" s="88" t="s">
        <v>1137</v>
      </c>
      <c r="E79" s="88" t="s">
        <v>1138</v>
      </c>
      <c r="F79" s="89" t="s">
        <v>896</v>
      </c>
      <c r="G79" s="89" t="s">
        <v>849</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1092</v>
      </c>
      <c r="B80" s="84" t="s">
        <v>1139</v>
      </c>
      <c r="C80" s="86" t="s">
        <v>1140</v>
      </c>
      <c r="D80" s="88" t="s">
        <v>1141</v>
      </c>
      <c r="E80" s="88" t="s">
        <v>1142</v>
      </c>
      <c r="F80" s="89" t="s">
        <v>896</v>
      </c>
      <c r="G80" s="89" t="s">
        <v>849</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1143</v>
      </c>
      <c r="B81" s="83">
        <v>9</v>
      </c>
      <c r="C81" s="85" t="s">
        <v>21</v>
      </c>
      <c r="D81" s="87" t="s">
        <v>1144</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1143</v>
      </c>
      <c r="B82" s="84" t="s">
        <v>1145</v>
      </c>
      <c r="C82" s="86" t="s">
        <v>1146</v>
      </c>
      <c r="D82" s="88" t="s">
        <v>1147</v>
      </c>
      <c r="E82" s="88" t="s">
        <v>1148</v>
      </c>
      <c r="F82" s="89" t="s">
        <v>864</v>
      </c>
      <c r="G82" s="89" t="s">
        <v>881</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1143</v>
      </c>
      <c r="B83" s="84" t="s">
        <v>1149</v>
      </c>
      <c r="C83" s="86" t="s">
        <v>1150</v>
      </c>
      <c r="D83" s="88" t="s">
        <v>1151</v>
      </c>
      <c r="E83" s="88" t="s">
        <v>1152</v>
      </c>
      <c r="F83" s="89" t="s">
        <v>838</v>
      </c>
      <c r="G83" s="89" t="s">
        <v>881</v>
      </c>
      <c r="H83" s="89">
        <v>1</v>
      </c>
      <c r="I83" s="91">
        <f>IF(COUNTIF(J83:AW83,"&lt;&gt;")=0,"",SUMPRODUCT(((Recommendations[ImplStatus]="Implemented")+(Recommendations[ImplStatus]="Compensated"))*ISNUMBER(MATCH(Recommendations[Id],J83:AW83,0)))/COUNTIF(J83:AW83,"&lt;&gt;"))</f>
        <v>0</v>
      </c>
      <c r="J83" s="93" t="s">
        <v>25</v>
      </c>
      <c r="K83" s="93" t="s">
        <v>30</v>
      </c>
      <c r="L83" s="93" t="s">
        <v>40</v>
      </c>
      <c r="M83" s="93" t="s">
        <v>45</v>
      </c>
      <c r="N83" s="93" t="s">
        <v>50</v>
      </c>
      <c r="O83" s="93" t="s">
        <v>61</v>
      </c>
      <c r="P83" s="93" t="s">
        <v>66</v>
      </c>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1143</v>
      </c>
      <c r="B84" s="84" t="s">
        <v>1153</v>
      </c>
      <c r="C84" s="86" t="s">
        <v>1154</v>
      </c>
      <c r="D84" s="88" t="s">
        <v>1155</v>
      </c>
      <c r="E84" s="88" t="s">
        <v>1156</v>
      </c>
      <c r="F84" s="89" t="s">
        <v>1110</v>
      </c>
      <c r="G84" s="89" t="s">
        <v>881</v>
      </c>
      <c r="H84" s="89">
        <v>2</v>
      </c>
      <c r="I84" s="91">
        <f>IF(COUNTIF(J84:AW84,"&lt;&gt;")=0,"",SUMPRODUCT(((Recommendations[ImplStatus]="Implemented")+(Recommendations[ImplStatus]="Compensated"))*ISNUMBER(MATCH(Recommendations[Id],J84:AW84,0)))/COUNTIF(J84:AW84,"&lt;&gt;"))</f>
        <v>0</v>
      </c>
      <c r="J84" s="93" t="s">
        <v>241</v>
      </c>
      <c r="K84" s="93" t="s">
        <v>246</v>
      </c>
      <c r="L84" s="93" t="s">
        <v>251</v>
      </c>
      <c r="M84" s="93" t="s">
        <v>276</v>
      </c>
      <c r="N84" s="93" t="s">
        <v>281</v>
      </c>
      <c r="O84" s="93" t="s">
        <v>286</v>
      </c>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1143</v>
      </c>
      <c r="B85" s="84" t="s">
        <v>1157</v>
      </c>
      <c r="C85" s="86" t="s">
        <v>1158</v>
      </c>
      <c r="D85" s="88" t="s">
        <v>1159</v>
      </c>
      <c r="E85" s="88" t="s">
        <v>1160</v>
      </c>
      <c r="F85" s="89" t="s">
        <v>864</v>
      </c>
      <c r="G85" s="89" t="s">
        <v>881</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1143</v>
      </c>
      <c r="B86" s="84" t="s">
        <v>1161</v>
      </c>
      <c r="C86" s="86" t="s">
        <v>1162</v>
      </c>
      <c r="D86" s="88" t="s">
        <v>1163</v>
      </c>
      <c r="E86" s="88" t="s">
        <v>1164</v>
      </c>
      <c r="F86" s="89" t="s">
        <v>1110</v>
      </c>
      <c r="G86" s="89" t="s">
        <v>881</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1143</v>
      </c>
      <c r="B87" s="84" t="s">
        <v>1165</v>
      </c>
      <c r="C87" s="86" t="s">
        <v>1166</v>
      </c>
      <c r="D87" s="88" t="s">
        <v>1167</v>
      </c>
      <c r="E87" s="88" t="s">
        <v>1168</v>
      </c>
      <c r="F87" s="89" t="s">
        <v>1110</v>
      </c>
      <c r="G87" s="89" t="s">
        <v>881</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1143</v>
      </c>
      <c r="B88" s="84" t="s">
        <v>1169</v>
      </c>
      <c r="C88" s="86" t="s">
        <v>1170</v>
      </c>
      <c r="D88" s="88" t="s">
        <v>1171</v>
      </c>
      <c r="E88" s="88" t="s">
        <v>1172</v>
      </c>
      <c r="F88" s="89" t="s">
        <v>1110</v>
      </c>
      <c r="G88" s="89" t="s">
        <v>881</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1173</v>
      </c>
      <c r="B89" s="83">
        <v>10</v>
      </c>
      <c r="C89" s="85" t="s">
        <v>21</v>
      </c>
      <c r="D89" s="87" t="s">
        <v>1174</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1173</v>
      </c>
      <c r="B90" s="84" t="s">
        <v>1175</v>
      </c>
      <c r="C90" s="86" t="s">
        <v>1176</v>
      </c>
      <c r="D90" s="88" t="s">
        <v>1177</v>
      </c>
      <c r="E90" s="88" t="s">
        <v>1178</v>
      </c>
      <c r="F90" s="89" t="s">
        <v>838</v>
      </c>
      <c r="G90" s="89" t="s">
        <v>849</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1173</v>
      </c>
      <c r="B91" s="84" t="s">
        <v>1179</v>
      </c>
      <c r="C91" s="86" t="s">
        <v>1180</v>
      </c>
      <c r="D91" s="88" t="s">
        <v>1181</v>
      </c>
      <c r="E91" s="88" t="s">
        <v>1182</v>
      </c>
      <c r="F91" s="89" t="s">
        <v>838</v>
      </c>
      <c r="G91" s="89" t="s">
        <v>881</v>
      </c>
      <c r="H91" s="89">
        <v>1</v>
      </c>
      <c r="I91" s="91">
        <f>IF(COUNTIF(J91:AW91,"&lt;&gt;")=0,"",SUMPRODUCT(((Recommendations[ImplStatus]="Implemented")+(Recommendations[ImplStatus]="Compensated"))*ISNUMBER(MATCH(Recommendations[Id],J91:AW91,0)))/COUNTIF(J91:AW91,"&lt;&gt;"))</f>
        <v>0</v>
      </c>
      <c r="J91" s="93" t="s">
        <v>330</v>
      </c>
      <c r="K91" s="93" t="s">
        <v>335</v>
      </c>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1173</v>
      </c>
      <c r="B92" s="84" t="s">
        <v>1183</v>
      </c>
      <c r="C92" s="86" t="s">
        <v>1184</v>
      </c>
      <c r="D92" s="88" t="s">
        <v>1185</v>
      </c>
      <c r="E92" s="88" t="s">
        <v>1186</v>
      </c>
      <c r="F92" s="89" t="s">
        <v>838</v>
      </c>
      <c r="G92" s="89" t="s">
        <v>881</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1173</v>
      </c>
      <c r="B93" s="84" t="s">
        <v>1187</v>
      </c>
      <c r="C93" s="86" t="s">
        <v>1188</v>
      </c>
      <c r="D93" s="88" t="s">
        <v>1189</v>
      </c>
      <c r="E93" s="88" t="s">
        <v>1190</v>
      </c>
      <c r="F93" s="89" t="s">
        <v>838</v>
      </c>
      <c r="G93" s="89" t="s">
        <v>849</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1173</v>
      </c>
      <c r="B94" s="84" t="s">
        <v>1191</v>
      </c>
      <c r="C94" s="86" t="s">
        <v>1192</v>
      </c>
      <c r="D94" s="88" t="s">
        <v>1193</v>
      </c>
      <c r="E94" s="88" t="s">
        <v>1194</v>
      </c>
      <c r="F94" s="89" t="s">
        <v>838</v>
      </c>
      <c r="G94" s="89" t="s">
        <v>881</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1173</v>
      </c>
      <c r="B95" s="84" t="s">
        <v>1195</v>
      </c>
      <c r="C95" s="86" t="s">
        <v>1196</v>
      </c>
      <c r="D95" s="88" t="s">
        <v>1197</v>
      </c>
      <c r="E95" s="88" t="s">
        <v>1198</v>
      </c>
      <c r="F95" s="89" t="s">
        <v>838</v>
      </c>
      <c r="G95" s="89" t="s">
        <v>881</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1173</v>
      </c>
      <c r="B96" s="84" t="s">
        <v>1199</v>
      </c>
      <c r="C96" s="86" t="s">
        <v>1200</v>
      </c>
      <c r="D96" s="88" t="s">
        <v>1201</v>
      </c>
      <c r="E96" s="88" t="s">
        <v>1202</v>
      </c>
      <c r="F96" s="89" t="s">
        <v>838</v>
      </c>
      <c r="G96" s="89" t="s">
        <v>849</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1203</v>
      </c>
      <c r="B97" s="83">
        <v>11</v>
      </c>
      <c r="C97" s="85" t="s">
        <v>21</v>
      </c>
      <c r="D97" s="87" t="s">
        <v>1204</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1203</v>
      </c>
      <c r="B98" s="84" t="s">
        <v>1205</v>
      </c>
      <c r="C98" s="86" t="s">
        <v>1206</v>
      </c>
      <c r="D98" s="88" t="s">
        <v>1207</v>
      </c>
      <c r="E98" s="88" t="s">
        <v>1208</v>
      </c>
      <c r="F98" s="89" t="s">
        <v>956</v>
      </c>
      <c r="G98" s="89" t="s">
        <v>897</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1203</v>
      </c>
      <c r="B99" s="84" t="s">
        <v>1209</v>
      </c>
      <c r="C99" s="86" t="s">
        <v>1210</v>
      </c>
      <c r="D99" s="88" t="s">
        <v>1211</v>
      </c>
      <c r="E99" s="88" t="s">
        <v>1212</v>
      </c>
      <c r="F99" s="89" t="s">
        <v>896</v>
      </c>
      <c r="G99" s="89" t="s">
        <v>1213</v>
      </c>
      <c r="H99" s="89">
        <v>1</v>
      </c>
      <c r="I99" s="91">
        <f>IF(COUNTIF(J99:AW99,"&lt;&gt;")=0,"",SUMPRODUCT(((Recommendations[ImplStatus]="Implemented")+(Recommendations[ImplStatus]="Compensated"))*ISNUMBER(MATCH(Recommendations[Id],J99:AW99,0)))/COUNTIF(J99:AW99,"&lt;&gt;"))</f>
        <v>0</v>
      </c>
      <c r="J99" s="93" t="s">
        <v>211</v>
      </c>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1203</v>
      </c>
      <c r="B100" s="84" t="s">
        <v>1214</v>
      </c>
      <c r="C100" s="86" t="s">
        <v>1215</v>
      </c>
      <c r="D100" s="88" t="s">
        <v>1216</v>
      </c>
      <c r="E100" s="88" t="s">
        <v>1217</v>
      </c>
      <c r="F100" s="89" t="s">
        <v>896</v>
      </c>
      <c r="G100" s="89" t="s">
        <v>881</v>
      </c>
      <c r="H100" s="89">
        <v>1</v>
      </c>
      <c r="I100" s="91">
        <f>IF(COUNTIF(J100:AW100,"&lt;&gt;")=0,"",SUMPRODUCT(((Recommendations[ImplStatus]="Implemented")+(Recommendations[ImplStatus]="Compensated"))*ISNUMBER(MATCH(Recommendations[Id],J100:AW100,0)))/COUNTIF(J100:AW100,"&lt;&gt;"))</f>
        <v>0</v>
      </c>
      <c r="J100" s="93" t="s">
        <v>211</v>
      </c>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1203</v>
      </c>
      <c r="B101" s="84" t="s">
        <v>1218</v>
      </c>
      <c r="C101" s="86" t="s">
        <v>1219</v>
      </c>
      <c r="D101" s="88" t="s">
        <v>1220</v>
      </c>
      <c r="E101" s="88" t="s">
        <v>1221</v>
      </c>
      <c r="F101" s="89" t="s">
        <v>896</v>
      </c>
      <c r="G101" s="89" t="s">
        <v>1213</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1203</v>
      </c>
      <c r="B102" s="84" t="s">
        <v>1222</v>
      </c>
      <c r="C102" s="86" t="s">
        <v>1223</v>
      </c>
      <c r="D102" s="88" t="s">
        <v>1224</v>
      </c>
      <c r="E102" s="88" t="s">
        <v>1225</v>
      </c>
      <c r="F102" s="89" t="s">
        <v>896</v>
      </c>
      <c r="G102" s="89" t="s">
        <v>1213</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1226</v>
      </c>
      <c r="B103" s="83">
        <v>12</v>
      </c>
      <c r="C103" s="85" t="s">
        <v>21</v>
      </c>
      <c r="D103" s="87" t="s">
        <v>1227</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1226</v>
      </c>
      <c r="B104" s="84" t="s">
        <v>1228</v>
      </c>
      <c r="C104" s="86" t="s">
        <v>1229</v>
      </c>
      <c r="D104" s="88" t="s">
        <v>1230</v>
      </c>
      <c r="E104" s="88" t="s">
        <v>1231</v>
      </c>
      <c r="F104" s="89" t="s">
        <v>1110</v>
      </c>
      <c r="G104" s="89" t="s">
        <v>881</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1226</v>
      </c>
      <c r="B105" s="84" t="s">
        <v>1232</v>
      </c>
      <c r="C105" s="86" t="s">
        <v>1233</v>
      </c>
      <c r="D105" s="88" t="s">
        <v>1234</v>
      </c>
      <c r="E105" s="88" t="s">
        <v>1235</v>
      </c>
      <c r="F105" s="89" t="s">
        <v>1110</v>
      </c>
      <c r="G105" s="89" t="s">
        <v>881</v>
      </c>
      <c r="H105" s="89">
        <v>2</v>
      </c>
      <c r="I105" s="91">
        <f>IF(COUNTIF(J105:AW105,"&lt;&gt;")=0,"",SUMPRODUCT(((Recommendations[ImplStatus]="Implemented")+(Recommendations[ImplStatus]="Compensated"))*ISNUMBER(MATCH(Recommendations[Id],J105:AW105,0)))/COUNTIF(J105:AW105,"&lt;&gt;"))</f>
        <v>0</v>
      </c>
      <c r="J105" s="93" t="s">
        <v>35</v>
      </c>
      <c r="K105" s="93" t="s">
        <v>56</v>
      </c>
      <c r="L105" s="93" t="s">
        <v>71</v>
      </c>
      <c r="M105" s="93" t="s">
        <v>76</v>
      </c>
      <c r="N105" s="93" t="s">
        <v>220</v>
      </c>
      <c r="O105" s="93" t="s">
        <v>368</v>
      </c>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1226</v>
      </c>
      <c r="B106" s="84" t="s">
        <v>1236</v>
      </c>
      <c r="C106" s="86" t="s">
        <v>1237</v>
      </c>
      <c r="D106" s="88" t="s">
        <v>1238</v>
      </c>
      <c r="E106" s="88" t="s">
        <v>1239</v>
      </c>
      <c r="F106" s="89" t="s">
        <v>1110</v>
      </c>
      <c r="G106" s="89" t="s">
        <v>881</v>
      </c>
      <c r="H106" s="89">
        <v>2</v>
      </c>
      <c r="I106" s="91">
        <f>IF(COUNTIF(J106:AW106,"&lt;&gt;")=0,"",SUMPRODUCT(((Recommendations[ImplStatus]="Implemented")+(Recommendations[ImplStatus]="Compensated"))*ISNUMBER(MATCH(Recommendations[Id],J106:AW106,0)))/COUNTIF(J106:AW106,"&lt;&gt;"))</f>
        <v>0</v>
      </c>
      <c r="J106" s="93" t="s">
        <v>468</v>
      </c>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1226</v>
      </c>
      <c r="B107" s="84" t="s">
        <v>1240</v>
      </c>
      <c r="C107" s="86" t="s">
        <v>1241</v>
      </c>
      <c r="D107" s="88" t="s">
        <v>1242</v>
      </c>
      <c r="E107" s="88" t="s">
        <v>1243</v>
      </c>
      <c r="F107" s="89" t="s">
        <v>956</v>
      </c>
      <c r="G107" s="89" t="s">
        <v>897</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1226</v>
      </c>
      <c r="B108" s="84" t="s">
        <v>1244</v>
      </c>
      <c r="C108" s="86" t="s">
        <v>1245</v>
      </c>
      <c r="D108" s="88" t="s">
        <v>1246</v>
      </c>
      <c r="E108" s="88" t="s">
        <v>1247</v>
      </c>
      <c r="F108" s="89" t="s">
        <v>1110</v>
      </c>
      <c r="G108" s="89" t="s">
        <v>881</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1226</v>
      </c>
      <c r="B109" s="84" t="s">
        <v>1248</v>
      </c>
      <c r="C109" s="86" t="s">
        <v>1249</v>
      </c>
      <c r="D109" s="88" t="s">
        <v>1250</v>
      </c>
      <c r="E109" s="88" t="s">
        <v>1251</v>
      </c>
      <c r="F109" s="89" t="s">
        <v>1110</v>
      </c>
      <c r="G109" s="89" t="s">
        <v>881</v>
      </c>
      <c r="H109" s="89">
        <v>2</v>
      </c>
      <c r="I109" s="91">
        <f>IF(COUNTIF(J109:AW109,"&lt;&gt;")=0,"",SUMPRODUCT(((Recommendations[ImplStatus]="Implemented")+(Recommendations[ImplStatus]="Compensated"))*ISNUMBER(MATCH(Recommendations[Id],J109:AW109,0)))/COUNTIF(J109:AW109,"&lt;&gt;"))</f>
        <v>0</v>
      </c>
      <c r="J109" s="93" t="s">
        <v>148</v>
      </c>
      <c r="K109" s="93" t="s">
        <v>201</v>
      </c>
      <c r="L109" s="93" t="s">
        <v>236</v>
      </c>
      <c r="M109" s="93" t="s">
        <v>300</v>
      </c>
      <c r="N109" s="93" t="s">
        <v>305</v>
      </c>
      <c r="O109" s="93" t="s">
        <v>358</v>
      </c>
      <c r="P109" s="93" t="s">
        <v>377</v>
      </c>
      <c r="Q109" s="93" t="s">
        <v>489</v>
      </c>
      <c r="R109" s="93" t="s">
        <v>524</v>
      </c>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1226</v>
      </c>
      <c r="B110" s="84" t="s">
        <v>1252</v>
      </c>
      <c r="C110" s="86" t="s">
        <v>1253</v>
      </c>
      <c r="D110" s="88" t="s">
        <v>1254</v>
      </c>
      <c r="E110" s="88" t="s">
        <v>1255</v>
      </c>
      <c r="F110" s="89" t="s">
        <v>838</v>
      </c>
      <c r="G110" s="89" t="s">
        <v>881</v>
      </c>
      <c r="H110" s="89">
        <v>2</v>
      </c>
      <c r="I110" s="91">
        <f>IF(COUNTIF(J110:AW110,"&lt;&gt;")=0,"",SUMPRODUCT(((Recommendations[ImplStatus]="Implemented")+(Recommendations[ImplStatus]="Compensated"))*ISNUMBER(MATCH(Recommendations[Id],J110:AW110,0)))/COUNTIF(J110:AW110,"&lt;&gt;"))</f>
        <v>0</v>
      </c>
      <c r="J110" s="93" t="s">
        <v>387</v>
      </c>
      <c r="K110" s="93" t="s">
        <v>392</v>
      </c>
      <c r="L110" s="93" t="s">
        <v>397</v>
      </c>
      <c r="M110" s="93" t="s">
        <v>494</v>
      </c>
      <c r="N110" s="93" t="s">
        <v>499</v>
      </c>
      <c r="O110" s="93" t="s">
        <v>504</v>
      </c>
      <c r="P110" s="93" t="s">
        <v>509</v>
      </c>
      <c r="Q110" s="93" t="s">
        <v>514</v>
      </c>
      <c r="R110" s="93" t="s">
        <v>519</v>
      </c>
      <c r="S110" s="93" t="s">
        <v>534</v>
      </c>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1226</v>
      </c>
      <c r="B111" s="84" t="s">
        <v>1256</v>
      </c>
      <c r="C111" s="86" t="s">
        <v>1257</v>
      </c>
      <c r="D111" s="88" t="s">
        <v>1258</v>
      </c>
      <c r="E111" s="88" t="s">
        <v>1259</v>
      </c>
      <c r="F111" s="89" t="s">
        <v>838</v>
      </c>
      <c r="G111" s="89" t="s">
        <v>881</v>
      </c>
      <c r="H111" s="89">
        <v>3</v>
      </c>
      <c r="I111" s="91">
        <f>IF(COUNTIF(J111:AW111,"&lt;&gt;")=0,"",SUMPRODUCT(((Recommendations[ImplStatus]="Implemented")+(Recommendations[ImplStatus]="Compensated"))*ISNUMBER(MATCH(Recommendations[Id],J111:AW111,0)))/COUNTIF(J111:AW111,"&lt;&gt;"))</f>
        <v>0</v>
      </c>
      <c r="J111" s="93" t="s">
        <v>468</v>
      </c>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1260</v>
      </c>
      <c r="B112" s="83">
        <v>13</v>
      </c>
      <c r="C112" s="85" t="s">
        <v>21</v>
      </c>
      <c r="D112" s="87" t="s">
        <v>1261</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1260</v>
      </c>
      <c r="B113" s="84" t="s">
        <v>1262</v>
      </c>
      <c r="C113" s="86" t="s">
        <v>1263</v>
      </c>
      <c r="D113" s="88" t="s">
        <v>1264</v>
      </c>
      <c r="E113" s="88" t="s">
        <v>1265</v>
      </c>
      <c r="F113" s="89" t="s">
        <v>1110</v>
      </c>
      <c r="G113" s="89" t="s">
        <v>849</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1260</v>
      </c>
      <c r="B114" s="84" t="s">
        <v>1266</v>
      </c>
      <c r="C114" s="86" t="s">
        <v>1267</v>
      </c>
      <c r="D114" s="88" t="s">
        <v>1268</v>
      </c>
      <c r="E114" s="88" t="s">
        <v>1269</v>
      </c>
      <c r="F114" s="89" t="s">
        <v>838</v>
      </c>
      <c r="G114" s="89" t="s">
        <v>849</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1260</v>
      </c>
      <c r="B115" s="84" t="s">
        <v>1270</v>
      </c>
      <c r="C115" s="86" t="s">
        <v>1271</v>
      </c>
      <c r="D115" s="88" t="s">
        <v>1272</v>
      </c>
      <c r="E115" s="88" t="s">
        <v>1273</v>
      </c>
      <c r="F115" s="89" t="s">
        <v>1110</v>
      </c>
      <c r="G115" s="89" t="s">
        <v>849</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1260</v>
      </c>
      <c r="B116" s="84" t="s">
        <v>1274</v>
      </c>
      <c r="C116" s="86" t="s">
        <v>1275</v>
      </c>
      <c r="D116" s="88" t="s">
        <v>1276</v>
      </c>
      <c r="E116" s="88" t="s">
        <v>1277</v>
      </c>
      <c r="F116" s="89" t="s">
        <v>1110</v>
      </c>
      <c r="G116" s="89" t="s">
        <v>881</v>
      </c>
      <c r="H116" s="89">
        <v>2</v>
      </c>
      <c r="I116" s="91">
        <f>IF(COUNTIF(J116:AW116,"&lt;&gt;")=0,"",SUMPRODUCT(((Recommendations[ImplStatus]="Implemented")+(Recommendations[ImplStatus]="Compensated"))*ISNUMBER(MATCH(Recommendations[Id],J116:AW116,0)))/COUNTIF(J116:AW116,"&lt;&gt;"))</f>
        <v>0</v>
      </c>
      <c r="J116" s="93" t="s">
        <v>407</v>
      </c>
      <c r="K116" s="93" t="s">
        <v>413</v>
      </c>
      <c r="L116" s="93" t="s">
        <v>453</v>
      </c>
      <c r="M116" s="93" t="s">
        <v>473</v>
      </c>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1260</v>
      </c>
      <c r="B117" s="84" t="s">
        <v>1278</v>
      </c>
      <c r="C117" s="86" t="s">
        <v>1279</v>
      </c>
      <c r="D117" s="88" t="s">
        <v>1280</v>
      </c>
      <c r="E117" s="88" t="s">
        <v>1281</v>
      </c>
      <c r="F117" s="89" t="s">
        <v>838</v>
      </c>
      <c r="G117" s="89" t="s">
        <v>881</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1260</v>
      </c>
      <c r="B118" s="84" t="s">
        <v>1282</v>
      </c>
      <c r="C118" s="86" t="s">
        <v>1283</v>
      </c>
      <c r="D118" s="88" t="s">
        <v>1284</v>
      </c>
      <c r="E118" s="88" t="s">
        <v>1285</v>
      </c>
      <c r="F118" s="89" t="s">
        <v>1110</v>
      </c>
      <c r="G118" s="89" t="s">
        <v>849</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1260</v>
      </c>
      <c r="B119" s="84" t="s">
        <v>1286</v>
      </c>
      <c r="C119" s="86" t="s">
        <v>1287</v>
      </c>
      <c r="D119" s="88" t="s">
        <v>1288</v>
      </c>
      <c r="E119" s="88" t="s">
        <v>1289</v>
      </c>
      <c r="F119" s="89" t="s">
        <v>838</v>
      </c>
      <c r="G119" s="89" t="s">
        <v>881</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1260</v>
      </c>
      <c r="B120" s="84" t="s">
        <v>1290</v>
      </c>
      <c r="C120" s="86" t="s">
        <v>1291</v>
      </c>
      <c r="D120" s="88" t="s">
        <v>1292</v>
      </c>
      <c r="E120" s="88" t="s">
        <v>1293</v>
      </c>
      <c r="F120" s="89" t="s">
        <v>1110</v>
      </c>
      <c r="G120" s="89" t="s">
        <v>881</v>
      </c>
      <c r="H120" s="89">
        <v>3</v>
      </c>
      <c r="I120" s="91">
        <f>IF(COUNTIF(J120:AW120,"&lt;&gt;")=0,"",SUMPRODUCT(((Recommendations[ImplStatus]="Implemented")+(Recommendations[ImplStatus]="Compensated"))*ISNUMBER(MATCH(Recommendations[Id],J120:AW120,0)))/COUNTIF(J120:AW120,"&lt;&gt;"))</f>
        <v>0</v>
      </c>
      <c r="J120" s="93" t="s">
        <v>315</v>
      </c>
      <c r="K120" s="93" t="s">
        <v>320</v>
      </c>
      <c r="L120" s="93" t="s">
        <v>438</v>
      </c>
      <c r="M120" s="93" t="s">
        <v>448</v>
      </c>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1260</v>
      </c>
      <c r="B121" s="84" t="s">
        <v>1294</v>
      </c>
      <c r="C121" s="86" t="s">
        <v>1295</v>
      </c>
      <c r="D121" s="88" t="s">
        <v>1296</v>
      </c>
      <c r="E121" s="88" t="s">
        <v>1297</v>
      </c>
      <c r="F121" s="89" t="s">
        <v>1110</v>
      </c>
      <c r="G121" s="89" t="s">
        <v>881</v>
      </c>
      <c r="H121" s="89">
        <v>3</v>
      </c>
      <c r="I121" s="91">
        <f>IF(COUNTIF(J121:AW121,"&lt;&gt;")=0,"",SUMPRODUCT(((Recommendations[ImplStatus]="Implemented")+(Recommendations[ImplStatus]="Compensated"))*ISNUMBER(MATCH(Recommendations[Id],J121:AW121,0)))/COUNTIF(J121:AW121,"&lt;&gt;"))</f>
        <v>0</v>
      </c>
      <c r="J121" s="93" t="s">
        <v>231</v>
      </c>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1260</v>
      </c>
      <c r="B122" s="84" t="s">
        <v>1298</v>
      </c>
      <c r="C122" s="86" t="s">
        <v>1299</v>
      </c>
      <c r="D122" s="88" t="s">
        <v>1300</v>
      </c>
      <c r="E122" s="88" t="s">
        <v>1301</v>
      </c>
      <c r="F122" s="89" t="s">
        <v>1110</v>
      </c>
      <c r="G122" s="89" t="s">
        <v>881</v>
      </c>
      <c r="H122" s="89">
        <v>3</v>
      </c>
      <c r="I122" s="91">
        <f>IF(COUNTIF(J122:AW122,"&lt;&gt;")=0,"",SUMPRODUCT(((Recommendations[ImplStatus]="Implemented")+(Recommendations[ImplStatus]="Compensated"))*ISNUMBER(MATCH(Recommendations[Id],J122:AW122,0)))/COUNTIF(J122:AW122,"&lt;&gt;"))</f>
        <v>0</v>
      </c>
      <c r="J122" s="93" t="s">
        <v>276</v>
      </c>
      <c r="K122" s="93" t="s">
        <v>281</v>
      </c>
      <c r="L122" s="93" t="s">
        <v>286</v>
      </c>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1260</v>
      </c>
      <c r="B123" s="84" t="s">
        <v>1302</v>
      </c>
      <c r="C123" s="86" t="s">
        <v>1303</v>
      </c>
      <c r="D123" s="88" t="s">
        <v>1304</v>
      </c>
      <c r="E123" s="88" t="s">
        <v>1305</v>
      </c>
      <c r="F123" s="89" t="s">
        <v>1110</v>
      </c>
      <c r="G123" s="89" t="s">
        <v>849</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1306</v>
      </c>
      <c r="B124" s="83">
        <v>14</v>
      </c>
      <c r="C124" s="85" t="s">
        <v>21</v>
      </c>
      <c r="D124" s="87" t="s">
        <v>1307</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1306</v>
      </c>
      <c r="B125" s="84" t="s">
        <v>1308</v>
      </c>
      <c r="C125" s="86" t="s">
        <v>1309</v>
      </c>
      <c r="D125" s="88" t="s">
        <v>1310</v>
      </c>
      <c r="E125" s="88" t="s">
        <v>1311</v>
      </c>
      <c r="F125" s="89" t="s">
        <v>956</v>
      </c>
      <c r="G125" s="89" t="s">
        <v>897</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1306</v>
      </c>
      <c r="B126" s="84" t="s">
        <v>1312</v>
      </c>
      <c r="C126" s="86" t="s">
        <v>1313</v>
      </c>
      <c r="D126" s="88" t="s">
        <v>1314</v>
      </c>
      <c r="E126" s="88" t="s">
        <v>1315</v>
      </c>
      <c r="F126" s="89" t="s">
        <v>981</v>
      </c>
      <c r="G126" s="89" t="s">
        <v>881</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1306</v>
      </c>
      <c r="B127" s="84" t="s">
        <v>1316</v>
      </c>
      <c r="C127" s="86" t="s">
        <v>1317</v>
      </c>
      <c r="D127" s="88" t="s">
        <v>1318</v>
      </c>
      <c r="E127" s="88" t="s">
        <v>1319</v>
      </c>
      <c r="F127" s="89" t="s">
        <v>981</v>
      </c>
      <c r="G127" s="89" t="s">
        <v>881</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1306</v>
      </c>
      <c r="B128" s="84" t="s">
        <v>1320</v>
      </c>
      <c r="C128" s="86" t="s">
        <v>1321</v>
      </c>
      <c r="D128" s="88" t="s">
        <v>1322</v>
      </c>
      <c r="E128" s="88" t="s">
        <v>1323</v>
      </c>
      <c r="F128" s="89" t="s">
        <v>981</v>
      </c>
      <c r="G128" s="89" t="s">
        <v>881</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1306</v>
      </c>
      <c r="B129" s="84" t="s">
        <v>1324</v>
      </c>
      <c r="C129" s="86" t="s">
        <v>1325</v>
      </c>
      <c r="D129" s="88" t="s">
        <v>1326</v>
      </c>
      <c r="E129" s="88" t="s">
        <v>1327</v>
      </c>
      <c r="F129" s="89" t="s">
        <v>981</v>
      </c>
      <c r="G129" s="89" t="s">
        <v>881</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1306</v>
      </c>
      <c r="B130" s="84" t="s">
        <v>1328</v>
      </c>
      <c r="C130" s="86" t="s">
        <v>1329</v>
      </c>
      <c r="D130" s="88" t="s">
        <v>1330</v>
      </c>
      <c r="E130" s="88" t="s">
        <v>1331</v>
      </c>
      <c r="F130" s="89" t="s">
        <v>981</v>
      </c>
      <c r="G130" s="89" t="s">
        <v>881</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1306</v>
      </c>
      <c r="B131" s="84" t="s">
        <v>1332</v>
      </c>
      <c r="C131" s="86" t="s">
        <v>1333</v>
      </c>
      <c r="D131" s="88" t="s">
        <v>1334</v>
      </c>
      <c r="E131" s="88" t="s">
        <v>1335</v>
      </c>
      <c r="F131" s="89" t="s">
        <v>981</v>
      </c>
      <c r="G131" s="89" t="s">
        <v>881</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1306</v>
      </c>
      <c r="B132" s="84" t="s">
        <v>1336</v>
      </c>
      <c r="C132" s="86" t="s">
        <v>1337</v>
      </c>
      <c r="D132" s="88" t="s">
        <v>1338</v>
      </c>
      <c r="E132" s="88" t="s">
        <v>1339</v>
      </c>
      <c r="F132" s="89" t="s">
        <v>981</v>
      </c>
      <c r="G132" s="89" t="s">
        <v>881</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1306</v>
      </c>
      <c r="B133" s="84" t="s">
        <v>1340</v>
      </c>
      <c r="C133" s="86" t="s">
        <v>1341</v>
      </c>
      <c r="D133" s="88" t="s">
        <v>1342</v>
      </c>
      <c r="E133" s="88" t="s">
        <v>1343</v>
      </c>
      <c r="F133" s="89" t="s">
        <v>981</v>
      </c>
      <c r="G133" s="89" t="s">
        <v>881</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1344</v>
      </c>
      <c r="B134" s="83">
        <v>15</v>
      </c>
      <c r="C134" s="85" t="s">
        <v>21</v>
      </c>
      <c r="D134" s="87" t="s">
        <v>1345</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1344</v>
      </c>
      <c r="B135" s="84" t="s">
        <v>1346</v>
      </c>
      <c r="C135" s="86" t="s">
        <v>1347</v>
      </c>
      <c r="D135" s="88" t="s">
        <v>1348</v>
      </c>
      <c r="E135" s="88" t="s">
        <v>1349</v>
      </c>
      <c r="F135" s="89" t="s">
        <v>981</v>
      </c>
      <c r="G135" s="89" t="s">
        <v>839</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1344</v>
      </c>
      <c r="B136" s="84" t="s">
        <v>1350</v>
      </c>
      <c r="C136" s="86" t="s">
        <v>1351</v>
      </c>
      <c r="D136" s="88" t="s">
        <v>1352</v>
      </c>
      <c r="E136" s="88" t="s">
        <v>1353</v>
      </c>
      <c r="F136" s="89" t="s">
        <v>956</v>
      </c>
      <c r="G136" s="89" t="s">
        <v>897</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1344</v>
      </c>
      <c r="B137" s="84" t="s">
        <v>1354</v>
      </c>
      <c r="C137" s="86" t="s">
        <v>1355</v>
      </c>
      <c r="D137" s="88" t="s">
        <v>1356</v>
      </c>
      <c r="E137" s="88" t="s">
        <v>1357</v>
      </c>
      <c r="F137" s="89" t="s">
        <v>981</v>
      </c>
      <c r="G137" s="89" t="s">
        <v>897</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1344</v>
      </c>
      <c r="B138" s="84" t="s">
        <v>1358</v>
      </c>
      <c r="C138" s="86" t="s">
        <v>1359</v>
      </c>
      <c r="D138" s="88" t="s">
        <v>1360</v>
      </c>
      <c r="E138" s="88" t="s">
        <v>1361</v>
      </c>
      <c r="F138" s="89" t="s">
        <v>956</v>
      </c>
      <c r="G138" s="89" t="s">
        <v>897</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1344</v>
      </c>
      <c r="B139" s="84" t="s">
        <v>1362</v>
      </c>
      <c r="C139" s="86" t="s">
        <v>1363</v>
      </c>
      <c r="D139" s="88" t="s">
        <v>1364</v>
      </c>
      <c r="E139" s="88" t="s">
        <v>1365</v>
      </c>
      <c r="F139" s="89" t="s">
        <v>981</v>
      </c>
      <c r="G139" s="89" t="s">
        <v>897</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1344</v>
      </c>
      <c r="B140" s="84" t="s">
        <v>1366</v>
      </c>
      <c r="C140" s="86" t="s">
        <v>1367</v>
      </c>
      <c r="D140" s="88" t="s">
        <v>1368</v>
      </c>
      <c r="E140" s="88" t="s">
        <v>1369</v>
      </c>
      <c r="F140" s="89" t="s">
        <v>896</v>
      </c>
      <c r="G140" s="89" t="s">
        <v>897</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1344</v>
      </c>
      <c r="B141" s="84" t="s">
        <v>1370</v>
      </c>
      <c r="C141" s="86" t="s">
        <v>1371</v>
      </c>
      <c r="D141" s="88" t="s">
        <v>1372</v>
      </c>
      <c r="E141" s="88" t="s">
        <v>1373</v>
      </c>
      <c r="F141" s="89" t="s">
        <v>896</v>
      </c>
      <c r="G141" s="89" t="s">
        <v>881</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1374</v>
      </c>
      <c r="B142" s="83">
        <v>16</v>
      </c>
      <c r="C142" s="85" t="s">
        <v>21</v>
      </c>
      <c r="D142" s="87" t="s">
        <v>1375</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1374</v>
      </c>
      <c r="B143" s="84" t="s">
        <v>1376</v>
      </c>
      <c r="C143" s="86" t="s">
        <v>1377</v>
      </c>
      <c r="D143" s="88" t="s">
        <v>1378</v>
      </c>
      <c r="E143" s="88" t="s">
        <v>1379</v>
      </c>
      <c r="F143" s="89" t="s">
        <v>956</v>
      </c>
      <c r="G143" s="89" t="s">
        <v>897</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1374</v>
      </c>
      <c r="B144" s="84" t="s">
        <v>1380</v>
      </c>
      <c r="C144" s="86" t="s">
        <v>1381</v>
      </c>
      <c r="D144" s="88" t="s">
        <v>1382</v>
      </c>
      <c r="E144" s="88" t="s">
        <v>1383</v>
      </c>
      <c r="F144" s="89" t="s">
        <v>956</v>
      </c>
      <c r="G144" s="89" t="s">
        <v>897</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1374</v>
      </c>
      <c r="B145" s="84" t="s">
        <v>1384</v>
      </c>
      <c r="C145" s="86" t="s">
        <v>1385</v>
      </c>
      <c r="D145" s="88" t="s">
        <v>1386</v>
      </c>
      <c r="E145" s="88" t="s">
        <v>1387</v>
      </c>
      <c r="F145" s="89" t="s">
        <v>864</v>
      </c>
      <c r="G145" s="89" t="s">
        <v>849</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1374</v>
      </c>
      <c r="B146" s="84" t="s">
        <v>1388</v>
      </c>
      <c r="C146" s="86" t="s">
        <v>1389</v>
      </c>
      <c r="D146" s="88" t="s">
        <v>1390</v>
      </c>
      <c r="E146" s="88" t="s">
        <v>1391</v>
      </c>
      <c r="F146" s="89" t="s">
        <v>864</v>
      </c>
      <c r="G146" s="89" t="s">
        <v>839</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1374</v>
      </c>
      <c r="B147" s="84" t="s">
        <v>1392</v>
      </c>
      <c r="C147" s="86" t="s">
        <v>1393</v>
      </c>
      <c r="D147" s="88" t="s">
        <v>1394</v>
      </c>
      <c r="E147" s="88" t="s">
        <v>1395</v>
      </c>
      <c r="F147" s="89" t="s">
        <v>864</v>
      </c>
      <c r="G147" s="89" t="s">
        <v>881</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1374</v>
      </c>
      <c r="B148" s="84" t="s">
        <v>1396</v>
      </c>
      <c r="C148" s="86" t="s">
        <v>1397</v>
      </c>
      <c r="D148" s="88" t="s">
        <v>1398</v>
      </c>
      <c r="E148" s="88" t="s">
        <v>1399</v>
      </c>
      <c r="F148" s="89" t="s">
        <v>956</v>
      </c>
      <c r="G148" s="89" t="s">
        <v>897</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1374</v>
      </c>
      <c r="B149" s="84" t="s">
        <v>1400</v>
      </c>
      <c r="C149" s="86" t="s">
        <v>1401</v>
      </c>
      <c r="D149" s="88" t="s">
        <v>1402</v>
      </c>
      <c r="E149" s="88" t="s">
        <v>1403</v>
      </c>
      <c r="F149" s="89" t="s">
        <v>864</v>
      </c>
      <c r="G149" s="89" t="s">
        <v>881</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1374</v>
      </c>
      <c r="B150" s="84" t="s">
        <v>1404</v>
      </c>
      <c r="C150" s="86" t="s">
        <v>1405</v>
      </c>
      <c r="D150" s="88" t="s">
        <v>1406</v>
      </c>
      <c r="E150" s="88" t="s">
        <v>1407</v>
      </c>
      <c r="F150" s="89" t="s">
        <v>1110</v>
      </c>
      <c r="G150" s="89" t="s">
        <v>881</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1374</v>
      </c>
      <c r="B151" s="84" t="s">
        <v>1408</v>
      </c>
      <c r="C151" s="86" t="s">
        <v>1409</v>
      </c>
      <c r="D151" s="88" t="s">
        <v>1410</v>
      </c>
      <c r="E151" s="88" t="s">
        <v>1411</v>
      </c>
      <c r="F151" s="89" t="s">
        <v>981</v>
      </c>
      <c r="G151" s="89" t="s">
        <v>881</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1374</v>
      </c>
      <c r="B152" s="84" t="s">
        <v>1412</v>
      </c>
      <c r="C152" s="86" t="s">
        <v>1413</v>
      </c>
      <c r="D152" s="88" t="s">
        <v>1414</v>
      </c>
      <c r="E152" s="88" t="s">
        <v>1415</v>
      </c>
      <c r="F152" s="89" t="s">
        <v>864</v>
      </c>
      <c r="G152" s="89" t="s">
        <v>881</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1374</v>
      </c>
      <c r="B153" s="84" t="s">
        <v>1416</v>
      </c>
      <c r="C153" s="86" t="s">
        <v>1417</v>
      </c>
      <c r="D153" s="88" t="s">
        <v>1418</v>
      </c>
      <c r="E153" s="88" t="s">
        <v>1419</v>
      </c>
      <c r="F153" s="89" t="s">
        <v>864</v>
      </c>
      <c r="G153" s="89" t="s">
        <v>881</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1374</v>
      </c>
      <c r="B154" s="84" t="s">
        <v>1420</v>
      </c>
      <c r="C154" s="86" t="s">
        <v>1421</v>
      </c>
      <c r="D154" s="88" t="s">
        <v>1422</v>
      </c>
      <c r="E154" s="88" t="s">
        <v>1423</v>
      </c>
      <c r="F154" s="89" t="s">
        <v>864</v>
      </c>
      <c r="G154" s="89" t="s">
        <v>881</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1374</v>
      </c>
      <c r="B155" s="84" t="s">
        <v>1424</v>
      </c>
      <c r="C155" s="86" t="s">
        <v>1425</v>
      </c>
      <c r="D155" s="88" t="s">
        <v>1426</v>
      </c>
      <c r="E155" s="88" t="s">
        <v>1427</v>
      </c>
      <c r="F155" s="89" t="s">
        <v>864</v>
      </c>
      <c r="G155" s="89" t="s">
        <v>849</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1374</v>
      </c>
      <c r="B156" s="84" t="s">
        <v>1428</v>
      </c>
      <c r="C156" s="86" t="s">
        <v>1429</v>
      </c>
      <c r="D156" s="88" t="s">
        <v>1430</v>
      </c>
      <c r="E156" s="88" t="s">
        <v>1431</v>
      </c>
      <c r="F156" s="89" t="s">
        <v>864</v>
      </c>
      <c r="G156" s="89" t="s">
        <v>881</v>
      </c>
      <c r="H156" s="89">
        <v>3</v>
      </c>
      <c r="I156" s="91">
        <f>IF(COUNTIF(J156:AW156,"&lt;&gt;")=0,"",SUMPRODUCT(((Recommendations[ImplStatus]="Implemented")+(Recommendations[ImplStatus]="Compensated"))*ISNUMBER(MATCH(Recommendations[Id],J156:AW156,0)))/COUNTIF(J156:AW156,"&lt;&gt;"))</f>
        <v>0</v>
      </c>
      <c r="J156" s="93" t="s">
        <v>241</v>
      </c>
      <c r="K156" s="93" t="s">
        <v>246</v>
      </c>
      <c r="L156" s="93" t="s">
        <v>251</v>
      </c>
      <c r="M156" s="93" t="s">
        <v>325</v>
      </c>
      <c r="N156" s="93" t="s">
        <v>348</v>
      </c>
      <c r="O156" s="93" t="s">
        <v>353</v>
      </c>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1432</v>
      </c>
      <c r="B157" s="83">
        <v>17</v>
      </c>
      <c r="C157" s="85" t="s">
        <v>21</v>
      </c>
      <c r="D157" s="87" t="s">
        <v>1433</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1432</v>
      </c>
      <c r="B158" s="84" t="s">
        <v>1434</v>
      </c>
      <c r="C158" s="86" t="s">
        <v>1435</v>
      </c>
      <c r="D158" s="88" t="s">
        <v>1436</v>
      </c>
      <c r="E158" s="88" t="s">
        <v>1437</v>
      </c>
      <c r="F158" s="89" t="s">
        <v>981</v>
      </c>
      <c r="G158" s="89" t="s">
        <v>844</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1432</v>
      </c>
      <c r="B159" s="84" t="s">
        <v>1438</v>
      </c>
      <c r="C159" s="86" t="s">
        <v>1439</v>
      </c>
      <c r="D159" s="88" t="s">
        <v>1440</v>
      </c>
      <c r="E159" s="88" t="s">
        <v>1441</v>
      </c>
      <c r="F159" s="89" t="s">
        <v>956</v>
      </c>
      <c r="G159" s="89" t="s">
        <v>897</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1432</v>
      </c>
      <c r="B160" s="84" t="s">
        <v>1442</v>
      </c>
      <c r="C160" s="86" t="s">
        <v>1443</v>
      </c>
      <c r="D160" s="88" t="s">
        <v>1444</v>
      </c>
      <c r="E160" s="88" t="s">
        <v>1445</v>
      </c>
      <c r="F160" s="89" t="s">
        <v>956</v>
      </c>
      <c r="G160" s="89" t="s">
        <v>897</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1432</v>
      </c>
      <c r="B161" s="84" t="s">
        <v>1446</v>
      </c>
      <c r="C161" s="86" t="s">
        <v>1447</v>
      </c>
      <c r="D161" s="88" t="s">
        <v>1448</v>
      </c>
      <c r="E161" s="88" t="s">
        <v>1449</v>
      </c>
      <c r="F161" s="89" t="s">
        <v>956</v>
      </c>
      <c r="G161" s="89" t="s">
        <v>897</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1432</v>
      </c>
      <c r="B162" s="84" t="s">
        <v>1450</v>
      </c>
      <c r="C162" s="86" t="s">
        <v>1451</v>
      </c>
      <c r="D162" s="88" t="s">
        <v>1452</v>
      </c>
      <c r="E162" s="88" t="s">
        <v>1453</v>
      </c>
      <c r="F162" s="89" t="s">
        <v>981</v>
      </c>
      <c r="G162" s="89" t="s">
        <v>844</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1432</v>
      </c>
      <c r="B163" s="84" t="s">
        <v>1454</v>
      </c>
      <c r="C163" s="86" t="s">
        <v>1455</v>
      </c>
      <c r="D163" s="88" t="s">
        <v>1456</v>
      </c>
      <c r="E163" s="88" t="s">
        <v>1457</v>
      </c>
      <c r="F163" s="89" t="s">
        <v>981</v>
      </c>
      <c r="G163" s="89" t="s">
        <v>844</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1432</v>
      </c>
      <c r="B164" s="84" t="s">
        <v>1458</v>
      </c>
      <c r="C164" s="86" t="s">
        <v>1459</v>
      </c>
      <c r="D164" s="88" t="s">
        <v>1460</v>
      </c>
      <c r="E164" s="88" t="s">
        <v>1461</v>
      </c>
      <c r="F164" s="89" t="s">
        <v>981</v>
      </c>
      <c r="G164" s="89" t="s">
        <v>1213</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1432</v>
      </c>
      <c r="B165" s="84" t="s">
        <v>1462</v>
      </c>
      <c r="C165" s="86" t="s">
        <v>1463</v>
      </c>
      <c r="D165" s="88" t="s">
        <v>1464</v>
      </c>
      <c r="E165" s="88" t="s">
        <v>1465</v>
      </c>
      <c r="F165" s="89" t="s">
        <v>981</v>
      </c>
      <c r="G165" s="89" t="s">
        <v>1213</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1432</v>
      </c>
      <c r="B166" s="84" t="s">
        <v>1466</v>
      </c>
      <c r="C166" s="86" t="s">
        <v>1467</v>
      </c>
      <c r="D166" s="88" t="s">
        <v>1468</v>
      </c>
      <c r="E166" s="88" t="s">
        <v>1469</v>
      </c>
      <c r="F166" s="89" t="s">
        <v>956</v>
      </c>
      <c r="G166" s="89" t="s">
        <v>1213</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1470</v>
      </c>
      <c r="B167" s="83">
        <v>18</v>
      </c>
      <c r="C167" s="85" t="s">
        <v>21</v>
      </c>
      <c r="D167" s="87" t="s">
        <v>1471</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1470</v>
      </c>
      <c r="B168" s="84" t="s">
        <v>1472</v>
      </c>
      <c r="C168" s="86" t="s">
        <v>1473</v>
      </c>
      <c r="D168" s="88" t="s">
        <v>1474</v>
      </c>
      <c r="E168" s="88" t="s">
        <v>1475</v>
      </c>
      <c r="F168" s="89" t="s">
        <v>956</v>
      </c>
      <c r="G168" s="89" t="s">
        <v>897</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1470</v>
      </c>
      <c r="B169" s="84" t="s">
        <v>1476</v>
      </c>
      <c r="C169" s="86" t="s">
        <v>1477</v>
      </c>
      <c r="D169" s="88" t="s">
        <v>1478</v>
      </c>
      <c r="E169" s="88" t="s">
        <v>1479</v>
      </c>
      <c r="F169" s="89" t="s">
        <v>1110</v>
      </c>
      <c r="G169" s="89" t="s">
        <v>849</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1470</v>
      </c>
      <c r="B170" s="84" t="s">
        <v>1480</v>
      </c>
      <c r="C170" s="86" t="s">
        <v>1481</v>
      </c>
      <c r="D170" s="88" t="s">
        <v>1482</v>
      </c>
      <c r="E170" s="88" t="s">
        <v>1483</v>
      </c>
      <c r="F170" s="89" t="s">
        <v>1110</v>
      </c>
      <c r="G170" s="89" t="s">
        <v>881</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1470</v>
      </c>
      <c r="B171" s="84" t="s">
        <v>1484</v>
      </c>
      <c r="C171" s="86" t="s">
        <v>1485</v>
      </c>
      <c r="D171" s="88" t="s">
        <v>1486</v>
      </c>
      <c r="E171" s="88" t="s">
        <v>1487</v>
      </c>
      <c r="F171" s="89" t="s">
        <v>1110</v>
      </c>
      <c r="G171" s="89" t="s">
        <v>881</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1470</v>
      </c>
      <c r="B172" s="94" t="s">
        <v>1488</v>
      </c>
      <c r="C172" s="95" t="s">
        <v>1489</v>
      </c>
      <c r="D172" s="96" t="s">
        <v>1490</v>
      </c>
      <c r="E172" s="96" t="s">
        <v>1491</v>
      </c>
      <c r="F172" s="97" t="s">
        <v>1110</v>
      </c>
      <c r="G172" s="97" t="s">
        <v>849</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539</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IFERROR(INDEX('Recommendations'!$H$2:$H$105, MATCH(J2,'Recommendations'!$A$2:$A$105,0))="Implemented", FALSE))</xm:f>
            <x14:dxf>
              <font>
                <color rgb="FF000000"/>
              </font>
              <fill>
                <patternFill>
                  <bgColor rgb="FF3C7D22"/>
                </patternFill>
              </fill>
            </x14:dxf>
          </x14:cfRule>
          <x14:cfRule type="expression" priority="2" id="{00000000-000E-0000-0400-000002000000}">
            <xm:f>AND(J2&lt;&gt;"", IFERROR(INDEX('Recommendations'!$H$2:$H$105, MATCH(J2,'Recommendations'!$A$2:$A$105,0))="Compensated", FALSE))</xm:f>
            <x14:dxf>
              <font>
                <color rgb="FF000000"/>
              </font>
              <fill>
                <patternFill>
                  <bgColor rgb="FFC6E0B4"/>
                </patternFill>
              </fill>
            </x14:dxf>
          </x14:cfRule>
          <x14:cfRule type="expression" priority="3" id="{00000000-000E-0000-0400-000003000000}">
            <xm:f>AND(J2&lt;&gt;"", IFERROR(INDEX('Recommendations'!$H$2:$H$105, MATCH(J2,'Recommendations'!$A$2:$A$105,0))="Testing", FALSE))</xm:f>
            <x14:dxf>
              <font>
                <color rgb="FF000000"/>
              </font>
              <fill>
                <patternFill>
                  <bgColor rgb="FFFFC000"/>
                </patternFill>
              </fill>
            </x14:dxf>
          </x14:cfRule>
          <x14:cfRule type="expression" priority="4" id="{00000000-000E-0000-0400-000004000000}">
            <xm:f>AND(J2&lt;&gt;"", IFERROR(INDEX('Recommendations'!$H$2:$H$105, MATCH(J2,'Recommendations'!$A$2:$A$105,0))="Failed", FALSE))</xm:f>
            <x14:dxf>
              <font>
                <color rgb="FF000000"/>
              </font>
              <fill>
                <patternFill>
                  <bgColor rgb="FFD82891"/>
                </patternFill>
              </fill>
            </x14:dxf>
          </x14:cfRule>
          <x14:cfRule type="expression" priority="5" id="{00000000-000E-0000-0400-000005000000}">
            <xm:f>AND(J2&lt;&gt;"", IFERROR(INDEX('Recommendations'!$H$2:$H$105, MATCH(J2,'Recommendations'!$A$2:$A$105,0))="Risk Accepted", FALSE))</xm:f>
            <x14:dxf>
              <font>
                <color rgb="FF000000"/>
              </font>
              <fill>
                <patternFill>
                  <bgColor rgb="FFD9D9D9"/>
                </patternFill>
              </fill>
            </x14:dxf>
          </x14:cfRule>
          <x14:cfRule type="expression" priority="6" id="{00000000-000E-0000-0400-000006000000}">
            <xm:f>AND(J2&lt;&gt;"", IFERROR(INDEX('Recommendations'!$H$2:$H$105, MATCH(J2,'Recommendations'!$A$2:$A$105,0))="N/A",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1492</v>
      </c>
      <c r="C1" s="124" t="s">
        <v>10</v>
      </c>
      <c r="D1" s="124" t="s">
        <v>697</v>
      </c>
      <c r="E1" s="124" t="s">
        <v>1493</v>
      </c>
      <c r="F1" s="124" t="s">
        <v>1494</v>
      </c>
      <c r="G1" s="124" t="s">
        <v>791</v>
      </c>
      <c r="H1" s="124" t="s">
        <v>792</v>
      </c>
      <c r="I1" s="124" t="s">
        <v>793</v>
      </c>
      <c r="J1" s="124" t="s">
        <v>794</v>
      </c>
      <c r="K1" s="124" t="s">
        <v>795</v>
      </c>
      <c r="L1" s="124" t="s">
        <v>796</v>
      </c>
      <c r="M1" s="124" t="s">
        <v>797</v>
      </c>
      <c r="N1" s="124" t="s">
        <v>798</v>
      </c>
      <c r="O1" s="124" t="s">
        <v>799</v>
      </c>
      <c r="P1" s="124" t="s">
        <v>800</v>
      </c>
      <c r="Q1" s="124" t="s">
        <v>801</v>
      </c>
      <c r="R1" s="124" t="s">
        <v>802</v>
      </c>
      <c r="S1" s="124" t="s">
        <v>803</v>
      </c>
      <c r="T1" s="124" t="s">
        <v>804</v>
      </c>
      <c r="U1" s="124" t="s">
        <v>805</v>
      </c>
      <c r="V1" s="124" t="s">
        <v>806</v>
      </c>
      <c r="W1" s="124" t="s">
        <v>807</v>
      </c>
      <c r="X1" s="124" t="s">
        <v>808</v>
      </c>
      <c r="Y1" s="124" t="s">
        <v>809</v>
      </c>
      <c r="Z1" s="124" t="s">
        <v>810</v>
      </c>
      <c r="AA1" s="124" t="s">
        <v>811</v>
      </c>
      <c r="AB1" s="124" t="s">
        <v>812</v>
      </c>
      <c r="AC1" s="124" t="s">
        <v>813</v>
      </c>
      <c r="AD1" s="124" t="s">
        <v>814</v>
      </c>
      <c r="AE1" s="124" t="s">
        <v>815</v>
      </c>
      <c r="AF1" s="124" t="s">
        <v>816</v>
      </c>
      <c r="AG1" s="124" t="s">
        <v>817</v>
      </c>
      <c r="AH1" s="124" t="s">
        <v>818</v>
      </c>
      <c r="AI1" s="124" t="s">
        <v>819</v>
      </c>
      <c r="AJ1" s="124" t="s">
        <v>820</v>
      </c>
      <c r="AK1" s="124" t="s">
        <v>821</v>
      </c>
      <c r="AL1" s="124" t="s">
        <v>822</v>
      </c>
      <c r="AM1" s="124" t="s">
        <v>823</v>
      </c>
      <c r="AN1" s="124" t="s">
        <v>824</v>
      </c>
      <c r="AO1" s="124" t="s">
        <v>825</v>
      </c>
      <c r="AP1" s="124" t="s">
        <v>826</v>
      </c>
      <c r="AQ1" s="124" t="s">
        <v>827</v>
      </c>
      <c r="AR1" s="124" t="s">
        <v>828</v>
      </c>
      <c r="AS1" s="124" t="s">
        <v>829</v>
      </c>
      <c r="AT1" s="124" t="s">
        <v>830</v>
      </c>
      <c r="AU1" s="125" t="s">
        <v>831</v>
      </c>
    </row>
    <row r="2" spans="1:47" ht="60" customHeight="1" x14ac:dyDescent="0.35">
      <c r="A2" s="119" t="s">
        <v>1495</v>
      </c>
      <c r="B2" s="109" t="s">
        <v>1496</v>
      </c>
      <c r="C2" s="110" t="s">
        <v>1497</v>
      </c>
      <c r="D2" s="110" t="s">
        <v>1498</v>
      </c>
      <c r="E2" s="110" t="s">
        <v>1499</v>
      </c>
      <c r="F2" s="111" t="s">
        <v>1500</v>
      </c>
      <c r="G2" s="112">
        <f>IF(COUNTIF(H2:AU2,"&lt;&gt;")=0,"",SUMPRODUCT(((Recommendations[ImplStatus]="Implemented")+(Recommendations[ImplStatus]="Compensated"))*ISNUMBER(MATCH(Recommendations[Id],H2:AU2,0)))/COUNTIF(H2:AU2,"&lt;&gt;"))</f>
        <v>0</v>
      </c>
      <c r="H2" s="113" t="s">
        <v>107</v>
      </c>
      <c r="I2" s="113" t="s">
        <v>206</v>
      </c>
      <c r="J2" s="113" t="s">
        <v>310</v>
      </c>
      <c r="K2" s="113" t="s">
        <v>372</v>
      </c>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1501</v>
      </c>
      <c r="B3" s="109" t="s">
        <v>1502</v>
      </c>
      <c r="C3" s="110" t="s">
        <v>1503</v>
      </c>
      <c r="D3" s="110" t="s">
        <v>1504</v>
      </c>
      <c r="E3" s="110" t="s">
        <v>1505</v>
      </c>
      <c r="F3" s="111" t="s">
        <v>1506</v>
      </c>
      <c r="G3" s="112" t="str">
        <f>IF(COUNTIF(H3:AU3,"&lt;&gt;")=0,"",SUMPRODUCT(((Recommendations[ImplStatus]="Implemented")+(Recommendations[ImplStatus]="Compensated"))*ISNUMBER(MATCH(Recommendations[Id],H3:AU3,0)))/COUNTIF(H3:AU3,"&lt;&gt;"))</f>
        <v/>
      </c>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1507</v>
      </c>
      <c r="B4" s="109" t="s">
        <v>1508</v>
      </c>
      <c r="C4" s="110" t="s">
        <v>1509</v>
      </c>
      <c r="D4" s="110" t="s">
        <v>1510</v>
      </c>
      <c r="E4" s="110" t="s">
        <v>1511</v>
      </c>
      <c r="F4" s="111" t="s">
        <v>1512</v>
      </c>
      <c r="G4" s="112">
        <f>IF(COUNTIF(H4:AU4,"&lt;&gt;")=0,"",SUMPRODUCT(((Recommendations[ImplStatus]="Implemented")+(Recommendations[ImplStatus]="Compensated"))*ISNUMBER(MATCH(Recommendations[Id],H4:AU4,0)))/COUNTIF(H4:AU4,"&lt;&gt;"))</f>
        <v>0</v>
      </c>
      <c r="H4" s="113" t="s">
        <v>241</v>
      </c>
      <c r="I4" s="113" t="s">
        <v>246</v>
      </c>
      <c r="J4" s="113" t="s">
        <v>251</v>
      </c>
      <c r="K4" s="113" t="s">
        <v>330</v>
      </c>
      <c r="L4" s="113" t="s">
        <v>335</v>
      </c>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1513</v>
      </c>
      <c r="B5" s="109" t="s">
        <v>1514</v>
      </c>
      <c r="C5" s="110" t="s">
        <v>1515</v>
      </c>
      <c r="D5" s="110" t="s">
        <v>1516</v>
      </c>
      <c r="E5" s="110" t="s">
        <v>1517</v>
      </c>
      <c r="F5" s="111" t="s">
        <v>1518</v>
      </c>
      <c r="G5" s="112" t="str">
        <f>IF(COUNTIF(H5:AU5,"&lt;&gt;")=0,"",SUMPRODUCT(((Recommendations[ImplStatus]="Implemented")+(Recommendations[ImplStatus]="Compensated"))*ISNUMBER(MATCH(Recommendations[Id],H5:AU5,0)))/COUNTIF(H5:AU5,"&lt;&gt;"))</f>
        <v/>
      </c>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1519</v>
      </c>
      <c r="B6" s="109" t="s">
        <v>1520</v>
      </c>
      <c r="C6" s="110" t="s">
        <v>1521</v>
      </c>
      <c r="D6" s="110" t="s">
        <v>1522</v>
      </c>
      <c r="E6" s="110" t="s">
        <v>21</v>
      </c>
      <c r="F6" s="111" t="s">
        <v>1523</v>
      </c>
      <c r="G6" s="112" t="str">
        <f>IF(COUNTIF(H6:AU6,"&lt;&gt;")=0,"",SUMPRODUCT(((Recommendations[ImplStatus]="Implemented")+(Recommendations[ImplStatus]="Compensated"))*ISNUMBER(MATCH(Recommendations[Id],H6:AU6,0)))/COUNTIF(H6:AU6,"&lt;&gt;"))</f>
        <v/>
      </c>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1524</v>
      </c>
      <c r="B7" s="109" t="s">
        <v>11</v>
      </c>
      <c r="C7" s="110" t="s">
        <v>1525</v>
      </c>
      <c r="D7" s="110" t="s">
        <v>1526</v>
      </c>
      <c r="E7" s="110" t="s">
        <v>21</v>
      </c>
      <c r="F7" s="111" t="s">
        <v>1527</v>
      </c>
      <c r="G7" s="112">
        <f>IF(COUNTIF(H7:AU7,"&lt;&gt;")=0,"",SUMPRODUCT(((Recommendations[ImplStatus]="Implemented")+(Recommendations[ImplStatus]="Compensated"))*ISNUMBER(MATCH(Recommendations[Id],H7:AU7,0)))/COUNTIF(H7:AU7,"&lt;&gt;"))</f>
        <v>0</v>
      </c>
      <c r="H7" s="113" t="s">
        <v>123</v>
      </c>
      <c r="I7" s="113" t="s">
        <v>128</v>
      </c>
      <c r="J7" s="113" t="s">
        <v>418</v>
      </c>
      <c r="K7" s="113" t="s">
        <v>423</v>
      </c>
      <c r="L7" s="113" t="s">
        <v>428</v>
      </c>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21"/>
    </row>
    <row r="8" spans="1:47" ht="60" customHeight="1" x14ac:dyDescent="0.35">
      <c r="A8" s="119" t="s">
        <v>1528</v>
      </c>
      <c r="B8" s="109" t="s">
        <v>1529</v>
      </c>
      <c r="C8" s="110" t="s">
        <v>1530</v>
      </c>
      <c r="D8" s="110" t="s">
        <v>1531</v>
      </c>
      <c r="E8" s="110" t="s">
        <v>21</v>
      </c>
      <c r="F8" s="111" t="s">
        <v>1532</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1533</v>
      </c>
      <c r="B9" s="109" t="s">
        <v>1534</v>
      </c>
      <c r="C9" s="110" t="s">
        <v>1535</v>
      </c>
      <c r="D9" s="110" t="s">
        <v>1536</v>
      </c>
      <c r="E9" s="110" t="s">
        <v>21</v>
      </c>
      <c r="F9" s="111" t="s">
        <v>1537</v>
      </c>
      <c r="G9" s="112" t="str">
        <f>IF(COUNTIF(H9:AU9,"&lt;&gt;")=0,"",SUMPRODUCT(((Recommendations[ImplStatus]="Implemented")+(Recommendations[ImplStatus]="Compensated"))*ISNUMBER(MATCH(Recommendations[Id],H9:AU9,0)))/COUNTIF(H9:AU9,"&lt;&gt;"))</f>
        <v/>
      </c>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1538</v>
      </c>
      <c r="B10" s="109" t="s">
        <v>1539</v>
      </c>
      <c r="C10" s="110" t="s">
        <v>1540</v>
      </c>
      <c r="D10" s="110" t="s">
        <v>1541</v>
      </c>
      <c r="E10" s="110" t="s">
        <v>21</v>
      </c>
      <c r="F10" s="111" t="s">
        <v>1542</v>
      </c>
      <c r="G10" s="112" t="str">
        <f>IF(COUNTIF(H10:AU10,"&lt;&gt;")=0,"",SUMPRODUCT(((Recommendations[ImplStatus]="Implemented")+(Recommendations[ImplStatus]="Compensated"))*ISNUMBER(MATCH(Recommendations[Id],H10:AU10,0)))/COUNTIF(H10:AU10,"&lt;&gt;"))</f>
        <v/>
      </c>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1543</v>
      </c>
      <c r="B11" s="109" t="s">
        <v>1544</v>
      </c>
      <c r="C11" s="110" t="s">
        <v>1545</v>
      </c>
      <c r="D11" s="110" t="s">
        <v>1546</v>
      </c>
      <c r="E11" s="110" t="s">
        <v>21</v>
      </c>
      <c r="F11" s="111" t="s">
        <v>1547</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1548</v>
      </c>
      <c r="B12" s="109" t="s">
        <v>1549</v>
      </c>
      <c r="C12" s="110" t="s">
        <v>1550</v>
      </c>
      <c r="D12" s="110" t="s">
        <v>1551</v>
      </c>
      <c r="E12" s="110" t="s">
        <v>21</v>
      </c>
      <c r="F12" s="111" t="s">
        <v>1552</v>
      </c>
      <c r="G12" s="112">
        <f>IF(COUNTIF(H12:AU12,"&lt;&gt;")=0,"",SUMPRODUCT(((Recommendations[ImplStatus]="Implemented")+(Recommendations[ImplStatus]="Compensated"))*ISNUMBER(MATCH(Recommendations[Id],H12:AU12,0)))/COUNTIF(H12:AU12,"&lt;&gt;"))</f>
        <v>0</v>
      </c>
      <c r="H12" s="113" t="s">
        <v>211</v>
      </c>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1553</v>
      </c>
      <c r="B13" s="109" t="s">
        <v>1554</v>
      </c>
      <c r="C13" s="110" t="s">
        <v>1555</v>
      </c>
      <c r="D13" s="110" t="s">
        <v>1556</v>
      </c>
      <c r="E13" s="110" t="s">
        <v>21</v>
      </c>
      <c r="F13" s="111" t="s">
        <v>1557</v>
      </c>
      <c r="G13" s="112" t="str">
        <f>IF(COUNTIF(H13:AU13,"&lt;&gt;")=0,"",SUMPRODUCT(((Recommendations[ImplStatus]="Implemented")+(Recommendations[ImplStatus]="Compensated"))*ISNUMBER(MATCH(Recommendations[Id],H13:AU13,0)))/COUNTIF(H13:AU13,"&lt;&gt;"))</f>
        <v/>
      </c>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1558</v>
      </c>
      <c r="B14" s="109" t="s">
        <v>1559</v>
      </c>
      <c r="C14" s="110" t="s">
        <v>1560</v>
      </c>
      <c r="D14" s="110" t="s">
        <v>1561</v>
      </c>
      <c r="E14" s="110" t="s">
        <v>21</v>
      </c>
      <c r="F14" s="111" t="s">
        <v>1562</v>
      </c>
      <c r="G14" s="112">
        <f>IF(COUNTIF(H14:AU14,"&lt;&gt;")=0,"",SUMPRODUCT(((Recommendations[ImplStatus]="Implemented")+(Recommendations[ImplStatus]="Compensated"))*ISNUMBER(MATCH(Recommendations[Id],H14:AU14,0)))/COUNTIF(H14:AU14,"&lt;&gt;"))</f>
        <v>0</v>
      </c>
      <c r="H14" s="113" t="s">
        <v>14</v>
      </c>
      <c r="I14" s="113" t="s">
        <v>153</v>
      </c>
      <c r="J14" s="113" t="s">
        <v>291</v>
      </c>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21"/>
    </row>
    <row r="15" spans="1:47" ht="60" customHeight="1" x14ac:dyDescent="0.35">
      <c r="A15" s="119" t="s">
        <v>1563</v>
      </c>
      <c r="B15" s="109" t="s">
        <v>1564</v>
      </c>
      <c r="C15" s="110" t="s">
        <v>1565</v>
      </c>
      <c r="D15" s="110" t="s">
        <v>1566</v>
      </c>
      <c r="E15" s="110" t="s">
        <v>21</v>
      </c>
      <c r="F15" s="111" t="s">
        <v>1567</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1568</v>
      </c>
      <c r="B16" s="109" t="s">
        <v>1569</v>
      </c>
      <c r="C16" s="110" t="s">
        <v>1570</v>
      </c>
      <c r="D16" s="110" t="s">
        <v>1571</v>
      </c>
      <c r="E16" s="110" t="s">
        <v>21</v>
      </c>
      <c r="F16" s="111" t="s">
        <v>1572</v>
      </c>
      <c r="G16" s="112">
        <f>IF(COUNTIF(H16:AU16,"&lt;&gt;")=0,"",SUMPRODUCT(((Recommendations[ImplStatus]="Implemented")+(Recommendations[ImplStatus]="Compensated"))*ISNUMBER(MATCH(Recommendations[Id],H16:AU16,0)))/COUNTIF(H16:AU16,"&lt;&gt;"))</f>
        <v>0</v>
      </c>
      <c r="H16" s="113" t="s">
        <v>25</v>
      </c>
      <c r="I16" s="113" t="s">
        <v>30</v>
      </c>
      <c r="J16" s="113" t="s">
        <v>40</v>
      </c>
      <c r="K16" s="113" t="s">
        <v>45</v>
      </c>
      <c r="L16" s="113" t="s">
        <v>50</v>
      </c>
      <c r="M16" s="113" t="s">
        <v>61</v>
      </c>
      <c r="N16" s="113" t="s">
        <v>66</v>
      </c>
      <c r="O16" s="113" t="s">
        <v>148</v>
      </c>
      <c r="P16" s="113" t="s">
        <v>201</v>
      </c>
      <c r="Q16" s="113" t="s">
        <v>236</v>
      </c>
      <c r="R16" s="113" t="s">
        <v>300</v>
      </c>
      <c r="S16" s="113" t="s">
        <v>305</v>
      </c>
      <c r="T16" s="113" t="s">
        <v>358</v>
      </c>
      <c r="U16" s="113" t="s">
        <v>377</v>
      </c>
      <c r="V16" s="113" t="s">
        <v>387</v>
      </c>
      <c r="W16" s="113" t="s">
        <v>392</v>
      </c>
      <c r="X16" s="113" t="s">
        <v>397</v>
      </c>
      <c r="Y16" s="113" t="s">
        <v>478</v>
      </c>
      <c r="Z16" s="113" t="s">
        <v>484</v>
      </c>
      <c r="AA16" s="113" t="s">
        <v>489</v>
      </c>
      <c r="AB16" s="113" t="s">
        <v>494</v>
      </c>
      <c r="AC16" s="113" t="s">
        <v>499</v>
      </c>
      <c r="AD16" s="113" t="s">
        <v>504</v>
      </c>
      <c r="AE16" s="113" t="s">
        <v>509</v>
      </c>
      <c r="AF16" s="113" t="s">
        <v>514</v>
      </c>
      <c r="AG16" s="113" t="s">
        <v>519</v>
      </c>
      <c r="AH16" s="113" t="s">
        <v>524</v>
      </c>
      <c r="AI16" s="113" t="s">
        <v>529</v>
      </c>
      <c r="AJ16" s="113" t="s">
        <v>534</v>
      </c>
      <c r="AK16" s="113"/>
      <c r="AL16" s="113"/>
      <c r="AM16" s="113"/>
      <c r="AN16" s="113"/>
      <c r="AO16" s="113"/>
      <c r="AP16" s="113"/>
      <c r="AQ16" s="113"/>
      <c r="AR16" s="113"/>
      <c r="AS16" s="113"/>
      <c r="AT16" s="113"/>
      <c r="AU16" s="121"/>
    </row>
    <row r="17" spans="1:47" ht="60" customHeight="1" x14ac:dyDescent="0.35">
      <c r="A17" s="119" t="s">
        <v>1573</v>
      </c>
      <c r="B17" s="109" t="s">
        <v>1574</v>
      </c>
      <c r="C17" s="110" t="s">
        <v>1575</v>
      </c>
      <c r="D17" s="110" t="s">
        <v>1576</v>
      </c>
      <c r="E17" s="110" t="s">
        <v>21</v>
      </c>
      <c r="F17" s="111" t="s">
        <v>1577</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1578</v>
      </c>
      <c r="B18" s="109" t="s">
        <v>1579</v>
      </c>
      <c r="C18" s="110" t="s">
        <v>1580</v>
      </c>
      <c r="D18" s="110" t="s">
        <v>1581</v>
      </c>
      <c r="E18" s="110" t="s">
        <v>21</v>
      </c>
      <c r="F18" s="111" t="s">
        <v>1582</v>
      </c>
      <c r="G18" s="112" t="str">
        <f>IF(COUNTIF(H18:AU18,"&lt;&gt;")=0,"",SUMPRODUCT(((Recommendations[ImplStatus]="Implemented")+(Recommendations[ImplStatus]="Compensated"))*ISNUMBER(MATCH(Recommendations[Id],H18:AU18,0)))/COUNTIF(H18:AU18,"&lt;&gt;"))</f>
        <v/>
      </c>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1583</v>
      </c>
      <c r="B19" s="109" t="s">
        <v>1584</v>
      </c>
      <c r="C19" s="110" t="s">
        <v>1585</v>
      </c>
      <c r="D19" s="110" t="s">
        <v>1586</v>
      </c>
      <c r="E19" s="110" t="s">
        <v>21</v>
      </c>
      <c r="F19" s="111" t="s">
        <v>1587</v>
      </c>
      <c r="G19" s="112" t="str">
        <f>IF(COUNTIF(H19:AU19,"&lt;&gt;")=0,"",SUMPRODUCT(((Recommendations[ImplStatus]="Implemented")+(Recommendations[ImplStatus]="Compensated"))*ISNUMBER(MATCH(Recommendations[Id],H19:AU19,0)))/COUNTIF(H19:AU19,"&lt;&gt;"))</f>
        <v/>
      </c>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1588</v>
      </c>
      <c r="B20" s="109" t="s">
        <v>1589</v>
      </c>
      <c r="C20" s="110" t="s">
        <v>1590</v>
      </c>
      <c r="D20" s="110" t="s">
        <v>1591</v>
      </c>
      <c r="E20" s="110" t="s">
        <v>21</v>
      </c>
      <c r="F20" s="111" t="s">
        <v>1592</v>
      </c>
      <c r="G20" s="112">
        <f>IF(COUNTIF(H20:AU20,"&lt;&gt;")=0,"",SUMPRODUCT(((Recommendations[ImplStatus]="Implemented")+(Recommendations[ImplStatus]="Compensated"))*ISNUMBER(MATCH(Recommendations[Id],H20:AU20,0)))/COUNTIF(H20:AU20,"&lt;&gt;"))</f>
        <v>0</v>
      </c>
      <c r="H20" s="113" t="s">
        <v>35</v>
      </c>
      <c r="I20" s="113" t="s">
        <v>56</v>
      </c>
      <c r="J20" s="113" t="s">
        <v>71</v>
      </c>
      <c r="K20" s="113" t="s">
        <v>76</v>
      </c>
      <c r="L20" s="113" t="s">
        <v>220</v>
      </c>
      <c r="M20" s="113" t="s">
        <v>276</v>
      </c>
      <c r="N20" s="113" t="s">
        <v>281</v>
      </c>
      <c r="O20" s="113" t="s">
        <v>286</v>
      </c>
      <c r="P20" s="113" t="s">
        <v>315</v>
      </c>
      <c r="Q20" s="113" t="s">
        <v>320</v>
      </c>
      <c r="R20" s="113" t="s">
        <v>368</v>
      </c>
      <c r="S20" s="113" t="s">
        <v>407</v>
      </c>
      <c r="T20" s="113" t="s">
        <v>413</v>
      </c>
      <c r="U20" s="113" t="s">
        <v>438</v>
      </c>
      <c r="V20" s="113" t="s">
        <v>448</v>
      </c>
      <c r="W20" s="113" t="s">
        <v>453</v>
      </c>
      <c r="X20" s="113" t="s">
        <v>473</v>
      </c>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21"/>
    </row>
    <row r="21" spans="1:47" ht="60" customHeight="1" x14ac:dyDescent="0.35">
      <c r="A21" s="119" t="s">
        <v>1593</v>
      </c>
      <c r="B21" s="109" t="s">
        <v>1594</v>
      </c>
      <c r="C21" s="110" t="s">
        <v>1595</v>
      </c>
      <c r="D21" s="110" t="s">
        <v>1596</v>
      </c>
      <c r="E21" s="110" t="s">
        <v>1597</v>
      </c>
      <c r="F21" s="111" t="s">
        <v>1598</v>
      </c>
      <c r="G21" s="112">
        <f>IF(COUNTIF(H21:AU21,"&lt;&gt;")=0,"",SUMPRODUCT(((Recommendations[ImplStatus]="Implemented")+(Recommendations[ImplStatus]="Compensated"))*ISNUMBER(MATCH(Recommendations[Id],H21:AU21,0)))/COUNTIF(H21:AU21,"&lt;&gt;"))</f>
        <v>0</v>
      </c>
      <c r="H21" s="113" t="s">
        <v>81</v>
      </c>
      <c r="I21" s="113" t="s">
        <v>225</v>
      </c>
      <c r="J21" s="113" t="s">
        <v>402</v>
      </c>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1599</v>
      </c>
      <c r="B22" s="109" t="s">
        <v>1600</v>
      </c>
      <c r="C22" s="110" t="s">
        <v>1601</v>
      </c>
      <c r="D22" s="110" t="s">
        <v>1602</v>
      </c>
      <c r="E22" s="110" t="s">
        <v>1603</v>
      </c>
      <c r="F22" s="111" t="s">
        <v>1604</v>
      </c>
      <c r="G22" s="112" t="str">
        <f>IF(COUNTIF(H22:AU22,"&lt;&gt;")=0,"",SUMPRODUCT(((Recommendations[ImplStatus]="Implemented")+(Recommendations[ImplStatus]="Compensated"))*ISNUMBER(MATCH(Recommendations[Id],H22:AU22,0)))/COUNTIF(H22:AU22,"&lt;&gt;"))</f>
        <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1605</v>
      </c>
      <c r="B23" s="109" t="s">
        <v>1606</v>
      </c>
      <c r="C23" s="110" t="s">
        <v>1607</v>
      </c>
      <c r="D23" s="110" t="s">
        <v>1608</v>
      </c>
      <c r="E23" s="110" t="s">
        <v>1609</v>
      </c>
      <c r="F23" s="111" t="s">
        <v>1610</v>
      </c>
      <c r="G23" s="112" t="str">
        <f>IF(COUNTIF(H23:AU23,"&lt;&gt;")=0,"",SUMPRODUCT(((Recommendations[ImplStatus]="Implemented")+(Recommendations[ImplStatus]="Compensated"))*ISNUMBER(MATCH(Recommendations[Id],H23:AU23,0)))/COUNTIF(H23:AU23,"&lt;&gt;"))</f>
        <v/>
      </c>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1611</v>
      </c>
      <c r="B24" s="109" t="s">
        <v>1612</v>
      </c>
      <c r="C24" s="110" t="s">
        <v>1613</v>
      </c>
      <c r="D24" s="110" t="s">
        <v>1614</v>
      </c>
      <c r="E24" s="110" t="s">
        <v>21</v>
      </c>
      <c r="F24" s="111" t="s">
        <v>1615</v>
      </c>
      <c r="G24" s="112">
        <f>IF(COUNTIF(H24:AU24,"&lt;&gt;")=0,"",SUMPRODUCT(((Recommendations[ImplStatus]="Implemented")+(Recommendations[ImplStatus]="Compensated"))*ISNUMBER(MATCH(Recommendations[Id],H24:AU24,0)))/COUNTIF(H24:AU24,"&lt;&gt;"))</f>
        <v>0</v>
      </c>
      <c r="H24" s="113" t="s">
        <v>158</v>
      </c>
      <c r="I24" s="113" t="s">
        <v>295</v>
      </c>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1616</v>
      </c>
      <c r="B25" s="109" t="s">
        <v>1617</v>
      </c>
      <c r="C25" s="110" t="s">
        <v>1618</v>
      </c>
      <c r="D25" s="110" t="s">
        <v>21</v>
      </c>
      <c r="E25" s="110" t="s">
        <v>21</v>
      </c>
      <c r="F25" s="111" t="s">
        <v>1619</v>
      </c>
      <c r="G25" s="112" t="str">
        <f>IF(COUNTIF(H25:AU25,"&lt;&gt;")=0,"",SUMPRODUCT(((Recommendations[ImplStatus]="Implemented")+(Recommendations[ImplStatus]="Compensated"))*ISNUMBER(MATCH(Recommendations[Id],H25:AU25,0)))/COUNTIF(H25:AU25,"&lt;&gt;"))</f>
        <v/>
      </c>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1620</v>
      </c>
      <c r="B26" s="109" t="s">
        <v>1621</v>
      </c>
      <c r="C26" s="110" t="s">
        <v>1622</v>
      </c>
      <c r="D26" s="110" t="s">
        <v>1623</v>
      </c>
      <c r="E26" s="110" t="s">
        <v>21</v>
      </c>
      <c r="F26" s="111" t="s">
        <v>1624</v>
      </c>
      <c r="G26" s="112">
        <f>IF(COUNTIF(H26:AU26,"&lt;&gt;")=0,"",SUMPRODUCT(((Recommendations[ImplStatus]="Implemented")+(Recommendations[ImplStatus]="Compensated"))*ISNUMBER(MATCH(Recommendations[Id],H26:AU26,0)))/COUNTIF(H26:AU26,"&lt;&gt;"))</f>
        <v>0</v>
      </c>
      <c r="H26" s="113" t="s">
        <v>231</v>
      </c>
      <c r="I26" s="113" t="s">
        <v>468</v>
      </c>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21"/>
    </row>
    <row r="27" spans="1:47" ht="60" customHeight="1" x14ac:dyDescent="0.35">
      <c r="A27" s="119" t="s">
        <v>1625</v>
      </c>
      <c r="B27" s="109" t="s">
        <v>1626</v>
      </c>
      <c r="C27" s="110" t="s">
        <v>1627</v>
      </c>
      <c r="D27" s="110" t="s">
        <v>1628</v>
      </c>
      <c r="E27" s="110" t="s">
        <v>1629</v>
      </c>
      <c r="F27" s="111" t="s">
        <v>1630</v>
      </c>
      <c r="G27" s="112" t="str">
        <f>IF(COUNTIF(H27:AU27,"&lt;&gt;")=0,"",SUMPRODUCT(((Recommendations[ImplStatus]="Implemented")+(Recommendations[ImplStatus]="Compensated"))*ISNUMBER(MATCH(Recommendations[Id],H27:AU27,0)))/COUNTIF(H27:AU27,"&lt;&gt;"))</f>
        <v/>
      </c>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21"/>
    </row>
    <row r="28" spans="1:47" ht="60" customHeight="1" x14ac:dyDescent="0.35">
      <c r="A28" s="119" t="s">
        <v>1631</v>
      </c>
      <c r="B28" s="109" t="s">
        <v>1632</v>
      </c>
      <c r="C28" s="110" t="s">
        <v>1633</v>
      </c>
      <c r="D28" s="110" t="s">
        <v>21</v>
      </c>
      <c r="E28" s="110" t="s">
        <v>21</v>
      </c>
      <c r="F28" s="111" t="s">
        <v>1634</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1635</v>
      </c>
      <c r="B29" s="109" t="s">
        <v>1636</v>
      </c>
      <c r="C29" s="110" t="s">
        <v>1637</v>
      </c>
      <c r="D29" s="110" t="s">
        <v>1638</v>
      </c>
      <c r="E29" s="110" t="s">
        <v>1639</v>
      </c>
      <c r="F29" s="111" t="s">
        <v>1640</v>
      </c>
      <c r="G29" s="112">
        <f>IF(COUNTIF(H29:AU29,"&lt;&gt;")=0,"",SUMPRODUCT(((Recommendations[ImplStatus]="Implemented")+(Recommendations[ImplStatus]="Compensated"))*ISNUMBER(MATCH(Recommendations[Id],H29:AU29,0)))/COUNTIF(H29:AU29,"&lt;&gt;"))</f>
        <v>0</v>
      </c>
      <c r="H29" s="113" t="s">
        <v>168</v>
      </c>
      <c r="I29" s="113" t="s">
        <v>173</v>
      </c>
      <c r="J29" s="113" t="s">
        <v>178</v>
      </c>
      <c r="K29" s="113" t="s">
        <v>183</v>
      </c>
      <c r="L29" s="113" t="s">
        <v>187</v>
      </c>
      <c r="M29" s="113" t="s">
        <v>191</v>
      </c>
      <c r="N29" s="113" t="s">
        <v>196</v>
      </c>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21"/>
    </row>
    <row r="30" spans="1:47" ht="60" customHeight="1" x14ac:dyDescent="0.35">
      <c r="A30" s="119" t="s">
        <v>1641</v>
      </c>
      <c r="B30" s="109" t="s">
        <v>1642</v>
      </c>
      <c r="C30" s="110" t="s">
        <v>1643</v>
      </c>
      <c r="D30" s="110" t="s">
        <v>1644</v>
      </c>
      <c r="E30" s="110" t="s">
        <v>21</v>
      </c>
      <c r="F30" s="111" t="s">
        <v>1645</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1646</v>
      </c>
      <c r="B31" s="109" t="s">
        <v>1647</v>
      </c>
      <c r="C31" s="110" t="s">
        <v>1648</v>
      </c>
      <c r="D31" s="110" t="s">
        <v>1649</v>
      </c>
      <c r="E31" s="110" t="s">
        <v>1650</v>
      </c>
      <c r="F31" s="111" t="s">
        <v>1651</v>
      </c>
      <c r="G31" s="112">
        <f>IF(COUNTIF(H31:AU31,"&lt;&gt;")=0,"",SUMPRODUCT(((Recommendations[ImplStatus]="Implemented")+(Recommendations[ImplStatus]="Compensated"))*ISNUMBER(MATCH(Recommendations[Id],H31:AU31,0)))/COUNTIF(H31:AU31,"&lt;&gt;"))</f>
        <v>0</v>
      </c>
      <c r="H31" s="113" t="s">
        <v>87</v>
      </c>
      <c r="I31" s="113" t="s">
        <v>92</v>
      </c>
      <c r="J31" s="113" t="s">
        <v>97</v>
      </c>
      <c r="K31" s="113" t="s">
        <v>102</v>
      </c>
      <c r="L31" s="113" t="s">
        <v>133</v>
      </c>
      <c r="M31" s="113" t="s">
        <v>256</v>
      </c>
      <c r="N31" s="113" t="s">
        <v>363</v>
      </c>
      <c r="O31" s="113"/>
      <c r="P31" s="113"/>
      <c r="Q31" s="113"/>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1652</v>
      </c>
      <c r="B32" s="109" t="s">
        <v>1653</v>
      </c>
      <c r="C32" s="110" t="s">
        <v>1654</v>
      </c>
      <c r="D32" s="110" t="s">
        <v>1655</v>
      </c>
      <c r="E32" s="110" t="s">
        <v>1656</v>
      </c>
      <c r="F32" s="111" t="s">
        <v>1657</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1658</v>
      </c>
      <c r="B33" s="109" t="s">
        <v>1659</v>
      </c>
      <c r="C33" s="110" t="s">
        <v>1660</v>
      </c>
      <c r="D33" s="110" t="s">
        <v>1661</v>
      </c>
      <c r="E33" s="110" t="s">
        <v>21</v>
      </c>
      <c r="F33" s="111" t="s">
        <v>1662</v>
      </c>
      <c r="G33" s="112" t="str">
        <f>IF(COUNTIF(H33:AU33,"&lt;&gt;")=0,"",SUMPRODUCT(((Recommendations[ImplStatus]="Implemented")+(Recommendations[ImplStatus]="Compensated"))*ISNUMBER(MATCH(Recommendations[Id],H33:AU33,0)))/COUNTIF(H33:AU33,"&lt;&gt;"))</f>
        <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1663</v>
      </c>
      <c r="B34" s="109" t="s">
        <v>1664</v>
      </c>
      <c r="C34" s="110" t="s">
        <v>1665</v>
      </c>
      <c r="D34" s="110" t="s">
        <v>1666</v>
      </c>
      <c r="E34" s="110" t="s">
        <v>21</v>
      </c>
      <c r="F34" s="111" t="s">
        <v>1667</v>
      </c>
      <c r="G34" s="112" t="str">
        <f>IF(COUNTIF(H34:AU34,"&lt;&gt;")=0,"",SUMPRODUCT(((Recommendations[ImplStatus]="Implemented")+(Recommendations[ImplStatus]="Compensated"))*ISNUMBER(MATCH(Recommendations[Id],H34:AU34,0)))/COUNTIF(H34:AU34,"&lt;&gt;"))</f>
        <v/>
      </c>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21"/>
    </row>
    <row r="35" spans="1:47" ht="60" customHeight="1" x14ac:dyDescent="0.35">
      <c r="A35" s="119" t="s">
        <v>1668</v>
      </c>
      <c r="B35" s="109" t="s">
        <v>1669</v>
      </c>
      <c r="C35" s="110" t="s">
        <v>1670</v>
      </c>
      <c r="D35" s="110" t="s">
        <v>1671</v>
      </c>
      <c r="E35" s="110" t="s">
        <v>1672</v>
      </c>
      <c r="F35" s="111" t="s">
        <v>1673</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1674</v>
      </c>
      <c r="B36" s="109" t="s">
        <v>1675</v>
      </c>
      <c r="C36" s="110" t="s">
        <v>1676</v>
      </c>
      <c r="D36" s="110" t="s">
        <v>1677</v>
      </c>
      <c r="E36" s="110" t="s">
        <v>1678</v>
      </c>
      <c r="F36" s="111" t="s">
        <v>1679</v>
      </c>
      <c r="G36" s="112" t="str">
        <f>IF(COUNTIF(H36:AU36,"&lt;&gt;")=0,"",SUMPRODUCT(((Recommendations[ImplStatus]="Implemented")+(Recommendations[ImplStatus]="Compensated"))*ISNUMBER(MATCH(Recommendations[Id],H36:AU36,0)))/COUNTIF(H36:AU36,"&lt;&gt;"))</f>
        <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1680</v>
      </c>
      <c r="B37" s="109" t="s">
        <v>1681</v>
      </c>
      <c r="C37" s="110" t="s">
        <v>1682</v>
      </c>
      <c r="D37" s="110" t="s">
        <v>1683</v>
      </c>
      <c r="E37" s="110" t="s">
        <v>21</v>
      </c>
      <c r="F37" s="111" t="s">
        <v>1684</v>
      </c>
      <c r="G37" s="112">
        <f>IF(COUNTIF(H37:AU37,"&lt;&gt;")=0,"",SUMPRODUCT(((Recommendations[ImplStatus]="Implemented")+(Recommendations[ImplStatus]="Compensated"))*ISNUMBER(MATCH(Recommendations[Id],H37:AU37,0)))/COUNTIF(H37:AU37,"&lt;&gt;"))</f>
        <v>0</v>
      </c>
      <c r="H37" s="113" t="s">
        <v>241</v>
      </c>
      <c r="I37" s="113" t="s">
        <v>246</v>
      </c>
      <c r="J37" s="113" t="s">
        <v>251</v>
      </c>
      <c r="K37" s="113" t="s">
        <v>325</v>
      </c>
      <c r="L37" s="113" t="s">
        <v>348</v>
      </c>
      <c r="M37" s="113" t="s">
        <v>353</v>
      </c>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1685</v>
      </c>
      <c r="B38" s="109" t="s">
        <v>1686</v>
      </c>
      <c r="C38" s="110" t="s">
        <v>1687</v>
      </c>
      <c r="D38" s="110" t="s">
        <v>1688</v>
      </c>
      <c r="E38" s="110" t="s">
        <v>1689</v>
      </c>
      <c r="F38" s="111" t="s">
        <v>1690</v>
      </c>
      <c r="G38" s="112" t="str">
        <f>IF(COUNTIF(H38:AU38,"&lt;&gt;")=0,"",SUMPRODUCT(((Recommendations[ImplStatus]="Implemented")+(Recommendations[ImplStatus]="Compensated"))*ISNUMBER(MATCH(Recommendations[Id],H38:AU38,0)))/COUNTIF(H38:AU38,"&lt;&gt;"))</f>
        <v/>
      </c>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1691</v>
      </c>
      <c r="B39" s="109" t="s">
        <v>1692</v>
      </c>
      <c r="C39" s="110" t="s">
        <v>1693</v>
      </c>
      <c r="D39" s="110" t="s">
        <v>1694</v>
      </c>
      <c r="E39" s="110" t="s">
        <v>21</v>
      </c>
      <c r="F39" s="111" t="s">
        <v>1695</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1696</v>
      </c>
      <c r="B40" s="109" t="s">
        <v>1697</v>
      </c>
      <c r="C40" s="110" t="s">
        <v>1698</v>
      </c>
      <c r="D40" s="110" t="s">
        <v>1699</v>
      </c>
      <c r="E40" s="110" t="s">
        <v>1700</v>
      </c>
      <c r="F40" s="111" t="s">
        <v>1701</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1702</v>
      </c>
      <c r="B41" s="109" t="s">
        <v>1703</v>
      </c>
      <c r="C41" s="110" t="s">
        <v>1704</v>
      </c>
      <c r="D41" s="110" t="s">
        <v>1705</v>
      </c>
      <c r="E41" s="110" t="s">
        <v>1706</v>
      </c>
      <c r="F41" s="111" t="s">
        <v>1707</v>
      </c>
      <c r="G41" s="112">
        <f>IF(COUNTIF(H41:AU41,"&lt;&gt;")=0,"",SUMPRODUCT(((Recommendations[ImplStatus]="Implemented")+(Recommendations[ImplStatus]="Compensated"))*ISNUMBER(MATCH(Recommendations[Id],H41:AU41,0)))/COUNTIF(H41:AU41,"&lt;&gt;"))</f>
        <v>0</v>
      </c>
      <c r="H41" s="113" t="s">
        <v>143</v>
      </c>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1708</v>
      </c>
      <c r="B42" s="109" t="s">
        <v>1709</v>
      </c>
      <c r="C42" s="110" t="s">
        <v>1710</v>
      </c>
      <c r="D42" s="110" t="s">
        <v>1711</v>
      </c>
      <c r="E42" s="110" t="s">
        <v>1712</v>
      </c>
      <c r="F42" s="111" t="s">
        <v>1713</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1714</v>
      </c>
      <c r="B43" s="109" t="s">
        <v>1715</v>
      </c>
      <c r="C43" s="110" t="s">
        <v>1716</v>
      </c>
      <c r="D43" s="110" t="s">
        <v>1717</v>
      </c>
      <c r="E43" s="110" t="s">
        <v>1718</v>
      </c>
      <c r="F43" s="111" t="s">
        <v>1719</v>
      </c>
      <c r="G43" s="112" t="str">
        <f>IF(COUNTIF(H43:AU43,"&lt;&gt;")=0,"",SUMPRODUCT(((Recommendations[ImplStatus]="Implemented")+(Recommendations[ImplStatus]="Compensated"))*ISNUMBER(MATCH(Recommendations[Id],H43:AU43,0)))/COUNTIF(H43:AU43,"&lt;&gt;"))</f>
        <v/>
      </c>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1720</v>
      </c>
      <c r="B44" s="109" t="s">
        <v>1721</v>
      </c>
      <c r="C44" s="110" t="s">
        <v>1722</v>
      </c>
      <c r="D44" s="110" t="s">
        <v>1723</v>
      </c>
      <c r="E44" s="110" t="s">
        <v>21</v>
      </c>
      <c r="F44" s="111" t="s">
        <v>1724</v>
      </c>
      <c r="G44" s="112" t="str">
        <f>IF(COUNTIF(H44:AU44,"&lt;&gt;")=0,"",SUMPRODUCT(((Recommendations[ImplStatus]="Implemented")+(Recommendations[ImplStatus]="Compensated"))*ISNUMBER(MATCH(Recommendations[Id],H44:AU44,0)))/COUNTIF(H44:AU44,"&lt;&gt;"))</f>
        <v/>
      </c>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1725</v>
      </c>
      <c r="B45" s="114" t="s">
        <v>1726</v>
      </c>
      <c r="C45" s="115" t="s">
        <v>1727</v>
      </c>
      <c r="D45" s="115" t="s">
        <v>1728</v>
      </c>
      <c r="E45" s="115" t="s">
        <v>1729</v>
      </c>
      <c r="F45" s="116" t="s">
        <v>1730</v>
      </c>
      <c r="G45" s="117" t="str">
        <f>IF(COUNTIF(H45:AU45,"&lt;&gt;")=0,"",SUMPRODUCT(((Recommendations[ImplStatus]="Implemented")+(Recommendations[ImplStatus]="Compensated"))*ISNUMBER(MATCH(Recommendations[Id],H45:AU45,0)))/COUNTIF(H45:AU45,"&lt;&gt;"))</f>
        <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539</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IFERROR(INDEX('Recommendations'!$H$2:$H$105, MATCH(H2,'Recommendations'!$A$2:$A$105,0))="Implemented", FALSE))</xm:f>
            <x14:dxf>
              <font>
                <color rgb="FF000000"/>
              </font>
              <fill>
                <patternFill>
                  <bgColor rgb="FF3C7D22"/>
                </patternFill>
              </fill>
            </x14:dxf>
          </x14:cfRule>
          <x14:cfRule type="expression" priority="2" id="{00000000-000E-0000-0500-000002000000}">
            <xm:f>AND(H2&lt;&gt;"", IFERROR(INDEX('Recommendations'!$H$2:$H$105, MATCH(H2,'Recommendations'!$A$2:$A$105,0))="Compensated", FALSE))</xm:f>
            <x14:dxf>
              <font>
                <color rgb="FF000000"/>
              </font>
              <fill>
                <patternFill>
                  <bgColor rgb="FFC6E0B4"/>
                </patternFill>
              </fill>
            </x14:dxf>
          </x14:cfRule>
          <x14:cfRule type="expression" priority="3" id="{00000000-000E-0000-0500-000003000000}">
            <xm:f>AND(H2&lt;&gt;"", IFERROR(INDEX('Recommendations'!$H$2:$H$105, MATCH(H2,'Recommendations'!$A$2:$A$105,0))="Testing", FALSE))</xm:f>
            <x14:dxf>
              <font>
                <color rgb="FF000000"/>
              </font>
              <fill>
                <patternFill>
                  <bgColor rgb="FFFFC000"/>
                </patternFill>
              </fill>
            </x14:dxf>
          </x14:cfRule>
          <x14:cfRule type="expression" priority="4" id="{00000000-000E-0000-0500-000004000000}">
            <xm:f>AND(H2&lt;&gt;"", IFERROR(INDEX('Recommendations'!$H$2:$H$105, MATCH(H2,'Recommendations'!$A$2:$A$105,0))="Failed", FALSE))</xm:f>
            <x14:dxf>
              <font>
                <color rgb="FF000000"/>
              </font>
              <fill>
                <patternFill>
                  <bgColor rgb="FFD82891"/>
                </patternFill>
              </fill>
            </x14:dxf>
          </x14:cfRule>
          <x14:cfRule type="expression" priority="5" id="{00000000-000E-0000-0500-000005000000}">
            <xm:f>AND(H2&lt;&gt;"", IFERROR(INDEX('Recommendations'!$H$2:$H$105, MATCH(H2,'Recommendations'!$A$2:$A$105,0))="Risk Accepted", FALSE))</xm:f>
            <x14:dxf>
              <font>
                <color rgb="FF000000"/>
              </font>
              <fill>
                <patternFill>
                  <bgColor rgb="FFD9D9D9"/>
                </patternFill>
              </fill>
            </x14:dxf>
          </x14:cfRule>
          <x14:cfRule type="expression" priority="6" id="{00000000-000E-0000-0500-000006000000}">
            <xm:f>AND(H2&lt;&gt;"", IFERROR(INDEX('Recommendations'!$H$2:$H$105, MATCH(H2,'Recommendations'!$A$2:$A$105,0))="N/A",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1731</v>
      </c>
      <c r="B1" s="148" t="s">
        <v>785</v>
      </c>
      <c r="C1" s="148" t="s">
        <v>0</v>
      </c>
      <c r="D1" s="148" t="s">
        <v>786</v>
      </c>
      <c r="E1" s="148" t="s">
        <v>1732</v>
      </c>
      <c r="F1" s="148" t="s">
        <v>1733</v>
      </c>
      <c r="G1" s="148" t="s">
        <v>1734</v>
      </c>
      <c r="H1" s="148" t="s">
        <v>1735</v>
      </c>
      <c r="I1" s="148" t="s">
        <v>791</v>
      </c>
      <c r="J1" s="148" t="s">
        <v>792</v>
      </c>
      <c r="K1" s="148" t="s">
        <v>793</v>
      </c>
      <c r="L1" s="148" t="s">
        <v>794</v>
      </c>
      <c r="M1" s="148" t="s">
        <v>795</v>
      </c>
      <c r="N1" s="148" t="s">
        <v>796</v>
      </c>
      <c r="O1" s="148" t="s">
        <v>797</v>
      </c>
      <c r="P1" s="148" t="s">
        <v>798</v>
      </c>
      <c r="Q1" s="148" t="s">
        <v>799</v>
      </c>
      <c r="R1" s="148" t="s">
        <v>800</v>
      </c>
      <c r="S1" s="148" t="s">
        <v>801</v>
      </c>
      <c r="T1" s="148" t="s">
        <v>802</v>
      </c>
      <c r="U1" s="148" t="s">
        <v>803</v>
      </c>
      <c r="V1" s="148" t="s">
        <v>804</v>
      </c>
      <c r="W1" s="148" t="s">
        <v>805</v>
      </c>
      <c r="X1" s="148" t="s">
        <v>806</v>
      </c>
      <c r="Y1" s="148" t="s">
        <v>807</v>
      </c>
      <c r="Z1" s="148" t="s">
        <v>808</v>
      </c>
      <c r="AA1" s="148" t="s">
        <v>809</v>
      </c>
      <c r="AB1" s="148" t="s">
        <v>810</v>
      </c>
      <c r="AC1" s="148" t="s">
        <v>811</v>
      </c>
      <c r="AD1" s="148" t="s">
        <v>812</v>
      </c>
      <c r="AE1" s="148" t="s">
        <v>813</v>
      </c>
      <c r="AF1" s="148" t="s">
        <v>814</v>
      </c>
      <c r="AG1" s="148" t="s">
        <v>815</v>
      </c>
      <c r="AH1" s="148" t="s">
        <v>816</v>
      </c>
      <c r="AI1" s="148" t="s">
        <v>817</v>
      </c>
      <c r="AJ1" s="148" t="s">
        <v>818</v>
      </c>
      <c r="AK1" s="148" t="s">
        <v>819</v>
      </c>
      <c r="AL1" s="148" t="s">
        <v>820</v>
      </c>
      <c r="AM1" s="148" t="s">
        <v>821</v>
      </c>
      <c r="AN1" s="148" t="s">
        <v>822</v>
      </c>
      <c r="AO1" s="148" t="s">
        <v>823</v>
      </c>
      <c r="AP1" s="148" t="s">
        <v>824</v>
      </c>
      <c r="AQ1" s="148" t="s">
        <v>825</v>
      </c>
      <c r="AR1" s="148" t="s">
        <v>826</v>
      </c>
      <c r="AS1" s="148" t="s">
        <v>827</v>
      </c>
      <c r="AT1" s="148" t="s">
        <v>828</v>
      </c>
      <c r="AU1" s="148" t="s">
        <v>829</v>
      </c>
      <c r="AV1" s="148" t="s">
        <v>830</v>
      </c>
      <c r="AW1" s="149" t="s">
        <v>831</v>
      </c>
    </row>
    <row r="2" spans="1:49" ht="60" customHeight="1" outlineLevel="1" x14ac:dyDescent="0.35">
      <c r="A2" s="141" t="s">
        <v>1736</v>
      </c>
      <c r="B2" s="127"/>
      <c r="C2" s="126" t="s">
        <v>1737</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1736</v>
      </c>
      <c r="B3" s="128" t="s">
        <v>1002</v>
      </c>
      <c r="C3" s="129" t="s">
        <v>1738</v>
      </c>
      <c r="D3" s="131" t="s">
        <v>1739</v>
      </c>
      <c r="E3" s="131" t="s">
        <v>1740</v>
      </c>
      <c r="F3" s="131" t="s">
        <v>1741</v>
      </c>
      <c r="G3" s="131" t="s">
        <v>1742</v>
      </c>
      <c r="H3" s="131" t="s">
        <v>1743</v>
      </c>
      <c r="I3" s="133">
        <f>IF(COUNTIF(J3:AW3,"&lt;&gt;")=0,"",SUMPRODUCT(((Recommendations[ImplStatus]="Implemented")+(Recommendations[ImplStatus]="Compensated"))*ISNUMBER(MATCH(Recommendations[Id],J3:AW3,0)))/COUNTIF(J3:AW3,"&lt;&gt;"))</f>
        <v>0</v>
      </c>
      <c r="J3" s="135" t="s">
        <v>92</v>
      </c>
      <c r="K3" s="135" t="s">
        <v>97</v>
      </c>
      <c r="L3" s="135" t="s">
        <v>256</v>
      </c>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1736</v>
      </c>
      <c r="B4" s="128" t="s">
        <v>1744</v>
      </c>
      <c r="C4" s="129" t="s">
        <v>1745</v>
      </c>
      <c r="D4" s="131" t="s">
        <v>1746</v>
      </c>
      <c r="E4" s="131" t="s">
        <v>1747</v>
      </c>
      <c r="F4" s="131" t="s">
        <v>1748</v>
      </c>
      <c r="G4" s="131" t="s">
        <v>1749</v>
      </c>
      <c r="H4" s="131" t="s">
        <v>1750</v>
      </c>
      <c r="I4" s="133" t="str">
        <f>IF(COUNTIF(J4:AW4,"&lt;&gt;")=0,"",SUMPRODUCT(((Recommendations[ImplStatus]="Implemented")+(Recommendations[ImplStatus]="Compensated"))*ISNUMBER(MATCH(Recommendations[Id],J4:AW4,0)))/COUNTIF(J4:AW4,"&lt;&gt;"))</f>
        <v/>
      </c>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1736</v>
      </c>
      <c r="B5" s="128" t="s">
        <v>1751</v>
      </c>
      <c r="C5" s="129" t="s">
        <v>1752</v>
      </c>
      <c r="D5" s="131" t="s">
        <v>1753</v>
      </c>
      <c r="E5" s="131" t="s">
        <v>1754</v>
      </c>
      <c r="F5" s="131" t="s">
        <v>1755</v>
      </c>
      <c r="G5" s="131" t="s">
        <v>1756</v>
      </c>
      <c r="H5" s="131" t="s">
        <v>1757</v>
      </c>
      <c r="I5" s="133">
        <f>IF(COUNTIF(J5:AW5,"&lt;&gt;")=0,"",SUMPRODUCT(((Recommendations[ImplStatus]="Implemented")+(Recommendations[ImplStatus]="Compensated"))*ISNUMBER(MATCH(Recommendations[Id],J5:AW5,0)))/COUNTIF(J5:AW5,"&lt;&gt;"))</f>
        <v>0</v>
      </c>
      <c r="J5" s="135" t="s">
        <v>407</v>
      </c>
      <c r="K5" s="135" t="s">
        <v>413</v>
      </c>
      <c r="L5" s="135" t="s">
        <v>453</v>
      </c>
      <c r="M5" s="135" t="s">
        <v>473</v>
      </c>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1736</v>
      </c>
      <c r="B6" s="128" t="s">
        <v>1758</v>
      </c>
      <c r="C6" s="129" t="s">
        <v>1759</v>
      </c>
      <c r="D6" s="131" t="s">
        <v>1760</v>
      </c>
      <c r="E6" s="131" t="s">
        <v>1761</v>
      </c>
      <c r="F6" s="131" t="s">
        <v>1762</v>
      </c>
      <c r="G6" s="131" t="s">
        <v>1763</v>
      </c>
      <c r="H6" s="131" t="s">
        <v>1764</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1736</v>
      </c>
      <c r="B7" s="128" t="s">
        <v>1765</v>
      </c>
      <c r="C7" s="129" t="s">
        <v>1766</v>
      </c>
      <c r="D7" s="131" t="s">
        <v>1767</v>
      </c>
      <c r="E7" s="131" t="s">
        <v>1768</v>
      </c>
      <c r="F7" s="131" t="s">
        <v>1769</v>
      </c>
      <c r="G7" s="131" t="s">
        <v>1770</v>
      </c>
      <c r="H7" s="131" t="s">
        <v>1771</v>
      </c>
      <c r="I7" s="133">
        <f>IF(COUNTIF(J7:AW7,"&lt;&gt;")=0,"",SUMPRODUCT(((Recommendations[ImplStatus]="Implemented")+(Recommendations[ImplStatus]="Compensated"))*ISNUMBER(MATCH(Recommendations[Id],J7:AW7,0)))/COUNTIF(J7:AW7,"&lt;&gt;"))</f>
        <v>0</v>
      </c>
      <c r="J7" s="135" t="s">
        <v>97</v>
      </c>
      <c r="K7" s="135" t="s">
        <v>102</v>
      </c>
      <c r="L7" s="135" t="s">
        <v>256</v>
      </c>
      <c r="M7" s="135" t="s">
        <v>363</v>
      </c>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1736</v>
      </c>
      <c r="B8" s="128" t="s">
        <v>1772</v>
      </c>
      <c r="C8" s="129" t="s">
        <v>1773</v>
      </c>
      <c r="D8" s="131" t="s">
        <v>1774</v>
      </c>
      <c r="E8" s="131" t="s">
        <v>1775</v>
      </c>
      <c r="F8" s="131" t="s">
        <v>1776</v>
      </c>
      <c r="G8" s="131" t="s">
        <v>1770</v>
      </c>
      <c r="H8" s="131" t="s">
        <v>1777</v>
      </c>
      <c r="I8" s="133">
        <f>IF(COUNTIF(J8:AW8,"&lt;&gt;")=0,"",SUMPRODUCT(((Recommendations[ImplStatus]="Implemented")+(Recommendations[ImplStatus]="Compensated"))*ISNUMBER(MATCH(Recommendations[Id],J8:AW8,0)))/COUNTIF(J8:AW8,"&lt;&gt;"))</f>
        <v>0</v>
      </c>
      <c r="J8" s="135" t="s">
        <v>102</v>
      </c>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1736</v>
      </c>
      <c r="B9" s="128" t="s">
        <v>1778</v>
      </c>
      <c r="C9" s="129" t="s">
        <v>1779</v>
      </c>
      <c r="D9" s="131" t="s">
        <v>1780</v>
      </c>
      <c r="E9" s="131" t="s">
        <v>1781</v>
      </c>
      <c r="F9" s="131" t="s">
        <v>1782</v>
      </c>
      <c r="G9" s="131" t="s">
        <v>1783</v>
      </c>
      <c r="H9" s="131" t="s">
        <v>1784</v>
      </c>
      <c r="I9" s="133" t="str">
        <f>IF(COUNTIF(J9:AW9,"&lt;&gt;")=0,"",SUMPRODUCT(((Recommendations[ImplStatus]="Implemented")+(Recommendations[ImplStatus]="Compensated"))*ISNUMBER(MATCH(Recommendations[Id],J9:AW9,0)))/COUNTIF(J9:AW9,"&lt;&gt;"))</f>
        <v/>
      </c>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1736</v>
      </c>
      <c r="B10" s="128" t="s">
        <v>1785</v>
      </c>
      <c r="C10" s="129" t="s">
        <v>1786</v>
      </c>
      <c r="D10" s="131" t="s">
        <v>1787</v>
      </c>
      <c r="E10" s="131" t="s">
        <v>1788</v>
      </c>
      <c r="F10" s="131" t="s">
        <v>1789</v>
      </c>
      <c r="G10" s="131" t="s">
        <v>1790</v>
      </c>
      <c r="H10" s="131" t="s">
        <v>1791</v>
      </c>
      <c r="I10" s="133" t="str">
        <f>IF(COUNTIF(J10:AW10,"&lt;&gt;")=0,"",SUMPRODUCT(((Recommendations[ImplStatus]="Implemented")+(Recommendations[ImplStatus]="Compensated"))*ISNUMBER(MATCH(Recommendations[Id],J10:AW10,0)))/COUNTIF(J10:AW10,"&lt;&gt;"))</f>
        <v/>
      </c>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1736</v>
      </c>
      <c r="B11" s="128" t="s">
        <v>1792</v>
      </c>
      <c r="C11" s="129" t="s">
        <v>1793</v>
      </c>
      <c r="D11" s="131" t="s">
        <v>1794</v>
      </c>
      <c r="E11" s="131" t="s">
        <v>1795</v>
      </c>
      <c r="F11" s="131" t="s">
        <v>1796</v>
      </c>
      <c r="G11" s="131" t="s">
        <v>1797</v>
      </c>
      <c r="H11" s="131" t="s">
        <v>1798</v>
      </c>
      <c r="I11" s="133" t="str">
        <f>IF(COUNTIF(J11:AW11,"&lt;&gt;")=0,"",SUMPRODUCT(((Recommendations[ImplStatus]="Implemented")+(Recommendations[ImplStatus]="Compensated"))*ISNUMBER(MATCH(Recommendations[Id],J11:AW11,0)))/COUNTIF(J11:AW11,"&lt;&gt;"))</f>
        <v/>
      </c>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1736</v>
      </c>
      <c r="B12" s="128" t="s">
        <v>1799</v>
      </c>
      <c r="C12" s="129" t="s">
        <v>1800</v>
      </c>
      <c r="D12" s="131" t="s">
        <v>1801</v>
      </c>
      <c r="E12" s="131" t="s">
        <v>1802</v>
      </c>
      <c r="F12" s="131" t="s">
        <v>1803</v>
      </c>
      <c r="G12" s="131" t="s">
        <v>1790</v>
      </c>
      <c r="H12" s="131" t="s">
        <v>1804</v>
      </c>
      <c r="I12" s="133">
        <f>IF(COUNTIF(J12:AW12,"&lt;&gt;")=0,"",SUMPRODUCT(((Recommendations[ImplStatus]="Implemented")+(Recommendations[ImplStatus]="Compensated"))*ISNUMBER(MATCH(Recommendations[Id],J12:AW12,0)))/COUNTIF(J12:AW12,"&lt;&gt;"))</f>
        <v>0</v>
      </c>
      <c r="J12" s="135" t="s">
        <v>81</v>
      </c>
      <c r="K12" s="135" t="s">
        <v>225</v>
      </c>
      <c r="L12" s="135" t="s">
        <v>372</v>
      </c>
      <c r="M12" s="135" t="s">
        <v>402</v>
      </c>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1736</v>
      </c>
      <c r="B13" s="128" t="s">
        <v>1805</v>
      </c>
      <c r="C13" s="129" t="s">
        <v>1806</v>
      </c>
      <c r="D13" s="131" t="s">
        <v>1807</v>
      </c>
      <c r="E13" s="131" t="s">
        <v>1808</v>
      </c>
      <c r="F13" s="131" t="s">
        <v>1809</v>
      </c>
      <c r="G13" s="131" t="s">
        <v>1790</v>
      </c>
      <c r="H13" s="131" t="s">
        <v>1810</v>
      </c>
      <c r="I13" s="133">
        <f>IF(COUNTIF(J13:AW13,"&lt;&gt;")=0,"",SUMPRODUCT(((Recommendations[ImplStatus]="Implemented")+(Recommendations[ImplStatus]="Compensated"))*ISNUMBER(MATCH(Recommendations[Id],J13:AW13,0)))/COUNTIF(J13:AW13,"&lt;&gt;"))</f>
        <v>0</v>
      </c>
      <c r="J13" s="135" t="s">
        <v>206</v>
      </c>
      <c r="K13" s="135" t="s">
        <v>310</v>
      </c>
      <c r="L13" s="135" t="s">
        <v>372</v>
      </c>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1736</v>
      </c>
      <c r="B14" s="128" t="s">
        <v>1811</v>
      </c>
      <c r="C14" s="129" t="s">
        <v>1812</v>
      </c>
      <c r="D14" s="131" t="s">
        <v>1813</v>
      </c>
      <c r="E14" s="131" t="s">
        <v>1814</v>
      </c>
      <c r="F14" s="131" t="s">
        <v>1815</v>
      </c>
      <c r="G14" s="131" t="s">
        <v>1816</v>
      </c>
      <c r="H14" s="131" t="s">
        <v>1817</v>
      </c>
      <c r="I14" s="133">
        <f>IF(COUNTIF(J14:AW14,"&lt;&gt;")=0,"",SUMPRODUCT(((Recommendations[ImplStatus]="Implemented")+(Recommendations[ImplStatus]="Compensated"))*ISNUMBER(MATCH(Recommendations[Id],J14:AW14,0)))/COUNTIF(J14:AW14,"&lt;&gt;"))</f>
        <v>0</v>
      </c>
      <c r="J14" s="135" t="s">
        <v>387</v>
      </c>
      <c r="K14" s="135" t="s">
        <v>392</v>
      </c>
      <c r="L14" s="135" t="s">
        <v>397</v>
      </c>
      <c r="M14" s="135" t="s">
        <v>494</v>
      </c>
      <c r="N14" s="135" t="s">
        <v>519</v>
      </c>
      <c r="O14" s="135" t="s">
        <v>534</v>
      </c>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1736</v>
      </c>
      <c r="B15" s="128" t="s">
        <v>1818</v>
      </c>
      <c r="C15" s="129" t="s">
        <v>1819</v>
      </c>
      <c r="D15" s="131" t="s">
        <v>1820</v>
      </c>
      <c r="E15" s="131" t="s">
        <v>1821</v>
      </c>
      <c r="F15" s="131" t="s">
        <v>1822</v>
      </c>
      <c r="G15" s="131" t="s">
        <v>1823</v>
      </c>
      <c r="H15" s="131" t="s">
        <v>1824</v>
      </c>
      <c r="I15" s="133" t="str">
        <f>IF(COUNTIF(J15:AW15,"&lt;&gt;")=0,"",SUMPRODUCT(((Recommendations[ImplStatus]="Implemented")+(Recommendations[ImplStatus]="Compensated"))*ISNUMBER(MATCH(Recommendations[Id],J15:AW15,0)))/COUNTIF(J15:AW15,"&lt;&gt;"))</f>
        <v/>
      </c>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1736</v>
      </c>
      <c r="B16" s="128" t="s">
        <v>1825</v>
      </c>
      <c r="C16" s="129" t="s">
        <v>1826</v>
      </c>
      <c r="D16" s="131" t="s">
        <v>1827</v>
      </c>
      <c r="E16" s="131" t="s">
        <v>1828</v>
      </c>
      <c r="F16" s="131" t="s">
        <v>1829</v>
      </c>
      <c r="G16" s="131" t="s">
        <v>1830</v>
      </c>
      <c r="H16" s="131" t="s">
        <v>1831</v>
      </c>
      <c r="I16" s="133" t="str">
        <f>IF(COUNTIF(J16:AW16,"&lt;&gt;")=0,"",SUMPRODUCT(((Recommendations[ImplStatus]="Implemented")+(Recommendations[ImplStatus]="Compensated"))*ISNUMBER(MATCH(Recommendations[Id],J16:AW16,0)))/COUNTIF(J16:AW16,"&lt;&gt;"))</f>
        <v/>
      </c>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1736</v>
      </c>
      <c r="B17" s="128" t="s">
        <v>1832</v>
      </c>
      <c r="C17" s="129" t="s">
        <v>1833</v>
      </c>
      <c r="D17" s="131" t="s">
        <v>1834</v>
      </c>
      <c r="E17" s="131" t="s">
        <v>1835</v>
      </c>
      <c r="F17" s="131" t="s">
        <v>1836</v>
      </c>
      <c r="G17" s="131" t="s">
        <v>1837</v>
      </c>
      <c r="H17" s="131" t="s">
        <v>1838</v>
      </c>
      <c r="I17" s="133" t="str">
        <f>IF(COUNTIF(J17:AW17,"&lt;&gt;")=0,"",SUMPRODUCT(((Recommendations[ImplStatus]="Implemented")+(Recommendations[ImplStatus]="Compensated"))*ISNUMBER(MATCH(Recommendations[Id],J17:AW17,0)))/COUNTIF(J17:AW17,"&lt;&gt;"))</f>
        <v/>
      </c>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1736</v>
      </c>
      <c r="B18" s="128" t="s">
        <v>1839</v>
      </c>
      <c r="C18" s="129" t="s">
        <v>1840</v>
      </c>
      <c r="D18" s="131" t="s">
        <v>1841</v>
      </c>
      <c r="E18" s="131" t="s">
        <v>1842</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1843</v>
      </c>
      <c r="B19" s="127"/>
      <c r="C19" s="126" t="s">
        <v>1844</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1843</v>
      </c>
      <c r="B20" s="128" t="s">
        <v>1845</v>
      </c>
      <c r="C20" s="129" t="s">
        <v>1846</v>
      </c>
      <c r="D20" s="131" t="s">
        <v>1847</v>
      </c>
      <c r="E20" s="131" t="s">
        <v>1848</v>
      </c>
      <c r="F20" s="131" t="s">
        <v>1849</v>
      </c>
      <c r="G20" s="131" t="s">
        <v>1850</v>
      </c>
      <c r="H20" s="131" t="s">
        <v>1851</v>
      </c>
      <c r="I20" s="133" t="str">
        <f>IF(COUNTIF(J20:AW20,"&lt;&gt;")=0,"",SUMPRODUCT(((Recommendations[ImplStatus]="Implemented")+(Recommendations[ImplStatus]="Compensated"))*ISNUMBER(MATCH(Recommendations[Id],J20:AW20,0)))/COUNTIF(J20:AW20,"&lt;&gt;"))</f>
        <v/>
      </c>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1843</v>
      </c>
      <c r="B21" s="128" t="s">
        <v>1852</v>
      </c>
      <c r="C21" s="129" t="s">
        <v>1853</v>
      </c>
      <c r="D21" s="131" t="s">
        <v>1854</v>
      </c>
      <c r="E21" s="131" t="s">
        <v>1855</v>
      </c>
      <c r="F21" s="131" t="s">
        <v>1856</v>
      </c>
      <c r="G21" s="131" t="s">
        <v>1857</v>
      </c>
      <c r="H21" s="131" t="s">
        <v>1858</v>
      </c>
      <c r="I21" s="133" t="str">
        <f>IF(COUNTIF(J21:AW21,"&lt;&gt;")=0,"",SUMPRODUCT(((Recommendations[ImplStatus]="Implemented")+(Recommendations[ImplStatus]="Compensated"))*ISNUMBER(MATCH(Recommendations[Id],J21:AW21,0)))/COUNTIF(J21:AW21,"&lt;&gt;"))</f>
        <v/>
      </c>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1859</v>
      </c>
      <c r="B22" s="127"/>
      <c r="C22" s="126" t="s">
        <v>1860</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1859</v>
      </c>
      <c r="B23" s="128" t="s">
        <v>1861</v>
      </c>
      <c r="C23" s="129" t="s">
        <v>1862</v>
      </c>
      <c r="D23" s="131" t="s">
        <v>1863</v>
      </c>
      <c r="E23" s="131" t="s">
        <v>1864</v>
      </c>
      <c r="F23" s="131" t="s">
        <v>1865</v>
      </c>
      <c r="G23" s="131" t="s">
        <v>1866</v>
      </c>
      <c r="H23" s="131" t="s">
        <v>1867</v>
      </c>
      <c r="I23" s="133">
        <f>IF(COUNTIF(J23:AW23,"&lt;&gt;")=0,"",SUMPRODUCT(((Recommendations[ImplStatus]="Implemented")+(Recommendations[ImplStatus]="Compensated"))*ISNUMBER(MATCH(Recommendations[Id],J23:AW23,0)))/COUNTIF(J23:AW23,"&lt;&gt;"))</f>
        <v>0</v>
      </c>
      <c r="J23" s="135" t="s">
        <v>117</v>
      </c>
      <c r="K23" s="135" t="s">
        <v>123</v>
      </c>
      <c r="L23" s="135" t="s">
        <v>128</v>
      </c>
      <c r="M23" s="135" t="s">
        <v>418</v>
      </c>
      <c r="N23" s="135" t="s">
        <v>423</v>
      </c>
      <c r="O23" s="135" t="s">
        <v>428</v>
      </c>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45"/>
    </row>
    <row r="24" spans="1:49" ht="60" customHeight="1" x14ac:dyDescent="0.35">
      <c r="A24" s="142" t="s">
        <v>1859</v>
      </c>
      <c r="B24" s="128" t="s">
        <v>1868</v>
      </c>
      <c r="C24" s="129" t="s">
        <v>1869</v>
      </c>
      <c r="D24" s="131" t="s">
        <v>1870</v>
      </c>
      <c r="E24" s="131" t="s">
        <v>1871</v>
      </c>
      <c r="F24" s="131" t="s">
        <v>1872</v>
      </c>
      <c r="G24" s="131" t="s">
        <v>1873</v>
      </c>
      <c r="H24" s="131" t="s">
        <v>1874</v>
      </c>
      <c r="I24" s="133">
        <f>IF(COUNTIF(J24:AW24,"&lt;&gt;")=0,"",SUMPRODUCT(((Recommendations[ImplStatus]="Implemented")+(Recommendations[ImplStatus]="Compensated"))*ISNUMBER(MATCH(Recommendations[Id],J24:AW24,0)))/COUNTIF(J24:AW24,"&lt;&gt;"))</f>
        <v>0</v>
      </c>
      <c r="J24" s="135" t="s">
        <v>102</v>
      </c>
      <c r="K24" s="135" t="s">
        <v>123</v>
      </c>
      <c r="L24" s="135" t="s">
        <v>418</v>
      </c>
      <c r="M24" s="135" t="s">
        <v>423</v>
      </c>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45"/>
    </row>
    <row r="25" spans="1:49" ht="60" customHeight="1" x14ac:dyDescent="0.35">
      <c r="A25" s="142" t="s">
        <v>1859</v>
      </c>
      <c r="B25" s="128" t="s">
        <v>1875</v>
      </c>
      <c r="C25" s="129" t="s">
        <v>1876</v>
      </c>
      <c r="D25" s="131" t="s">
        <v>1877</v>
      </c>
      <c r="E25" s="131" t="s">
        <v>1878</v>
      </c>
      <c r="F25" s="131" t="s">
        <v>1879</v>
      </c>
      <c r="G25" s="131" t="s">
        <v>1880</v>
      </c>
      <c r="H25" s="131" t="s">
        <v>1881</v>
      </c>
      <c r="I25" s="133" t="str">
        <f>IF(COUNTIF(J25:AW25,"&lt;&gt;")=0,"",SUMPRODUCT(((Recommendations[ImplStatus]="Implemented")+(Recommendations[ImplStatus]="Compensated"))*ISNUMBER(MATCH(Recommendations[Id],J25:AW25,0)))/COUNTIF(J25:AW25,"&lt;&gt;"))</f>
        <v/>
      </c>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1859</v>
      </c>
      <c r="B26" s="128" t="s">
        <v>1882</v>
      </c>
      <c r="C26" s="129" t="s">
        <v>1883</v>
      </c>
      <c r="D26" s="131" t="s">
        <v>1884</v>
      </c>
      <c r="E26" s="131" t="s">
        <v>1885</v>
      </c>
      <c r="F26" s="131" t="s">
        <v>1886</v>
      </c>
      <c r="G26" s="131" t="s">
        <v>1873</v>
      </c>
      <c r="H26" s="131" t="s">
        <v>1887</v>
      </c>
      <c r="I26" s="133">
        <f>IF(COUNTIF(J26:AW26,"&lt;&gt;")=0,"",SUMPRODUCT(((Recommendations[ImplStatus]="Implemented")+(Recommendations[ImplStatus]="Compensated"))*ISNUMBER(MATCH(Recommendations[Id],J26:AW26,0)))/COUNTIF(J26:AW26,"&lt;&gt;"))</f>
        <v>0</v>
      </c>
      <c r="J26" s="135" t="s">
        <v>117</v>
      </c>
      <c r="K26" s="135" t="s">
        <v>428</v>
      </c>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1859</v>
      </c>
      <c r="B27" s="128" t="s">
        <v>1888</v>
      </c>
      <c r="C27" s="129" t="s">
        <v>1889</v>
      </c>
      <c r="D27" s="131" t="s">
        <v>1890</v>
      </c>
      <c r="E27" s="131" t="s">
        <v>1891</v>
      </c>
      <c r="F27" s="131" t="s">
        <v>1892</v>
      </c>
      <c r="G27" s="131" t="s">
        <v>1893</v>
      </c>
      <c r="H27" s="131" t="s">
        <v>1894</v>
      </c>
      <c r="I27" s="133" t="str">
        <f>IF(COUNTIF(J27:AW27,"&lt;&gt;")=0,"",SUMPRODUCT(((Recommendations[ImplStatus]="Implemented")+(Recommendations[ImplStatus]="Compensated"))*ISNUMBER(MATCH(Recommendations[Id],J27:AW27,0)))/COUNTIF(J27:AW27,"&lt;&gt;"))</f>
        <v/>
      </c>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1859</v>
      </c>
      <c r="B28" s="128" t="s">
        <v>1895</v>
      </c>
      <c r="C28" s="129" t="s">
        <v>1896</v>
      </c>
      <c r="D28" s="131" t="s">
        <v>1897</v>
      </c>
      <c r="E28" s="131" t="s">
        <v>1898</v>
      </c>
      <c r="F28" s="131" t="s">
        <v>1899</v>
      </c>
      <c r="G28" s="131" t="s">
        <v>1900</v>
      </c>
      <c r="H28" s="131" t="s">
        <v>1901</v>
      </c>
      <c r="I28" s="133" t="str">
        <f>IF(COUNTIF(J28:AW28,"&lt;&gt;")=0,"",SUMPRODUCT(((Recommendations[ImplStatus]="Implemented")+(Recommendations[ImplStatus]="Compensated"))*ISNUMBER(MATCH(Recommendations[Id],J28:AW28,0)))/COUNTIF(J28:AW28,"&lt;&gt;"))</f>
        <v/>
      </c>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1859</v>
      </c>
      <c r="B29" s="128" t="s">
        <v>1902</v>
      </c>
      <c r="C29" s="129" t="s">
        <v>1903</v>
      </c>
      <c r="D29" s="131" t="s">
        <v>1904</v>
      </c>
      <c r="E29" s="131" t="s">
        <v>1905</v>
      </c>
      <c r="F29" s="131" t="s">
        <v>1906</v>
      </c>
      <c r="G29" s="131" t="s">
        <v>1790</v>
      </c>
      <c r="H29" s="131" t="s">
        <v>1907</v>
      </c>
      <c r="I29" s="133">
        <f>IF(COUNTIF(J29:AW29,"&lt;&gt;")=0,"",SUMPRODUCT(((Recommendations[ImplStatus]="Implemented")+(Recommendations[ImplStatus]="Compensated"))*ISNUMBER(MATCH(Recommendations[Id],J29:AW29,0)))/COUNTIF(J29:AW29,"&lt;&gt;"))</f>
        <v>0</v>
      </c>
      <c r="J29" s="135" t="s">
        <v>128</v>
      </c>
      <c r="K29" s="135" t="s">
        <v>163</v>
      </c>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1859</v>
      </c>
      <c r="B30" s="128" t="s">
        <v>1908</v>
      </c>
      <c r="C30" s="129" t="s">
        <v>1909</v>
      </c>
      <c r="D30" s="131" t="s">
        <v>1910</v>
      </c>
      <c r="E30" s="131" t="s">
        <v>1911</v>
      </c>
      <c r="F30" s="131" t="s">
        <v>1912</v>
      </c>
      <c r="G30" s="131" t="s">
        <v>1873</v>
      </c>
      <c r="H30" s="131" t="s">
        <v>1913</v>
      </c>
      <c r="I30" s="133" t="str">
        <f>IF(COUNTIF(J30:AW30,"&lt;&gt;")=0,"",SUMPRODUCT(((Recommendations[ImplStatus]="Implemented")+(Recommendations[ImplStatus]="Compensated"))*ISNUMBER(MATCH(Recommendations[Id],J30:AW30,0)))/COUNTIF(J30:AW30,"&lt;&gt;"))</f>
        <v/>
      </c>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45"/>
    </row>
    <row r="31" spans="1:49" ht="60" customHeight="1" outlineLevel="1" x14ac:dyDescent="0.35">
      <c r="A31" s="141" t="s">
        <v>1914</v>
      </c>
      <c r="B31" s="127"/>
      <c r="C31" s="126" t="s">
        <v>1915</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1914</v>
      </c>
      <c r="B32" s="128" t="s">
        <v>1916</v>
      </c>
      <c r="C32" s="129" t="s">
        <v>1917</v>
      </c>
      <c r="D32" s="131" t="s">
        <v>1918</v>
      </c>
      <c r="E32" s="131" t="s">
        <v>1919</v>
      </c>
      <c r="F32" s="131" t="s">
        <v>1920</v>
      </c>
      <c r="G32" s="131" t="s">
        <v>1921</v>
      </c>
      <c r="H32" s="131" t="s">
        <v>1922</v>
      </c>
      <c r="I32" s="133" t="str">
        <f>IF(COUNTIF(J32:AW32,"&lt;&gt;")=0,"",SUMPRODUCT(((Recommendations[ImplStatus]="Implemented")+(Recommendations[ImplStatus]="Compensated"))*ISNUMBER(MATCH(Recommendations[Id],J32:AW32,0)))/COUNTIF(J32:AW32,"&lt;&gt;"))</f>
        <v/>
      </c>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1914</v>
      </c>
      <c r="B33" s="128" t="s">
        <v>1923</v>
      </c>
      <c r="C33" s="129" t="s">
        <v>1924</v>
      </c>
      <c r="D33" s="131" t="s">
        <v>1925</v>
      </c>
      <c r="E33" s="131" t="s">
        <v>1926</v>
      </c>
      <c r="F33" s="131" t="s">
        <v>1927</v>
      </c>
      <c r="G33" s="131" t="s">
        <v>1928</v>
      </c>
      <c r="H33" s="131" t="s">
        <v>1929</v>
      </c>
      <c r="I33" s="133" t="str">
        <f>IF(COUNTIF(J33:AW33,"&lt;&gt;")=0,"",SUMPRODUCT(((Recommendations[ImplStatus]="Implemented")+(Recommendations[ImplStatus]="Compensated"))*ISNUMBER(MATCH(Recommendations[Id],J33:AW33,0)))/COUNTIF(J33:AW33,"&lt;&gt;"))</f>
        <v/>
      </c>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45"/>
    </row>
    <row r="34" spans="1:49" ht="60" customHeight="1" x14ac:dyDescent="0.35">
      <c r="A34" s="142" t="s">
        <v>1914</v>
      </c>
      <c r="B34" s="128" t="s">
        <v>1930</v>
      </c>
      <c r="C34" s="129" t="s">
        <v>1931</v>
      </c>
      <c r="D34" s="131" t="s">
        <v>1932</v>
      </c>
      <c r="E34" s="131" t="s">
        <v>1933</v>
      </c>
      <c r="F34" s="131" t="s">
        <v>1934</v>
      </c>
      <c r="G34" s="131" t="s">
        <v>1935</v>
      </c>
      <c r="H34" s="131" t="s">
        <v>1936</v>
      </c>
      <c r="I34" s="133" t="str">
        <f>IF(COUNTIF(J34:AW34,"&lt;&gt;")=0,"",SUMPRODUCT(((Recommendations[ImplStatus]="Implemented")+(Recommendations[ImplStatus]="Compensated"))*ISNUMBER(MATCH(Recommendations[Id],J34:AW34,0)))/COUNTIF(J34:AW34,"&lt;&gt;"))</f>
        <v/>
      </c>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1914</v>
      </c>
      <c r="B35" s="128" t="s">
        <v>1937</v>
      </c>
      <c r="C35" s="129" t="s">
        <v>1938</v>
      </c>
      <c r="D35" s="131" t="s">
        <v>1939</v>
      </c>
      <c r="E35" s="131" t="s">
        <v>1940</v>
      </c>
      <c r="F35" s="131" t="s">
        <v>1941</v>
      </c>
      <c r="G35" s="131" t="s">
        <v>1942</v>
      </c>
      <c r="H35" s="131" t="s">
        <v>1943</v>
      </c>
      <c r="I35" s="133">
        <f>IF(COUNTIF(J35:AW35,"&lt;&gt;")=0,"",SUMPRODUCT(((Recommendations[ImplStatus]="Implemented")+(Recommendations[ImplStatus]="Compensated"))*ISNUMBER(MATCH(Recommendations[Id],J35:AW35,0)))/COUNTIF(J35:AW35,"&lt;&gt;"))</f>
        <v>0</v>
      </c>
      <c r="J35" s="135" t="s">
        <v>133</v>
      </c>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1914</v>
      </c>
      <c r="B36" s="128" t="s">
        <v>1944</v>
      </c>
      <c r="C36" s="129" t="s">
        <v>1945</v>
      </c>
      <c r="D36" s="131" t="s">
        <v>1946</v>
      </c>
      <c r="E36" s="131" t="s">
        <v>1947</v>
      </c>
      <c r="F36" s="131" t="s">
        <v>1948</v>
      </c>
      <c r="G36" s="131" t="s">
        <v>1949</v>
      </c>
      <c r="H36" s="131" t="s">
        <v>1950</v>
      </c>
      <c r="I36" s="133">
        <f>IF(COUNTIF(J36:AW36,"&lt;&gt;")=0,"",SUMPRODUCT(((Recommendations[ImplStatus]="Implemented")+(Recommendations[ImplStatus]="Compensated"))*ISNUMBER(MATCH(Recommendations[Id],J36:AW36,0)))/COUNTIF(J36:AW36,"&lt;&gt;"))</f>
        <v>0</v>
      </c>
      <c r="J36" s="135" t="s">
        <v>133</v>
      </c>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1914</v>
      </c>
      <c r="B37" s="128" t="s">
        <v>1951</v>
      </c>
      <c r="C37" s="129" t="s">
        <v>1952</v>
      </c>
      <c r="D37" s="131" t="s">
        <v>1953</v>
      </c>
      <c r="E37" s="131" t="s">
        <v>1954</v>
      </c>
      <c r="F37" s="131" t="s">
        <v>1955</v>
      </c>
      <c r="G37" s="131" t="s">
        <v>1956</v>
      </c>
      <c r="H37" s="131" t="s">
        <v>1957</v>
      </c>
      <c r="I37" s="133">
        <f>IF(COUNTIF(J37:AW37,"&lt;&gt;")=0,"",SUMPRODUCT(((Recommendations[ImplStatus]="Implemented")+(Recommendations[ImplStatus]="Compensated"))*ISNUMBER(MATCH(Recommendations[Id],J37:AW37,0)))/COUNTIF(J37:AW37,"&lt;&gt;"))</f>
        <v>0</v>
      </c>
      <c r="J37" s="135" t="s">
        <v>14</v>
      </c>
      <c r="K37" s="135" t="s">
        <v>153</v>
      </c>
      <c r="L37" s="135" t="s">
        <v>291</v>
      </c>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45"/>
    </row>
    <row r="38" spans="1:49" ht="60" customHeight="1" x14ac:dyDescent="0.35">
      <c r="A38" s="142" t="s">
        <v>1914</v>
      </c>
      <c r="B38" s="128" t="s">
        <v>1958</v>
      </c>
      <c r="C38" s="129" t="s">
        <v>1959</v>
      </c>
      <c r="D38" s="131" t="s">
        <v>1960</v>
      </c>
      <c r="E38" s="131" t="s">
        <v>1961</v>
      </c>
      <c r="F38" s="131" t="s">
        <v>1962</v>
      </c>
      <c r="G38" s="131" t="s">
        <v>1963</v>
      </c>
      <c r="H38" s="131" t="s">
        <v>1964</v>
      </c>
      <c r="I38" s="133">
        <f>IF(COUNTIF(J38:AW38,"&lt;&gt;")=0,"",SUMPRODUCT(((Recommendations[ImplStatus]="Implemented")+(Recommendations[ImplStatus]="Compensated"))*ISNUMBER(MATCH(Recommendations[Id],J38:AW38,0)))/COUNTIF(J38:AW38,"&lt;&gt;"))</f>
        <v>0</v>
      </c>
      <c r="J38" s="135" t="s">
        <v>153</v>
      </c>
      <c r="K38" s="135" t="s">
        <v>291</v>
      </c>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1914</v>
      </c>
      <c r="B39" s="128" t="s">
        <v>1965</v>
      </c>
      <c r="C39" s="129" t="s">
        <v>1966</v>
      </c>
      <c r="D39" s="131" t="s">
        <v>1967</v>
      </c>
      <c r="E39" s="131" t="s">
        <v>1968</v>
      </c>
      <c r="F39" s="131" t="s">
        <v>1969</v>
      </c>
      <c r="G39" s="131" t="s">
        <v>1970</v>
      </c>
      <c r="H39" s="131" t="s">
        <v>1971</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1914</v>
      </c>
      <c r="B40" s="128" t="s">
        <v>1972</v>
      </c>
      <c r="C40" s="129" t="s">
        <v>1973</v>
      </c>
      <c r="D40" s="131" t="s">
        <v>1974</v>
      </c>
      <c r="E40" s="131" t="s">
        <v>1975</v>
      </c>
      <c r="F40" s="131" t="s">
        <v>1976</v>
      </c>
      <c r="G40" s="131" t="s">
        <v>1977</v>
      </c>
      <c r="H40" s="131" t="s">
        <v>1978</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1914</v>
      </c>
      <c r="B41" s="128" t="s">
        <v>1979</v>
      </c>
      <c r="C41" s="129" t="s">
        <v>1980</v>
      </c>
      <c r="D41" s="131" t="s">
        <v>1981</v>
      </c>
      <c r="E41" s="131" t="s">
        <v>1982</v>
      </c>
      <c r="F41" s="131" t="s">
        <v>1983</v>
      </c>
      <c r="G41" s="131" t="s">
        <v>1921</v>
      </c>
      <c r="H41" s="131" t="s">
        <v>1984</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1985</v>
      </c>
      <c r="B42" s="127"/>
      <c r="C42" s="126" t="s">
        <v>1986</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1985</v>
      </c>
      <c r="B43" s="128" t="s">
        <v>1987</v>
      </c>
      <c r="C43" s="129" t="s">
        <v>1988</v>
      </c>
      <c r="D43" s="131" t="s">
        <v>1989</v>
      </c>
      <c r="E43" s="131" t="s">
        <v>1990</v>
      </c>
      <c r="F43" s="131" t="s">
        <v>1991</v>
      </c>
      <c r="G43" s="131" t="s">
        <v>1992</v>
      </c>
      <c r="H43" s="131" t="s">
        <v>1993</v>
      </c>
      <c r="I43" s="133">
        <f>IF(COUNTIF(J43:AW43,"&lt;&gt;")=0,"",SUMPRODUCT(((Recommendations[ImplStatus]="Implemented")+(Recommendations[ImplStatus]="Compensated"))*ISNUMBER(MATCH(Recommendations[Id],J43:AW43,0)))/COUNTIF(J43:AW43,"&lt;&gt;"))</f>
        <v>0</v>
      </c>
      <c r="J43" s="135" t="s">
        <v>87</v>
      </c>
      <c r="K43" s="135" t="s">
        <v>92</v>
      </c>
      <c r="L43" s="135"/>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1985</v>
      </c>
      <c r="B44" s="128" t="s">
        <v>1994</v>
      </c>
      <c r="C44" s="129" t="s">
        <v>1995</v>
      </c>
      <c r="D44" s="131" t="s">
        <v>1996</v>
      </c>
      <c r="E44" s="131" t="s">
        <v>1997</v>
      </c>
      <c r="F44" s="131" t="s">
        <v>1998</v>
      </c>
      <c r="G44" s="131" t="s">
        <v>1999</v>
      </c>
      <c r="H44" s="131" t="s">
        <v>2000</v>
      </c>
      <c r="I44" s="133" t="str">
        <f>IF(COUNTIF(J44:AW44,"&lt;&gt;")=0,"",SUMPRODUCT(((Recommendations[ImplStatus]="Implemented")+(Recommendations[ImplStatus]="Compensated"))*ISNUMBER(MATCH(Recommendations[Id],J44:AW44,0)))/COUNTIF(J44:AW44,"&lt;&gt;"))</f>
        <v/>
      </c>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1985</v>
      </c>
      <c r="B45" s="128" t="s">
        <v>2001</v>
      </c>
      <c r="C45" s="129" t="s">
        <v>2002</v>
      </c>
      <c r="D45" s="131" t="s">
        <v>2003</v>
      </c>
      <c r="E45" s="131" t="s">
        <v>2004</v>
      </c>
      <c r="F45" s="131" t="s">
        <v>2005</v>
      </c>
      <c r="G45" s="131" t="s">
        <v>2006</v>
      </c>
      <c r="H45" s="131" t="s">
        <v>2007</v>
      </c>
      <c r="I45" s="133">
        <f>IF(COUNTIF(J45:AW45,"&lt;&gt;")=0,"",SUMPRODUCT(((Recommendations[ImplStatus]="Implemented")+(Recommendations[ImplStatus]="Compensated"))*ISNUMBER(MATCH(Recommendations[Id],J45:AW45,0)))/COUNTIF(J45:AW45,"&lt;&gt;"))</f>
        <v>0</v>
      </c>
      <c r="J45" s="135" t="s">
        <v>158</v>
      </c>
      <c r="K45" s="135" t="s">
        <v>295</v>
      </c>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1985</v>
      </c>
      <c r="B46" s="128" t="s">
        <v>2008</v>
      </c>
      <c r="C46" s="129" t="s">
        <v>2009</v>
      </c>
      <c r="D46" s="131" t="s">
        <v>2010</v>
      </c>
      <c r="E46" s="131" t="s">
        <v>2011</v>
      </c>
      <c r="F46" s="131" t="s">
        <v>2012</v>
      </c>
      <c r="G46" s="131" t="s">
        <v>2006</v>
      </c>
      <c r="H46" s="131" t="s">
        <v>2013</v>
      </c>
      <c r="I46" s="133">
        <f>IF(COUNTIF(J46:AW46,"&lt;&gt;")=0,"",SUMPRODUCT(((Recommendations[ImplStatus]="Implemented")+(Recommendations[ImplStatus]="Compensated"))*ISNUMBER(MATCH(Recommendations[Id],J46:AW46,0)))/COUNTIF(J46:AW46,"&lt;&gt;"))</f>
        <v>0</v>
      </c>
      <c r="J46" s="135" t="s">
        <v>158</v>
      </c>
      <c r="K46" s="135" t="s">
        <v>295</v>
      </c>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1985</v>
      </c>
      <c r="B47" s="128" t="s">
        <v>2014</v>
      </c>
      <c r="C47" s="129" t="s">
        <v>2015</v>
      </c>
      <c r="D47" s="131" t="s">
        <v>2016</v>
      </c>
      <c r="E47" s="131" t="s">
        <v>2017</v>
      </c>
      <c r="F47" s="131" t="s">
        <v>2018</v>
      </c>
      <c r="G47" s="131" t="s">
        <v>2019</v>
      </c>
      <c r="H47" s="131" t="s">
        <v>2020</v>
      </c>
      <c r="I47" s="133">
        <f>IF(COUNTIF(J47:AW47,"&lt;&gt;")=0,"",SUMPRODUCT(((Recommendations[ImplStatus]="Implemented")+(Recommendations[ImplStatus]="Compensated"))*ISNUMBER(MATCH(Recommendations[Id],J47:AW47,0)))/COUNTIF(J47:AW47,"&lt;&gt;"))</f>
        <v>0</v>
      </c>
      <c r="J47" s="135" t="s">
        <v>107</v>
      </c>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1985</v>
      </c>
      <c r="B48" s="128" t="s">
        <v>2021</v>
      </c>
      <c r="C48" s="129" t="s">
        <v>2022</v>
      </c>
      <c r="D48" s="131" t="s">
        <v>2023</v>
      </c>
      <c r="E48" s="131" t="s">
        <v>2024</v>
      </c>
      <c r="F48" s="131" t="s">
        <v>2025</v>
      </c>
      <c r="G48" s="131" t="s">
        <v>2026</v>
      </c>
      <c r="H48" s="131" t="s">
        <v>2027</v>
      </c>
      <c r="I48" s="133">
        <f>IF(COUNTIF(J48:AW48,"&lt;&gt;")=0,"",SUMPRODUCT(((Recommendations[ImplStatus]="Implemented")+(Recommendations[ImplStatus]="Compensated"))*ISNUMBER(MATCH(Recommendations[Id],J48:AW48,0)))/COUNTIF(J48:AW48,"&lt;&gt;"))</f>
        <v>0</v>
      </c>
      <c r="J48" s="135" t="s">
        <v>168</v>
      </c>
      <c r="K48" s="135" t="s">
        <v>173</v>
      </c>
      <c r="L48" s="135" t="s">
        <v>178</v>
      </c>
      <c r="M48" s="135" t="s">
        <v>183</v>
      </c>
      <c r="N48" s="135" t="s">
        <v>187</v>
      </c>
      <c r="O48" s="135" t="s">
        <v>191</v>
      </c>
      <c r="P48" s="135" t="s">
        <v>196</v>
      </c>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1985</v>
      </c>
      <c r="B49" s="128" t="s">
        <v>2028</v>
      </c>
      <c r="C49" s="129" t="s">
        <v>2029</v>
      </c>
      <c r="D49" s="131" t="s">
        <v>2030</v>
      </c>
      <c r="E49" s="131" t="s">
        <v>2031</v>
      </c>
      <c r="F49" s="131" t="s">
        <v>2032</v>
      </c>
      <c r="G49" s="131" t="s">
        <v>1790</v>
      </c>
      <c r="H49" s="131" t="s">
        <v>2033</v>
      </c>
      <c r="I49" s="133" t="str">
        <f>IF(COUNTIF(J49:AW49,"&lt;&gt;")=0,"",SUMPRODUCT(((Recommendations[ImplStatus]="Implemented")+(Recommendations[ImplStatus]="Compensated"))*ISNUMBER(MATCH(Recommendations[Id],J49:AW49,0)))/COUNTIF(J49:AW49,"&lt;&gt;"))</f>
        <v/>
      </c>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1985</v>
      </c>
      <c r="B50" s="128" t="s">
        <v>2034</v>
      </c>
      <c r="C50" s="129" t="s">
        <v>2035</v>
      </c>
      <c r="D50" s="131" t="s">
        <v>2036</v>
      </c>
      <c r="E50" s="131" t="s">
        <v>2037</v>
      </c>
      <c r="F50" s="131" t="s">
        <v>2038</v>
      </c>
      <c r="G50" s="131" t="s">
        <v>2039</v>
      </c>
      <c r="H50" s="131" t="s">
        <v>2040</v>
      </c>
      <c r="I50" s="133">
        <f>IF(COUNTIF(J50:AW50,"&lt;&gt;")=0,"",SUMPRODUCT(((Recommendations[ImplStatus]="Implemented")+(Recommendations[ImplStatus]="Compensated"))*ISNUMBER(MATCH(Recommendations[Id],J50:AW50,0)))/COUNTIF(J50:AW50,"&lt;&gt;"))</f>
        <v>0</v>
      </c>
      <c r="J50" s="135" t="s">
        <v>168</v>
      </c>
      <c r="K50" s="135" t="s">
        <v>173</v>
      </c>
      <c r="L50" s="135" t="s">
        <v>178</v>
      </c>
      <c r="M50" s="135" t="s">
        <v>183</v>
      </c>
      <c r="N50" s="135" t="s">
        <v>187</v>
      </c>
      <c r="O50" s="135" t="s">
        <v>191</v>
      </c>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2041</v>
      </c>
      <c r="B51" s="127"/>
      <c r="C51" s="126" t="s">
        <v>2042</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2041</v>
      </c>
      <c r="B52" s="128" t="s">
        <v>2043</v>
      </c>
      <c r="C52" s="129" t="s">
        <v>2044</v>
      </c>
      <c r="D52" s="131" t="s">
        <v>2045</v>
      </c>
      <c r="E52" s="131" t="s">
        <v>2046</v>
      </c>
      <c r="F52" s="131" t="s">
        <v>2047</v>
      </c>
      <c r="G52" s="131" t="s">
        <v>2048</v>
      </c>
      <c r="H52" s="131" t="s">
        <v>2049</v>
      </c>
      <c r="I52" s="133" t="str">
        <f>IF(COUNTIF(J52:AW52,"&lt;&gt;")=0,"",SUMPRODUCT(((Recommendations[ImplStatus]="Implemented")+(Recommendations[ImplStatus]="Compensated"))*ISNUMBER(MATCH(Recommendations[Id],J52:AW52,0)))/COUNTIF(J52:AW52,"&lt;&gt;"))</f>
        <v/>
      </c>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2041</v>
      </c>
      <c r="B53" s="128" t="s">
        <v>2050</v>
      </c>
      <c r="C53" s="129" t="s">
        <v>2051</v>
      </c>
      <c r="D53" s="131" t="s">
        <v>2052</v>
      </c>
      <c r="E53" s="131" t="s">
        <v>2053</v>
      </c>
      <c r="F53" s="131" t="s">
        <v>2054</v>
      </c>
      <c r="G53" s="131" t="s">
        <v>2055</v>
      </c>
      <c r="H53" s="131" t="s">
        <v>2056</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2041</v>
      </c>
      <c r="B54" s="128" t="s">
        <v>2057</v>
      </c>
      <c r="C54" s="129" t="s">
        <v>2058</v>
      </c>
      <c r="D54" s="131" t="s">
        <v>2059</v>
      </c>
      <c r="E54" s="131" t="s">
        <v>2060</v>
      </c>
      <c r="F54" s="131" t="s">
        <v>2061</v>
      </c>
      <c r="G54" s="131" t="s">
        <v>2062</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2041</v>
      </c>
      <c r="B55" s="128" t="s">
        <v>2063</v>
      </c>
      <c r="C55" s="129" t="s">
        <v>2064</v>
      </c>
      <c r="D55" s="131" t="s">
        <v>2065</v>
      </c>
      <c r="E55" s="131" t="s">
        <v>2066</v>
      </c>
      <c r="F55" s="131" t="s">
        <v>2067</v>
      </c>
      <c r="G55" s="131" t="s">
        <v>2068</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2041</v>
      </c>
      <c r="B56" s="128" t="s">
        <v>2069</v>
      </c>
      <c r="C56" s="129" t="s">
        <v>2070</v>
      </c>
      <c r="D56" s="131" t="s">
        <v>2071</v>
      </c>
      <c r="E56" s="131" t="s">
        <v>2072</v>
      </c>
      <c r="F56" s="131" t="s">
        <v>2073</v>
      </c>
      <c r="G56" s="131" t="s">
        <v>2074</v>
      </c>
      <c r="H56" s="131" t="s">
        <v>2075</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2076</v>
      </c>
      <c r="B57" s="127"/>
      <c r="C57" s="126" t="s">
        <v>2077</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2076</v>
      </c>
      <c r="B58" s="128" t="s">
        <v>2078</v>
      </c>
      <c r="C58" s="129" t="s">
        <v>2079</v>
      </c>
      <c r="D58" s="131" t="s">
        <v>2080</v>
      </c>
      <c r="E58" s="131" t="s">
        <v>2081</v>
      </c>
      <c r="F58" s="131" t="s">
        <v>2082</v>
      </c>
      <c r="G58" s="131" t="s">
        <v>2083</v>
      </c>
      <c r="H58" s="131" t="s">
        <v>2084</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2076</v>
      </c>
      <c r="B59" s="128" t="s">
        <v>2085</v>
      </c>
      <c r="C59" s="129" t="s">
        <v>2086</v>
      </c>
      <c r="D59" s="131" t="s">
        <v>2087</v>
      </c>
      <c r="E59" s="131" t="s">
        <v>2088</v>
      </c>
      <c r="F59" s="131" t="s">
        <v>2089</v>
      </c>
      <c r="G59" s="131" t="s">
        <v>2090</v>
      </c>
      <c r="H59" s="131" t="s">
        <v>2091</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2076</v>
      </c>
      <c r="B60" s="128" t="s">
        <v>2092</v>
      </c>
      <c r="C60" s="129" t="s">
        <v>2093</v>
      </c>
      <c r="D60" s="131" t="s">
        <v>2094</v>
      </c>
      <c r="E60" s="131" t="s">
        <v>2095</v>
      </c>
      <c r="F60" s="131" t="s">
        <v>2096</v>
      </c>
      <c r="G60" s="131" t="s">
        <v>2097</v>
      </c>
      <c r="H60" s="131" t="s">
        <v>2098</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2099</v>
      </c>
      <c r="B61" s="127"/>
      <c r="C61" s="126" t="s">
        <v>2100</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2099</v>
      </c>
      <c r="B62" s="128" t="s">
        <v>2101</v>
      </c>
      <c r="C62" s="129" t="s">
        <v>2102</v>
      </c>
      <c r="D62" s="131" t="s">
        <v>2103</v>
      </c>
      <c r="E62" s="131" t="s">
        <v>2104</v>
      </c>
      <c r="F62" s="131" t="s">
        <v>2105</v>
      </c>
      <c r="G62" s="131" t="s">
        <v>2106</v>
      </c>
      <c r="H62" s="131" t="s">
        <v>2107</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2099</v>
      </c>
      <c r="B63" s="128" t="s">
        <v>2108</v>
      </c>
      <c r="C63" s="129" t="s">
        <v>2109</v>
      </c>
      <c r="D63" s="131" t="s">
        <v>2110</v>
      </c>
      <c r="E63" s="131" t="s">
        <v>2111</v>
      </c>
      <c r="F63" s="131" t="s">
        <v>2112</v>
      </c>
      <c r="G63" s="131" t="s">
        <v>2113</v>
      </c>
      <c r="H63" s="131" t="s">
        <v>2114</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2099</v>
      </c>
      <c r="B64" s="128" t="s">
        <v>2115</v>
      </c>
      <c r="C64" s="129" t="s">
        <v>2116</v>
      </c>
      <c r="D64" s="131" t="s">
        <v>2117</v>
      </c>
      <c r="E64" s="131" t="s">
        <v>2118</v>
      </c>
      <c r="F64" s="131" t="s">
        <v>2119</v>
      </c>
      <c r="G64" s="131" t="s">
        <v>2120</v>
      </c>
      <c r="H64" s="131" t="s">
        <v>2121</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2099</v>
      </c>
      <c r="B65" s="128" t="s">
        <v>2122</v>
      </c>
      <c r="C65" s="129" t="s">
        <v>2123</v>
      </c>
      <c r="D65" s="131" t="s">
        <v>2124</v>
      </c>
      <c r="E65" s="131" t="s">
        <v>2125</v>
      </c>
      <c r="F65" s="131" t="s">
        <v>2126</v>
      </c>
      <c r="G65" s="131" t="s">
        <v>2127</v>
      </c>
      <c r="H65" s="131" t="s">
        <v>2128</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2099</v>
      </c>
      <c r="B66" s="128" t="s">
        <v>2129</v>
      </c>
      <c r="C66" s="129" t="s">
        <v>2130</v>
      </c>
      <c r="D66" s="131" t="s">
        <v>2131</v>
      </c>
      <c r="E66" s="131" t="s">
        <v>2132</v>
      </c>
      <c r="F66" s="131" t="s">
        <v>2133</v>
      </c>
      <c r="G66" s="131" t="s">
        <v>2134</v>
      </c>
      <c r="H66" s="131" t="s">
        <v>2135</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2099</v>
      </c>
      <c r="B67" s="128" t="s">
        <v>2136</v>
      </c>
      <c r="C67" s="129" t="s">
        <v>2137</v>
      </c>
      <c r="D67" s="131" t="s">
        <v>2138</v>
      </c>
      <c r="E67" s="131" t="s">
        <v>2139</v>
      </c>
      <c r="F67" s="131" t="s">
        <v>2140</v>
      </c>
      <c r="G67" s="131" t="s">
        <v>2141</v>
      </c>
      <c r="H67" s="131" t="s">
        <v>2142</v>
      </c>
      <c r="I67" s="133" t="str">
        <f>IF(COUNTIF(J67:AW67,"&lt;&gt;")=0,"",SUMPRODUCT(((Recommendations[ImplStatus]="Implemented")+(Recommendations[ImplStatus]="Compensated"))*ISNUMBER(MATCH(Recommendations[Id],J67:AW67,0)))/COUNTIF(J67:AW67,"&lt;&gt;"))</f>
        <v/>
      </c>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2099</v>
      </c>
      <c r="B68" s="128" t="s">
        <v>2143</v>
      </c>
      <c r="C68" s="129" t="s">
        <v>2144</v>
      </c>
      <c r="D68" s="131" t="s">
        <v>2145</v>
      </c>
      <c r="E68" s="131" t="s">
        <v>2146</v>
      </c>
      <c r="F68" s="131" t="s">
        <v>2147</v>
      </c>
      <c r="G68" s="131" t="s">
        <v>2148</v>
      </c>
      <c r="H68" s="131" t="s">
        <v>2149</v>
      </c>
      <c r="I68" s="133">
        <f>IF(COUNTIF(J68:AW68,"&lt;&gt;")=0,"",SUMPRODUCT(((Recommendations[ImplStatus]="Implemented")+(Recommendations[ImplStatus]="Compensated"))*ISNUMBER(MATCH(Recommendations[Id],J68:AW68,0)))/COUNTIF(J68:AW68,"&lt;&gt;"))</f>
        <v>0</v>
      </c>
      <c r="J68" s="135" t="s">
        <v>211</v>
      </c>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2150</v>
      </c>
      <c r="B69" s="127"/>
      <c r="C69" s="126" t="s">
        <v>2151</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2150</v>
      </c>
      <c r="B70" s="128" t="s">
        <v>2152</v>
      </c>
      <c r="C70" s="129" t="s">
        <v>2153</v>
      </c>
      <c r="D70" s="131" t="s">
        <v>2154</v>
      </c>
      <c r="E70" s="131" t="s">
        <v>2155</v>
      </c>
      <c r="F70" s="131" t="s">
        <v>2156</v>
      </c>
      <c r="G70" s="131" t="s">
        <v>2157</v>
      </c>
      <c r="H70" s="131" t="s">
        <v>2158</v>
      </c>
      <c r="I70" s="133">
        <f>IF(COUNTIF(J70:AW70,"&lt;&gt;")=0,"",SUMPRODUCT(((Recommendations[ImplStatus]="Implemented")+(Recommendations[ImplStatus]="Compensated"))*ISNUMBER(MATCH(Recommendations[Id],J70:AW70,0)))/COUNTIF(J70:AW70,"&lt;&gt;"))</f>
        <v>0</v>
      </c>
      <c r="J70" s="135" t="s">
        <v>112</v>
      </c>
      <c r="K70" s="135" t="s">
        <v>216</v>
      </c>
      <c r="L70" s="135" t="s">
        <v>266</v>
      </c>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2150</v>
      </c>
      <c r="B71" s="128" t="s">
        <v>2159</v>
      </c>
      <c r="C71" s="129" t="s">
        <v>2160</v>
      </c>
      <c r="D71" s="131" t="s">
        <v>2161</v>
      </c>
      <c r="E71" s="131" t="s">
        <v>2162</v>
      </c>
      <c r="F71" s="131" t="s">
        <v>2163</v>
      </c>
      <c r="G71" s="131" t="s">
        <v>2164</v>
      </c>
      <c r="H71" s="131" t="s">
        <v>2165</v>
      </c>
      <c r="I71" s="133" t="str">
        <f>IF(COUNTIF(J71:AW71,"&lt;&gt;")=0,"",SUMPRODUCT(((Recommendations[ImplStatus]="Implemented")+(Recommendations[ImplStatus]="Compensated"))*ISNUMBER(MATCH(Recommendations[Id],J71:AW71,0)))/COUNTIF(J71:AW71,"&lt;&gt;"))</f>
        <v/>
      </c>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2166</v>
      </c>
      <c r="B72" s="127"/>
      <c r="C72" s="126" t="s">
        <v>2167</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2166</v>
      </c>
      <c r="B73" s="128" t="s">
        <v>2168</v>
      </c>
      <c r="C73" s="129" t="s">
        <v>2169</v>
      </c>
      <c r="D73" s="131" t="s">
        <v>2170</v>
      </c>
      <c r="E73" s="131" t="s">
        <v>2171</v>
      </c>
      <c r="F73" s="131" t="s">
        <v>2172</v>
      </c>
      <c r="G73" s="131" t="s">
        <v>2173</v>
      </c>
      <c r="H73" s="131" t="s">
        <v>2174</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2166</v>
      </c>
      <c r="B74" s="128" t="s">
        <v>2175</v>
      </c>
      <c r="C74" s="129" t="s">
        <v>2176</v>
      </c>
      <c r="D74" s="131" t="s">
        <v>2177</v>
      </c>
      <c r="E74" s="131" t="s">
        <v>2178</v>
      </c>
      <c r="F74" s="131" t="s">
        <v>2179</v>
      </c>
      <c r="G74" s="131" t="s">
        <v>2180</v>
      </c>
      <c r="H74" s="131" t="s">
        <v>2181</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2166</v>
      </c>
      <c r="B75" s="128" t="s">
        <v>2182</v>
      </c>
      <c r="C75" s="129" t="s">
        <v>2183</v>
      </c>
      <c r="D75" s="131" t="s">
        <v>2184</v>
      </c>
      <c r="E75" s="131" t="s">
        <v>2185</v>
      </c>
      <c r="F75" s="131" t="s">
        <v>2186</v>
      </c>
      <c r="G75" s="131" t="s">
        <v>2187</v>
      </c>
      <c r="H75" s="131" t="s">
        <v>2188</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2166</v>
      </c>
      <c r="B76" s="128" t="s">
        <v>2189</v>
      </c>
      <c r="C76" s="129" t="s">
        <v>2190</v>
      </c>
      <c r="D76" s="131" t="s">
        <v>2191</v>
      </c>
      <c r="E76" s="131" t="s">
        <v>2192</v>
      </c>
      <c r="F76" s="131" t="s">
        <v>2193</v>
      </c>
      <c r="G76" s="131" t="s">
        <v>2194</v>
      </c>
      <c r="H76" s="131" t="s">
        <v>2195</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2166</v>
      </c>
      <c r="B77" s="128" t="s">
        <v>2196</v>
      </c>
      <c r="C77" s="129" t="s">
        <v>2197</v>
      </c>
      <c r="D77" s="131" t="s">
        <v>2198</v>
      </c>
      <c r="E77" s="131" t="s">
        <v>2199</v>
      </c>
      <c r="F77" s="131" t="s">
        <v>2200</v>
      </c>
      <c r="G77" s="131" t="s">
        <v>2194</v>
      </c>
      <c r="H77" s="131" t="s">
        <v>2201</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2202</v>
      </c>
      <c r="B78" s="127"/>
      <c r="C78" s="126" t="s">
        <v>2203</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2202</v>
      </c>
      <c r="B79" s="128" t="s">
        <v>2202</v>
      </c>
      <c r="C79" s="129" t="s">
        <v>2204</v>
      </c>
      <c r="D79" s="131" t="s">
        <v>2205</v>
      </c>
      <c r="E79" s="131" t="s">
        <v>2206</v>
      </c>
      <c r="F79" s="131" t="s">
        <v>2207</v>
      </c>
      <c r="G79" s="131" t="s">
        <v>2208</v>
      </c>
      <c r="H79" s="131" t="s">
        <v>2209</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2202</v>
      </c>
      <c r="B80" s="128" t="s">
        <v>2210</v>
      </c>
      <c r="C80" s="129" t="s">
        <v>2211</v>
      </c>
      <c r="D80" s="131" t="s">
        <v>2212</v>
      </c>
      <c r="E80" s="131" t="s">
        <v>2213</v>
      </c>
      <c r="F80" s="131" t="s">
        <v>2214</v>
      </c>
      <c r="G80" s="131" t="s">
        <v>2215</v>
      </c>
      <c r="H80" s="131" t="s">
        <v>2216</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2202</v>
      </c>
      <c r="B81" s="128" t="s">
        <v>2217</v>
      </c>
      <c r="C81" s="129" t="s">
        <v>2218</v>
      </c>
      <c r="D81" s="131" t="s">
        <v>2219</v>
      </c>
      <c r="E81" s="131" t="s">
        <v>2220</v>
      </c>
      <c r="F81" s="131" t="s">
        <v>2221</v>
      </c>
      <c r="G81" s="131" t="s">
        <v>2222</v>
      </c>
      <c r="H81" s="131" t="s">
        <v>2223</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2224</v>
      </c>
      <c r="B82" s="127"/>
      <c r="C82" s="126" t="s">
        <v>2225</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2224</v>
      </c>
      <c r="B83" s="128" t="s">
        <v>2226</v>
      </c>
      <c r="C83" s="129" t="s">
        <v>2227</v>
      </c>
      <c r="D83" s="131" t="s">
        <v>2228</v>
      </c>
      <c r="E83" s="131" t="s">
        <v>2229</v>
      </c>
      <c r="F83" s="131" t="s">
        <v>2230</v>
      </c>
      <c r="G83" s="131" t="s">
        <v>2231</v>
      </c>
      <c r="H83" s="131" t="s">
        <v>2232</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2224</v>
      </c>
      <c r="B84" s="128" t="s">
        <v>2233</v>
      </c>
      <c r="C84" s="129" t="s">
        <v>2234</v>
      </c>
      <c r="D84" s="131" t="s">
        <v>2235</v>
      </c>
      <c r="E84" s="131" t="s">
        <v>2236</v>
      </c>
      <c r="F84" s="131" t="s">
        <v>2237</v>
      </c>
      <c r="G84" s="131" t="s">
        <v>2238</v>
      </c>
      <c r="H84" s="131" t="s">
        <v>2239</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2224</v>
      </c>
      <c r="B85" s="128" t="s">
        <v>2240</v>
      </c>
      <c r="C85" s="129" t="s">
        <v>2241</v>
      </c>
      <c r="D85" s="131" t="s">
        <v>2242</v>
      </c>
      <c r="E85" s="131" t="s">
        <v>2243</v>
      </c>
      <c r="F85" s="131" t="s">
        <v>2244</v>
      </c>
      <c r="G85" s="131" t="s">
        <v>2245</v>
      </c>
      <c r="H85" s="131" t="s">
        <v>2246</v>
      </c>
      <c r="I85" s="133" t="str">
        <f>IF(COUNTIF(J85:AW85,"&lt;&gt;")=0,"",SUMPRODUCT(((Recommendations[ImplStatus]="Implemented")+(Recommendations[ImplStatus]="Compensated"))*ISNUMBER(MATCH(Recommendations[Id],J85:AW85,0)))/COUNTIF(J85:AW85,"&lt;&gt;"))</f>
        <v/>
      </c>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2224</v>
      </c>
      <c r="B86" s="128" t="s">
        <v>2247</v>
      </c>
      <c r="C86" s="129" t="s">
        <v>2248</v>
      </c>
      <c r="D86" s="131" t="s">
        <v>2249</v>
      </c>
      <c r="E86" s="131" t="s">
        <v>2250</v>
      </c>
      <c r="F86" s="131" t="s">
        <v>2251</v>
      </c>
      <c r="G86" s="131" t="s">
        <v>2252</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2253</v>
      </c>
      <c r="B87" s="127"/>
      <c r="C87" s="126" t="s">
        <v>2254</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2253</v>
      </c>
      <c r="B88" s="128" t="s">
        <v>2255</v>
      </c>
      <c r="C88" s="129" t="s">
        <v>2256</v>
      </c>
      <c r="D88" s="131" t="s">
        <v>2257</v>
      </c>
      <c r="E88" s="131" t="s">
        <v>2258</v>
      </c>
      <c r="F88" s="131" t="s">
        <v>2259</v>
      </c>
      <c r="G88" s="131" t="s">
        <v>2260</v>
      </c>
      <c r="H88" s="131" t="s">
        <v>2261</v>
      </c>
      <c r="I88" s="133">
        <f>IF(COUNTIF(J88:AW88,"&lt;&gt;")=0,"",SUMPRODUCT(((Recommendations[ImplStatus]="Implemented")+(Recommendations[ImplStatus]="Compensated"))*ISNUMBER(MATCH(Recommendations[Id],J88:AW88,0)))/COUNTIF(J88:AW88,"&lt;&gt;"))</f>
        <v>0</v>
      </c>
      <c r="J88" s="135" t="s">
        <v>35</v>
      </c>
      <c r="K88" s="135" t="s">
        <v>56</v>
      </c>
      <c r="L88" s="135" t="s">
        <v>71</v>
      </c>
      <c r="M88" s="135" t="s">
        <v>220</v>
      </c>
      <c r="N88" s="135" t="s">
        <v>231</v>
      </c>
      <c r="O88" s="135" t="s">
        <v>241</v>
      </c>
      <c r="P88" s="135" t="s">
        <v>246</v>
      </c>
      <c r="Q88" s="135" t="s">
        <v>251</v>
      </c>
      <c r="R88" s="135" t="s">
        <v>276</v>
      </c>
      <c r="S88" s="135" t="s">
        <v>281</v>
      </c>
      <c r="T88" s="135" t="s">
        <v>286</v>
      </c>
      <c r="U88" s="135" t="s">
        <v>368</v>
      </c>
      <c r="V88" s="135" t="s">
        <v>407</v>
      </c>
      <c r="W88" s="135" t="s">
        <v>413</v>
      </c>
      <c r="X88" s="135" t="s">
        <v>453</v>
      </c>
      <c r="Y88" s="135" t="s">
        <v>468</v>
      </c>
      <c r="Z88" s="135" t="s">
        <v>473</v>
      </c>
      <c r="AA88" s="135"/>
      <c r="AB88" s="135"/>
      <c r="AC88" s="135"/>
      <c r="AD88" s="135"/>
      <c r="AE88" s="135"/>
      <c r="AF88" s="135"/>
      <c r="AG88" s="135"/>
      <c r="AH88" s="135"/>
      <c r="AI88" s="135"/>
      <c r="AJ88" s="135"/>
      <c r="AK88" s="135"/>
      <c r="AL88" s="135"/>
      <c r="AM88" s="135"/>
      <c r="AN88" s="135"/>
      <c r="AO88" s="135"/>
      <c r="AP88" s="135"/>
      <c r="AQ88" s="135"/>
      <c r="AR88" s="135"/>
      <c r="AS88" s="135"/>
      <c r="AT88" s="135"/>
      <c r="AU88" s="135"/>
      <c r="AV88" s="135"/>
      <c r="AW88" s="145"/>
    </row>
    <row r="89" spans="1:49" ht="60" customHeight="1" x14ac:dyDescent="0.35">
      <c r="A89" s="142" t="s">
        <v>2253</v>
      </c>
      <c r="B89" s="128" t="s">
        <v>2262</v>
      </c>
      <c r="C89" s="129" t="s">
        <v>2263</v>
      </c>
      <c r="D89" s="131" t="s">
        <v>2264</v>
      </c>
      <c r="E89" s="131" t="s">
        <v>2265</v>
      </c>
      <c r="F89" s="131" t="s">
        <v>2266</v>
      </c>
      <c r="G89" s="131" t="s">
        <v>1790</v>
      </c>
      <c r="H89" s="131" t="s">
        <v>2267</v>
      </c>
      <c r="I89" s="133" t="str">
        <f>IF(COUNTIF(J89:AW89,"&lt;&gt;")=0,"",SUMPRODUCT(((Recommendations[ImplStatus]="Implemented")+(Recommendations[ImplStatus]="Compensated"))*ISNUMBER(MATCH(Recommendations[Id],J89:AW89,0)))/COUNTIF(J89:AW89,"&lt;&gt;"))</f>
        <v/>
      </c>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2253</v>
      </c>
      <c r="B90" s="128" t="s">
        <v>2268</v>
      </c>
      <c r="C90" s="129" t="s">
        <v>2269</v>
      </c>
      <c r="D90" s="131" t="s">
        <v>2270</v>
      </c>
      <c r="E90" s="131" t="s">
        <v>2271</v>
      </c>
      <c r="F90" s="131" t="s">
        <v>2272</v>
      </c>
      <c r="G90" s="131" t="s">
        <v>2260</v>
      </c>
      <c r="H90" s="131" t="s">
        <v>2273</v>
      </c>
      <c r="I90" s="133" t="str">
        <f>IF(COUNTIF(J90:AW90,"&lt;&gt;")=0,"",SUMPRODUCT(((Recommendations[ImplStatus]="Implemented")+(Recommendations[ImplStatus]="Compensated"))*ISNUMBER(MATCH(Recommendations[Id],J90:AW90,0)))/COUNTIF(J90:AW90,"&lt;&gt;"))</f>
        <v/>
      </c>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2253</v>
      </c>
      <c r="B91" s="128" t="s">
        <v>2274</v>
      </c>
      <c r="C91" s="129" t="s">
        <v>2275</v>
      </c>
      <c r="D91" s="131" t="s">
        <v>2276</v>
      </c>
      <c r="E91" s="131" t="s">
        <v>2277</v>
      </c>
      <c r="F91" s="131" t="s">
        <v>2278</v>
      </c>
      <c r="G91" s="131" t="s">
        <v>1790</v>
      </c>
      <c r="H91" s="131" t="s">
        <v>2279</v>
      </c>
      <c r="I91" s="133">
        <f>IF(COUNTIF(J91:AW91,"&lt;&gt;")=0,"",SUMPRODUCT(((Recommendations[ImplStatus]="Implemented")+(Recommendations[ImplStatus]="Compensated"))*ISNUMBER(MATCH(Recommendations[Id],J91:AW91,0)))/COUNTIF(J91:AW91,"&lt;&gt;"))</f>
        <v>0</v>
      </c>
      <c r="J91" s="135" t="s">
        <v>25</v>
      </c>
      <c r="K91" s="135" t="s">
        <v>30</v>
      </c>
      <c r="L91" s="135" t="s">
        <v>40</v>
      </c>
      <c r="M91" s="135" t="s">
        <v>45</v>
      </c>
      <c r="N91" s="135" t="s">
        <v>50</v>
      </c>
      <c r="O91" s="135" t="s">
        <v>61</v>
      </c>
      <c r="P91" s="135" t="s">
        <v>66</v>
      </c>
      <c r="Q91" s="135" t="s">
        <v>236</v>
      </c>
      <c r="R91" s="135" t="s">
        <v>377</v>
      </c>
      <c r="S91" s="135" t="s">
        <v>387</v>
      </c>
      <c r="T91" s="135" t="s">
        <v>392</v>
      </c>
      <c r="U91" s="135" t="s">
        <v>397</v>
      </c>
      <c r="V91" s="135" t="s">
        <v>489</v>
      </c>
      <c r="W91" s="135" t="s">
        <v>494</v>
      </c>
      <c r="X91" s="135" t="s">
        <v>499</v>
      </c>
      <c r="Y91" s="135" t="s">
        <v>504</v>
      </c>
      <c r="Z91" s="135" t="s">
        <v>509</v>
      </c>
      <c r="AA91" s="135" t="s">
        <v>514</v>
      </c>
      <c r="AB91" s="135" t="s">
        <v>519</v>
      </c>
      <c r="AC91" s="135" t="s">
        <v>524</v>
      </c>
      <c r="AD91" s="135" t="s">
        <v>534</v>
      </c>
      <c r="AE91" s="135"/>
      <c r="AF91" s="135"/>
      <c r="AG91" s="135"/>
      <c r="AH91" s="135"/>
      <c r="AI91" s="135"/>
      <c r="AJ91" s="135"/>
      <c r="AK91" s="135"/>
      <c r="AL91" s="135"/>
      <c r="AM91" s="135"/>
      <c r="AN91" s="135"/>
      <c r="AO91" s="135"/>
      <c r="AP91" s="135"/>
      <c r="AQ91" s="135"/>
      <c r="AR91" s="135"/>
      <c r="AS91" s="135"/>
      <c r="AT91" s="135"/>
      <c r="AU91" s="135"/>
      <c r="AV91" s="135"/>
      <c r="AW91" s="145"/>
    </row>
    <row r="92" spans="1:49" ht="60" customHeight="1" x14ac:dyDescent="0.35">
      <c r="A92" s="142" t="s">
        <v>2253</v>
      </c>
      <c r="B92" s="128" t="s">
        <v>2280</v>
      </c>
      <c r="C92" s="129" t="s">
        <v>2281</v>
      </c>
      <c r="D92" s="131" t="s">
        <v>2282</v>
      </c>
      <c r="E92" s="131" t="s">
        <v>2283</v>
      </c>
      <c r="F92" s="131" t="s">
        <v>2284</v>
      </c>
      <c r="G92" s="131" t="s">
        <v>1790</v>
      </c>
      <c r="H92" s="131" t="s">
        <v>2285</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2253</v>
      </c>
      <c r="B93" s="128" t="s">
        <v>2286</v>
      </c>
      <c r="C93" s="129" t="s">
        <v>2287</v>
      </c>
      <c r="D93" s="131" t="s">
        <v>2288</v>
      </c>
      <c r="E93" s="131" t="s">
        <v>2289</v>
      </c>
      <c r="F93" s="131" t="s">
        <v>2290</v>
      </c>
      <c r="G93" s="131" t="s">
        <v>2291</v>
      </c>
      <c r="H93" s="131" t="s">
        <v>2292</v>
      </c>
      <c r="I93" s="133">
        <f>IF(COUNTIF(J93:AW93,"&lt;&gt;")=0,"",SUMPRODUCT(((Recommendations[ImplStatus]="Implemented")+(Recommendations[ImplStatus]="Compensated"))*ISNUMBER(MATCH(Recommendations[Id],J93:AW93,0)))/COUNTIF(J93:AW93,"&lt;&gt;"))</f>
        <v>0</v>
      </c>
      <c r="J93" s="135" t="s">
        <v>25</v>
      </c>
      <c r="K93" s="135" t="s">
        <v>30</v>
      </c>
      <c r="L93" s="135" t="s">
        <v>40</v>
      </c>
      <c r="M93" s="135" t="s">
        <v>45</v>
      </c>
      <c r="N93" s="135" t="s">
        <v>50</v>
      </c>
      <c r="O93" s="135" t="s">
        <v>61</v>
      </c>
      <c r="P93" s="135" t="s">
        <v>66</v>
      </c>
      <c r="Q93" s="135" t="s">
        <v>148</v>
      </c>
      <c r="R93" s="135" t="s">
        <v>201</v>
      </c>
      <c r="S93" s="135" t="s">
        <v>236</v>
      </c>
      <c r="T93" s="135" t="s">
        <v>300</v>
      </c>
      <c r="U93" s="135" t="s">
        <v>305</v>
      </c>
      <c r="V93" s="135" t="s">
        <v>358</v>
      </c>
      <c r="W93" s="135" t="s">
        <v>377</v>
      </c>
      <c r="X93" s="135" t="s">
        <v>478</v>
      </c>
      <c r="Y93" s="135" t="s">
        <v>484</v>
      </c>
      <c r="Z93" s="135" t="s">
        <v>489</v>
      </c>
      <c r="AA93" s="135" t="s">
        <v>494</v>
      </c>
      <c r="AB93" s="135" t="s">
        <v>499</v>
      </c>
      <c r="AC93" s="135" t="s">
        <v>504</v>
      </c>
      <c r="AD93" s="135" t="s">
        <v>509</v>
      </c>
      <c r="AE93" s="135" t="s">
        <v>514</v>
      </c>
      <c r="AF93" s="135" t="s">
        <v>519</v>
      </c>
      <c r="AG93" s="135" t="s">
        <v>524</v>
      </c>
      <c r="AH93" s="135" t="s">
        <v>529</v>
      </c>
      <c r="AI93" s="135" t="s">
        <v>534</v>
      </c>
      <c r="AJ93" s="135"/>
      <c r="AK93" s="135"/>
      <c r="AL93" s="135"/>
      <c r="AM93" s="135"/>
      <c r="AN93" s="135"/>
      <c r="AO93" s="135"/>
      <c r="AP93" s="135"/>
      <c r="AQ93" s="135"/>
      <c r="AR93" s="135"/>
      <c r="AS93" s="135"/>
      <c r="AT93" s="135"/>
      <c r="AU93" s="135"/>
      <c r="AV93" s="135"/>
      <c r="AW93" s="145"/>
    </row>
    <row r="94" spans="1:49" ht="60" customHeight="1" x14ac:dyDescent="0.35">
      <c r="A94" s="142" t="s">
        <v>2253</v>
      </c>
      <c r="B94" s="128" t="s">
        <v>2293</v>
      </c>
      <c r="C94" s="129" t="s">
        <v>2294</v>
      </c>
      <c r="D94" s="131" t="s">
        <v>2295</v>
      </c>
      <c r="E94" s="131" t="s">
        <v>2296</v>
      </c>
      <c r="F94" s="131" t="s">
        <v>2297</v>
      </c>
      <c r="G94" s="131" t="s">
        <v>2298</v>
      </c>
      <c r="H94" s="131" t="s">
        <v>2299</v>
      </c>
      <c r="I94" s="133">
        <f>IF(COUNTIF(J94:AW94,"&lt;&gt;")=0,"",SUMPRODUCT(((Recommendations[ImplStatus]="Implemented")+(Recommendations[ImplStatus]="Compensated"))*ISNUMBER(MATCH(Recommendations[Id],J94:AW94,0)))/COUNTIF(J94:AW94,"&lt;&gt;"))</f>
        <v>0</v>
      </c>
      <c r="J94" s="135" t="s">
        <v>236</v>
      </c>
      <c r="K94" s="135" t="s">
        <v>377</v>
      </c>
      <c r="L94" s="135" t="s">
        <v>478</v>
      </c>
      <c r="M94" s="135" t="s">
        <v>484</v>
      </c>
      <c r="N94" s="135" t="s">
        <v>489</v>
      </c>
      <c r="O94" s="135" t="s">
        <v>524</v>
      </c>
      <c r="P94" s="135" t="s">
        <v>529</v>
      </c>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45"/>
    </row>
    <row r="95" spans="1:49" ht="60" customHeight="1" x14ac:dyDescent="0.35">
      <c r="A95" s="142" t="s">
        <v>2253</v>
      </c>
      <c r="B95" s="128" t="s">
        <v>2300</v>
      </c>
      <c r="C95" s="129" t="s">
        <v>2301</v>
      </c>
      <c r="D95" s="131" t="s">
        <v>2302</v>
      </c>
      <c r="E95" s="131" t="s">
        <v>2303</v>
      </c>
      <c r="F95" s="131" t="s">
        <v>2304</v>
      </c>
      <c r="G95" s="131" t="s">
        <v>2305</v>
      </c>
      <c r="H95" s="131" t="s">
        <v>2306</v>
      </c>
      <c r="I95" s="133" t="str">
        <f>IF(COUNTIF(J95:AW95,"&lt;&gt;")=0,"",SUMPRODUCT(((Recommendations[ImplStatus]="Implemented")+(Recommendations[ImplStatus]="Compensated"))*ISNUMBER(MATCH(Recommendations[Id],J95:AW95,0)))/COUNTIF(J95:AW95,"&lt;&gt;"))</f>
        <v/>
      </c>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2253</v>
      </c>
      <c r="B96" s="128" t="s">
        <v>2307</v>
      </c>
      <c r="C96" s="129" t="s">
        <v>2308</v>
      </c>
      <c r="D96" s="131" t="s">
        <v>2309</v>
      </c>
      <c r="E96" s="131" t="s">
        <v>2310</v>
      </c>
      <c r="F96" s="131" t="s">
        <v>2311</v>
      </c>
      <c r="G96" s="131" t="s">
        <v>2312</v>
      </c>
      <c r="H96" s="131" t="s">
        <v>2313</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2253</v>
      </c>
      <c r="B97" s="128" t="s">
        <v>2314</v>
      </c>
      <c r="C97" s="129" t="s">
        <v>2315</v>
      </c>
      <c r="D97" s="131" t="s">
        <v>2316</v>
      </c>
      <c r="E97" s="131" t="s">
        <v>2317</v>
      </c>
      <c r="F97" s="131" t="s">
        <v>2318</v>
      </c>
      <c r="G97" s="131" t="s">
        <v>2319</v>
      </c>
      <c r="H97" s="131" t="s">
        <v>2320</v>
      </c>
      <c r="I97" s="133" t="str">
        <f>IF(COUNTIF(J97:AW97,"&lt;&gt;")=0,"",SUMPRODUCT(((Recommendations[ImplStatus]="Implemented")+(Recommendations[ImplStatus]="Compensated"))*ISNUMBER(MATCH(Recommendations[Id],J97:AW97,0)))/COUNTIF(J97:AW97,"&lt;&gt;"))</f>
        <v/>
      </c>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2321</v>
      </c>
      <c r="B98" s="127"/>
      <c r="C98" s="126" t="s">
        <v>2322</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2321</v>
      </c>
      <c r="B99" s="128" t="s">
        <v>2323</v>
      </c>
      <c r="C99" s="129" t="s">
        <v>2324</v>
      </c>
      <c r="D99" s="131" t="s">
        <v>2325</v>
      </c>
      <c r="E99" s="131" t="s">
        <v>2326</v>
      </c>
      <c r="F99" s="131" t="s">
        <v>2327</v>
      </c>
      <c r="G99" s="131" t="s">
        <v>2328</v>
      </c>
      <c r="H99" s="131" t="s">
        <v>2329</v>
      </c>
      <c r="I99" s="133">
        <f>IF(COUNTIF(J99:AW99,"&lt;&gt;")=0,"",SUMPRODUCT(((Recommendations[ImplStatus]="Implemented")+(Recommendations[ImplStatus]="Compensated"))*ISNUMBER(MATCH(Recommendations[Id],J99:AW99,0)))/COUNTIF(J99:AW99,"&lt;&gt;"))</f>
        <v>0</v>
      </c>
      <c r="J99" s="135" t="s">
        <v>143</v>
      </c>
      <c r="K99" s="135" t="s">
        <v>330</v>
      </c>
      <c r="L99" s="135" t="s">
        <v>335</v>
      </c>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2321</v>
      </c>
      <c r="B100" s="128" t="s">
        <v>2330</v>
      </c>
      <c r="C100" s="129" t="s">
        <v>2331</v>
      </c>
      <c r="D100" s="131" t="s">
        <v>2332</v>
      </c>
      <c r="E100" s="131" t="s">
        <v>2333</v>
      </c>
      <c r="F100" s="131" t="s">
        <v>2334</v>
      </c>
      <c r="G100" s="131" t="s">
        <v>2335</v>
      </c>
      <c r="H100" s="131" t="s">
        <v>2336</v>
      </c>
      <c r="I100" s="133">
        <f>IF(COUNTIF(J100:AW100,"&lt;&gt;")=0,"",SUMPRODUCT(((Recommendations[ImplStatus]="Implemented")+(Recommendations[ImplStatus]="Compensated"))*ISNUMBER(MATCH(Recommendations[Id],J100:AW100,0)))/COUNTIF(J100:AW100,"&lt;&gt;"))</f>
        <v>0</v>
      </c>
      <c r="J100" s="135" t="s">
        <v>76</v>
      </c>
      <c r="K100" s="135" t="s">
        <v>315</v>
      </c>
      <c r="L100" s="135" t="s">
        <v>320</v>
      </c>
      <c r="M100" s="135" t="s">
        <v>438</v>
      </c>
      <c r="N100" s="135" t="s">
        <v>448</v>
      </c>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2321</v>
      </c>
      <c r="B101" s="128" t="s">
        <v>2337</v>
      </c>
      <c r="C101" s="129" t="s">
        <v>2338</v>
      </c>
      <c r="D101" s="131" t="s">
        <v>2339</v>
      </c>
      <c r="E101" s="131" t="s">
        <v>2340</v>
      </c>
      <c r="F101" s="131" t="s">
        <v>21</v>
      </c>
      <c r="G101" s="131" t="s">
        <v>21</v>
      </c>
      <c r="H101" s="131" t="s">
        <v>21</v>
      </c>
      <c r="I101" s="133">
        <f>IF(COUNTIF(J101:AW101,"&lt;&gt;")=0,"",SUMPRODUCT(((Recommendations[ImplStatus]="Implemented")+(Recommendations[ImplStatus]="Compensated"))*ISNUMBER(MATCH(Recommendations[Id],J101:AW101,0)))/COUNTIF(J101:AW101,"&lt;&gt;"))</f>
        <v>0</v>
      </c>
      <c r="J101" s="135" t="s">
        <v>241</v>
      </c>
      <c r="K101" s="135" t="s">
        <v>246</v>
      </c>
      <c r="L101" s="135" t="s">
        <v>251</v>
      </c>
      <c r="M101" s="135" t="s">
        <v>325</v>
      </c>
      <c r="N101" s="135" t="s">
        <v>348</v>
      </c>
      <c r="O101" s="135" t="s">
        <v>353</v>
      </c>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2321</v>
      </c>
      <c r="B102" s="128" t="s">
        <v>2341</v>
      </c>
      <c r="C102" s="129" t="s">
        <v>2342</v>
      </c>
      <c r="D102" s="131" t="s">
        <v>2343</v>
      </c>
      <c r="E102" s="131" t="s">
        <v>2344</v>
      </c>
      <c r="F102" s="131" t="s">
        <v>2345</v>
      </c>
      <c r="G102" s="131" t="s">
        <v>2346</v>
      </c>
      <c r="H102" s="131" t="s">
        <v>2347</v>
      </c>
      <c r="I102" s="133">
        <f>IF(COUNTIF(J102:AW102,"&lt;&gt;")=0,"",SUMPRODUCT(((Recommendations[ImplStatus]="Implemented")+(Recommendations[ImplStatus]="Compensated"))*ISNUMBER(MATCH(Recommendations[Id],J102:AW102,0)))/COUNTIF(J102:AW102,"&lt;&gt;"))</f>
        <v>0</v>
      </c>
      <c r="J102" s="135" t="s">
        <v>276</v>
      </c>
      <c r="K102" s="135" t="s">
        <v>281</v>
      </c>
      <c r="L102" s="135" t="s">
        <v>286</v>
      </c>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2321</v>
      </c>
      <c r="B103" s="128" t="s">
        <v>2348</v>
      </c>
      <c r="C103" s="129" t="s">
        <v>2349</v>
      </c>
      <c r="D103" s="131" t="s">
        <v>2350</v>
      </c>
      <c r="E103" s="131" t="s">
        <v>2351</v>
      </c>
      <c r="F103" s="131" t="s">
        <v>2352</v>
      </c>
      <c r="G103" s="131" t="s">
        <v>2353</v>
      </c>
      <c r="H103" s="131" t="s">
        <v>2354</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2355</v>
      </c>
      <c r="B104" s="127"/>
      <c r="C104" s="126" t="s">
        <v>2356</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2355</v>
      </c>
      <c r="B105" s="128" t="s">
        <v>2357</v>
      </c>
      <c r="C105" s="129" t="s">
        <v>2358</v>
      </c>
      <c r="D105" s="131" t="s">
        <v>2359</v>
      </c>
      <c r="E105" s="131" t="s">
        <v>2360</v>
      </c>
      <c r="F105" s="131" t="s">
        <v>2361</v>
      </c>
      <c r="G105" s="131" t="s">
        <v>2362</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2355</v>
      </c>
      <c r="B106" s="128" t="s">
        <v>2363</v>
      </c>
      <c r="C106" s="129" t="s">
        <v>2364</v>
      </c>
      <c r="D106" s="131" t="s">
        <v>2365</v>
      </c>
      <c r="E106" s="131" t="s">
        <v>2366</v>
      </c>
      <c r="F106" s="131" t="s">
        <v>2367</v>
      </c>
      <c r="G106" s="131" t="s">
        <v>2368</v>
      </c>
      <c r="H106" s="131" t="s">
        <v>2369</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2355</v>
      </c>
      <c r="B107" s="128" t="s">
        <v>2370</v>
      </c>
      <c r="C107" s="129" t="s">
        <v>2371</v>
      </c>
      <c r="D107" s="131" t="s">
        <v>2372</v>
      </c>
      <c r="E107" s="131" t="s">
        <v>2373</v>
      </c>
      <c r="F107" s="131" t="s">
        <v>2374</v>
      </c>
      <c r="G107" s="131" t="s">
        <v>2375</v>
      </c>
      <c r="H107" s="131" t="s">
        <v>2376</v>
      </c>
      <c r="I107" s="133" t="str">
        <f>IF(COUNTIF(J107:AW107,"&lt;&gt;")=0,"",SUMPRODUCT(((Recommendations[ImplStatus]="Implemented")+(Recommendations[ImplStatus]="Compensated"))*ISNUMBER(MATCH(Recommendations[Id],J107:AW107,0)))/COUNTIF(J107:AW107,"&lt;&gt;"))</f>
        <v/>
      </c>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2377</v>
      </c>
      <c r="B108" s="127"/>
      <c r="C108" s="126" t="s">
        <v>2378</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2377</v>
      </c>
      <c r="B109" s="128" t="s">
        <v>2379</v>
      </c>
      <c r="C109" s="129" t="s">
        <v>2380</v>
      </c>
      <c r="D109" s="131" t="s">
        <v>2381</v>
      </c>
      <c r="E109" s="131" t="s">
        <v>2382</v>
      </c>
      <c r="F109" s="131" t="s">
        <v>2383</v>
      </c>
      <c r="G109" s="131" t="s">
        <v>2384</v>
      </c>
      <c r="H109" s="131" t="s">
        <v>2385</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2377</v>
      </c>
      <c r="B110" s="128" t="s">
        <v>2386</v>
      </c>
      <c r="C110" s="129" t="s">
        <v>2387</v>
      </c>
      <c r="D110" s="131" t="s">
        <v>2388</v>
      </c>
      <c r="E110" s="131" t="s">
        <v>2389</v>
      </c>
      <c r="F110" s="131" t="s">
        <v>2390</v>
      </c>
      <c r="G110" s="131" t="s">
        <v>2391</v>
      </c>
      <c r="H110" s="131" t="s">
        <v>2392</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2377</v>
      </c>
      <c r="B111" s="128" t="s">
        <v>2393</v>
      </c>
      <c r="C111" s="129" t="s">
        <v>2394</v>
      </c>
      <c r="D111" s="131" t="s">
        <v>2395</v>
      </c>
      <c r="E111" s="131" t="s">
        <v>2396</v>
      </c>
      <c r="F111" s="131" t="s">
        <v>2397</v>
      </c>
      <c r="G111" s="131" t="s">
        <v>2398</v>
      </c>
      <c r="H111" s="131" t="s">
        <v>2399</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2400</v>
      </c>
      <c r="B112" s="127"/>
      <c r="C112" s="126" t="s">
        <v>2401</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2400</v>
      </c>
      <c r="B113" s="128" t="s">
        <v>2402</v>
      </c>
      <c r="C113" s="129" t="s">
        <v>2403</v>
      </c>
      <c r="D113" s="131" t="s">
        <v>2404</v>
      </c>
      <c r="E113" s="131" t="s">
        <v>2405</v>
      </c>
      <c r="F113" s="131" t="s">
        <v>2406</v>
      </c>
      <c r="G113" s="131" t="s">
        <v>2407</v>
      </c>
      <c r="H113" s="131" t="s">
        <v>2408</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2400</v>
      </c>
      <c r="B114" s="128" t="s">
        <v>2409</v>
      </c>
      <c r="C114" s="129" t="s">
        <v>2410</v>
      </c>
      <c r="D114" s="131" t="s">
        <v>2411</v>
      </c>
      <c r="E114" s="131" t="s">
        <v>2412</v>
      </c>
      <c r="F114" s="131" t="s">
        <v>2413</v>
      </c>
      <c r="G114" s="131" t="s">
        <v>2407</v>
      </c>
      <c r="H114" s="131" t="s">
        <v>2414</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2400</v>
      </c>
      <c r="B115" s="136" t="s">
        <v>2415</v>
      </c>
      <c r="C115" s="137" t="s">
        <v>2416</v>
      </c>
      <c r="D115" s="138" t="s">
        <v>2417</v>
      </c>
      <c r="E115" s="138" t="s">
        <v>2418</v>
      </c>
      <c r="F115" s="138" t="s">
        <v>2419</v>
      </c>
      <c r="G115" s="138" t="s">
        <v>2420</v>
      </c>
      <c r="H115" s="138" t="s">
        <v>2421</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539</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IFERROR(INDEX('Recommendations'!$H$2:$H$105, MATCH(J2,'Recommendations'!$A$2:$A$105,0))="Implemented", FALSE))</xm:f>
            <x14:dxf>
              <font>
                <color rgb="FF000000"/>
              </font>
              <fill>
                <patternFill>
                  <bgColor rgb="FF3C7D22"/>
                </patternFill>
              </fill>
            </x14:dxf>
          </x14:cfRule>
          <x14:cfRule type="expression" priority="2" id="{00000000-000E-0000-0600-000002000000}">
            <xm:f>AND(J2&lt;&gt;"", IFERROR(INDEX('Recommendations'!$H$2:$H$105, MATCH(J2,'Recommendations'!$A$2:$A$105,0))="Compensated", FALSE))</xm:f>
            <x14:dxf>
              <font>
                <color rgb="FF000000"/>
              </font>
              <fill>
                <patternFill>
                  <bgColor rgb="FFC6E0B4"/>
                </patternFill>
              </fill>
            </x14:dxf>
          </x14:cfRule>
          <x14:cfRule type="expression" priority="3" id="{00000000-000E-0000-0600-000003000000}">
            <xm:f>AND(J2&lt;&gt;"", IFERROR(INDEX('Recommendations'!$H$2:$H$105, MATCH(J2,'Recommendations'!$A$2:$A$105,0))="Testing", FALSE))</xm:f>
            <x14:dxf>
              <font>
                <color rgb="FF000000"/>
              </font>
              <fill>
                <patternFill>
                  <bgColor rgb="FFFFC000"/>
                </patternFill>
              </fill>
            </x14:dxf>
          </x14:cfRule>
          <x14:cfRule type="expression" priority="4" id="{00000000-000E-0000-0600-000004000000}">
            <xm:f>AND(J2&lt;&gt;"", IFERROR(INDEX('Recommendations'!$H$2:$H$105, MATCH(J2,'Recommendations'!$A$2:$A$105,0))="Failed", FALSE))</xm:f>
            <x14:dxf>
              <font>
                <color rgb="FF000000"/>
              </font>
              <fill>
                <patternFill>
                  <bgColor rgb="FFD82891"/>
                </patternFill>
              </fill>
            </x14:dxf>
          </x14:cfRule>
          <x14:cfRule type="expression" priority="5" id="{00000000-000E-0000-0600-000005000000}">
            <xm:f>AND(J2&lt;&gt;"", IFERROR(INDEX('Recommendations'!$H$2:$H$105, MATCH(J2,'Recommendations'!$A$2:$A$105,0))="Risk Accepted", FALSE))</xm:f>
            <x14:dxf>
              <font>
                <color rgb="FF000000"/>
              </font>
              <fill>
                <patternFill>
                  <bgColor rgb="FFD9D9D9"/>
                </patternFill>
              </fill>
            </x14:dxf>
          </x14:cfRule>
          <x14:cfRule type="expression" priority="6" id="{00000000-000E-0000-0600-000006000000}">
            <xm:f>AND(J2&lt;&gt;"", IFERROR(INDEX('Recommendations'!$H$2:$H$105, MATCH(J2,'Recommendations'!$A$2:$A$105,0))="N/A",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2422</v>
      </c>
      <c r="B1" s="187" t="s">
        <v>2423</v>
      </c>
      <c r="C1" s="187" t="s">
        <v>0</v>
      </c>
      <c r="D1" s="187" t="s">
        <v>2424</v>
      </c>
      <c r="E1" s="187" t="s">
        <v>2425</v>
      </c>
      <c r="F1" s="187" t="s">
        <v>2426</v>
      </c>
      <c r="G1" s="187" t="s">
        <v>791</v>
      </c>
      <c r="H1" s="187" t="s">
        <v>792</v>
      </c>
      <c r="I1" s="187" t="s">
        <v>793</v>
      </c>
      <c r="J1" s="187" t="s">
        <v>794</v>
      </c>
      <c r="K1" s="187" t="s">
        <v>795</v>
      </c>
      <c r="L1" s="187" t="s">
        <v>796</v>
      </c>
      <c r="M1" s="187" t="s">
        <v>797</v>
      </c>
      <c r="N1" s="187" t="s">
        <v>798</v>
      </c>
      <c r="O1" s="187" t="s">
        <v>799</v>
      </c>
      <c r="P1" s="187" t="s">
        <v>800</v>
      </c>
      <c r="Q1" s="187" t="s">
        <v>801</v>
      </c>
      <c r="R1" s="187" t="s">
        <v>802</v>
      </c>
      <c r="S1" s="187" t="s">
        <v>803</v>
      </c>
      <c r="T1" s="187" t="s">
        <v>804</v>
      </c>
      <c r="U1" s="187" t="s">
        <v>805</v>
      </c>
      <c r="V1" s="187" t="s">
        <v>806</v>
      </c>
      <c r="W1" s="187" t="s">
        <v>807</v>
      </c>
      <c r="X1" s="187" t="s">
        <v>808</v>
      </c>
      <c r="Y1" s="187" t="s">
        <v>809</v>
      </c>
      <c r="Z1" s="187" t="s">
        <v>810</v>
      </c>
      <c r="AA1" s="187" t="s">
        <v>811</v>
      </c>
      <c r="AB1" s="187" t="s">
        <v>812</v>
      </c>
      <c r="AC1" s="187" t="s">
        <v>813</v>
      </c>
      <c r="AD1" s="187" t="s">
        <v>814</v>
      </c>
      <c r="AE1" s="187" t="s">
        <v>815</v>
      </c>
      <c r="AF1" s="187" t="s">
        <v>816</v>
      </c>
      <c r="AG1" s="187" t="s">
        <v>817</v>
      </c>
      <c r="AH1" s="187" t="s">
        <v>818</v>
      </c>
      <c r="AI1" s="187" t="s">
        <v>819</v>
      </c>
      <c r="AJ1" s="187" t="s">
        <v>820</v>
      </c>
      <c r="AK1" s="187" t="s">
        <v>821</v>
      </c>
      <c r="AL1" s="187" t="s">
        <v>822</v>
      </c>
      <c r="AM1" s="187" t="s">
        <v>823</v>
      </c>
      <c r="AN1" s="187" t="s">
        <v>824</v>
      </c>
      <c r="AO1" s="187" t="s">
        <v>825</v>
      </c>
      <c r="AP1" s="187" t="s">
        <v>826</v>
      </c>
      <c r="AQ1" s="187" t="s">
        <v>827</v>
      </c>
      <c r="AR1" s="187" t="s">
        <v>828</v>
      </c>
      <c r="AS1" s="187" t="s">
        <v>829</v>
      </c>
      <c r="AT1" s="187" t="s">
        <v>830</v>
      </c>
      <c r="AU1" s="188" t="s">
        <v>831</v>
      </c>
    </row>
    <row r="2" spans="1:47" ht="60" customHeight="1" outlineLevel="1" x14ac:dyDescent="0.35">
      <c r="A2" s="178" t="s">
        <v>2427</v>
      </c>
      <c r="B2" s="152" t="s">
        <v>21</v>
      </c>
      <c r="C2" s="150" t="s">
        <v>2428</v>
      </c>
      <c r="D2" s="156" t="s">
        <v>2429</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2427</v>
      </c>
      <c r="B3" s="153" t="s">
        <v>2430</v>
      </c>
      <c r="C3" s="151" t="s">
        <v>2431</v>
      </c>
      <c r="D3" s="157" t="s">
        <v>2432</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2427</v>
      </c>
      <c r="B4" s="154" t="s">
        <v>2430</v>
      </c>
      <c r="C4" s="155" t="s">
        <v>2433</v>
      </c>
      <c r="D4" s="158" t="s">
        <v>2434</v>
      </c>
      <c r="E4" s="161" t="s">
        <v>2435</v>
      </c>
      <c r="F4" s="164" t="s">
        <v>2436</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2427</v>
      </c>
      <c r="B5" s="154" t="s">
        <v>2430</v>
      </c>
      <c r="C5" s="155" t="s">
        <v>2437</v>
      </c>
      <c r="D5" s="158" t="s">
        <v>2438</v>
      </c>
      <c r="E5" s="161" t="s">
        <v>2439</v>
      </c>
      <c r="F5" s="164" t="s">
        <v>2440</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2427</v>
      </c>
      <c r="B6" s="154" t="s">
        <v>2430</v>
      </c>
      <c r="C6" s="155" t="s">
        <v>2441</v>
      </c>
      <c r="D6" s="158" t="s">
        <v>2442</v>
      </c>
      <c r="E6" s="161" t="s">
        <v>2443</v>
      </c>
      <c r="F6" s="164" t="s">
        <v>2440</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2427</v>
      </c>
      <c r="B7" s="154" t="s">
        <v>2430</v>
      </c>
      <c r="C7" s="155" t="s">
        <v>2444</v>
      </c>
      <c r="D7" s="158" t="s">
        <v>2445</v>
      </c>
      <c r="E7" s="161" t="s">
        <v>2446</v>
      </c>
      <c r="F7" s="164" t="s">
        <v>2440</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2427</v>
      </c>
      <c r="B8" s="154" t="s">
        <v>2430</v>
      </c>
      <c r="C8" s="155" t="s">
        <v>2447</v>
      </c>
      <c r="D8" s="158" t="s">
        <v>2448</v>
      </c>
      <c r="E8" s="161" t="s">
        <v>2449</v>
      </c>
      <c r="F8" s="164" t="s">
        <v>2450</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2427</v>
      </c>
      <c r="B9" s="153" t="s">
        <v>2451</v>
      </c>
      <c r="C9" s="151" t="s">
        <v>2452</v>
      </c>
      <c r="D9" s="157" t="s">
        <v>2453</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2427</v>
      </c>
      <c r="B10" s="154" t="s">
        <v>2451</v>
      </c>
      <c r="C10" s="155" t="s">
        <v>2454</v>
      </c>
      <c r="D10" s="158" t="s">
        <v>2455</v>
      </c>
      <c r="E10" s="161" t="s">
        <v>2456</v>
      </c>
      <c r="F10" s="164" t="s">
        <v>2436</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2427</v>
      </c>
      <c r="B11" s="154" t="s">
        <v>2451</v>
      </c>
      <c r="C11" s="155" t="s">
        <v>2457</v>
      </c>
      <c r="D11" s="158" t="s">
        <v>2458</v>
      </c>
      <c r="E11" s="161" t="s">
        <v>2459</v>
      </c>
      <c r="F11" s="164" t="s">
        <v>2436</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2427</v>
      </c>
      <c r="B12" s="154" t="s">
        <v>2451</v>
      </c>
      <c r="C12" s="155" t="s">
        <v>2460</v>
      </c>
      <c r="D12" s="158" t="s">
        <v>2461</v>
      </c>
      <c r="E12" s="161" t="s">
        <v>2462</v>
      </c>
      <c r="F12" s="164" t="s">
        <v>2436</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2427</v>
      </c>
      <c r="B13" s="153" t="s">
        <v>2463</v>
      </c>
      <c r="C13" s="151" t="s">
        <v>2464</v>
      </c>
      <c r="D13" s="157" t="s">
        <v>2465</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2427</v>
      </c>
      <c r="B14" s="154" t="s">
        <v>2463</v>
      </c>
      <c r="C14" s="155" t="s">
        <v>2466</v>
      </c>
      <c r="D14" s="158" t="s">
        <v>2467</v>
      </c>
      <c r="E14" s="161" t="s">
        <v>2468</v>
      </c>
      <c r="F14" s="164" t="s">
        <v>2436</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2427</v>
      </c>
      <c r="B15" s="154" t="s">
        <v>2463</v>
      </c>
      <c r="C15" s="155" t="s">
        <v>2469</v>
      </c>
      <c r="D15" s="158" t="s">
        <v>2470</v>
      </c>
      <c r="E15" s="161" t="s">
        <v>2471</v>
      </c>
      <c r="F15" s="164" t="s">
        <v>2436</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2427</v>
      </c>
      <c r="B16" s="153" t="s">
        <v>2472</v>
      </c>
      <c r="C16" s="151" t="s">
        <v>2473</v>
      </c>
      <c r="D16" s="157" t="s">
        <v>2474</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2427</v>
      </c>
      <c r="B17" s="154" t="s">
        <v>2472</v>
      </c>
      <c r="C17" s="155" t="s">
        <v>2475</v>
      </c>
      <c r="D17" s="158" t="s">
        <v>2476</v>
      </c>
      <c r="E17" s="161" t="s">
        <v>2477</v>
      </c>
      <c r="F17" s="164" t="s">
        <v>2436</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2427</v>
      </c>
      <c r="B18" s="154" t="s">
        <v>2472</v>
      </c>
      <c r="C18" s="155" t="s">
        <v>2478</v>
      </c>
      <c r="D18" s="158" t="s">
        <v>2479</v>
      </c>
      <c r="E18" s="161" t="s">
        <v>2480</v>
      </c>
      <c r="F18" s="164" t="s">
        <v>2440</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2427</v>
      </c>
      <c r="B19" s="154" t="s">
        <v>2472</v>
      </c>
      <c r="C19" s="155" t="s">
        <v>2481</v>
      </c>
      <c r="D19" s="158" t="s">
        <v>2482</v>
      </c>
      <c r="E19" s="161" t="s">
        <v>2483</v>
      </c>
      <c r="F19" s="164" t="s">
        <v>2436</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2427</v>
      </c>
      <c r="B20" s="154" t="s">
        <v>2472</v>
      </c>
      <c r="C20" s="155" t="s">
        <v>2484</v>
      </c>
      <c r="D20" s="158" t="s">
        <v>2485</v>
      </c>
      <c r="E20" s="161" t="s">
        <v>2486</v>
      </c>
      <c r="F20" s="164" t="s">
        <v>2436</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2427</v>
      </c>
      <c r="B21" s="154" t="s">
        <v>2472</v>
      </c>
      <c r="C21" s="155" t="s">
        <v>2487</v>
      </c>
      <c r="D21" s="158" t="s">
        <v>2488</v>
      </c>
      <c r="E21" s="161" t="s">
        <v>2489</v>
      </c>
      <c r="F21" s="164" t="s">
        <v>2440</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2427</v>
      </c>
      <c r="B22" s="154" t="s">
        <v>2472</v>
      </c>
      <c r="C22" s="155" t="s">
        <v>2490</v>
      </c>
      <c r="D22" s="158" t="s">
        <v>2491</v>
      </c>
      <c r="E22" s="161" t="s">
        <v>2492</v>
      </c>
      <c r="F22" s="164" t="s">
        <v>2436</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2427</v>
      </c>
      <c r="B23" s="154" t="s">
        <v>2472</v>
      </c>
      <c r="C23" s="155" t="s">
        <v>2493</v>
      </c>
      <c r="D23" s="158" t="s">
        <v>2494</v>
      </c>
      <c r="E23" s="161" t="s">
        <v>2495</v>
      </c>
      <c r="F23" s="164" t="s">
        <v>2436</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2427</v>
      </c>
      <c r="B24" s="153" t="s">
        <v>2496</v>
      </c>
      <c r="C24" s="151" t="s">
        <v>2497</v>
      </c>
      <c r="D24" s="157" t="s">
        <v>2498</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2427</v>
      </c>
      <c r="B25" s="154" t="s">
        <v>2496</v>
      </c>
      <c r="C25" s="155" t="s">
        <v>2499</v>
      </c>
      <c r="D25" s="158" t="s">
        <v>2500</v>
      </c>
      <c r="E25" s="161" t="s">
        <v>2501</v>
      </c>
      <c r="F25" s="164" t="s">
        <v>2436</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2427</v>
      </c>
      <c r="B26" s="154" t="s">
        <v>2496</v>
      </c>
      <c r="C26" s="155" t="s">
        <v>2502</v>
      </c>
      <c r="D26" s="158" t="s">
        <v>2503</v>
      </c>
      <c r="E26" s="161" t="s">
        <v>2504</v>
      </c>
      <c r="F26" s="164" t="s">
        <v>2436</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2427</v>
      </c>
      <c r="B27" s="154" t="s">
        <v>2496</v>
      </c>
      <c r="C27" s="155" t="s">
        <v>2505</v>
      </c>
      <c r="D27" s="158" t="s">
        <v>2506</v>
      </c>
      <c r="E27" s="161" t="s">
        <v>2507</v>
      </c>
      <c r="F27" s="164" t="s">
        <v>2440</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2427</v>
      </c>
      <c r="B28" s="154" t="s">
        <v>2496</v>
      </c>
      <c r="C28" s="155" t="s">
        <v>2508</v>
      </c>
      <c r="D28" s="158" t="s">
        <v>2509</v>
      </c>
      <c r="E28" s="161" t="s">
        <v>2510</v>
      </c>
      <c r="F28" s="164" t="s">
        <v>2436</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2427</v>
      </c>
      <c r="B29" s="153" t="s">
        <v>2511</v>
      </c>
      <c r="C29" s="151" t="s">
        <v>2512</v>
      </c>
      <c r="D29" s="157" t="s">
        <v>2513</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2427</v>
      </c>
      <c r="B30" s="154" t="s">
        <v>2511</v>
      </c>
      <c r="C30" s="155" t="s">
        <v>2514</v>
      </c>
      <c r="D30" s="158" t="s">
        <v>2515</v>
      </c>
      <c r="E30" s="161" t="s">
        <v>2516</v>
      </c>
      <c r="F30" s="164" t="s">
        <v>2450</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2427</v>
      </c>
      <c r="B31" s="154" t="s">
        <v>2511</v>
      </c>
      <c r="C31" s="155" t="s">
        <v>2517</v>
      </c>
      <c r="D31" s="158" t="s">
        <v>2518</v>
      </c>
      <c r="E31" s="161" t="s">
        <v>2519</v>
      </c>
      <c r="F31" s="164" t="s">
        <v>2450</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2427</v>
      </c>
      <c r="B32" s="154" t="s">
        <v>2511</v>
      </c>
      <c r="C32" s="155" t="s">
        <v>2520</v>
      </c>
      <c r="D32" s="158" t="s">
        <v>2521</v>
      </c>
      <c r="E32" s="161" t="s">
        <v>2522</v>
      </c>
      <c r="F32" s="164" t="s">
        <v>2450</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2427</v>
      </c>
      <c r="B33" s="154" t="s">
        <v>2511</v>
      </c>
      <c r="C33" s="155" t="s">
        <v>2523</v>
      </c>
      <c r="D33" s="158" t="s">
        <v>2524</v>
      </c>
      <c r="E33" s="161" t="s">
        <v>2525</v>
      </c>
      <c r="F33" s="164" t="s">
        <v>2450</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2427</v>
      </c>
      <c r="B34" s="154" t="s">
        <v>2511</v>
      </c>
      <c r="C34" s="155" t="s">
        <v>2526</v>
      </c>
      <c r="D34" s="158" t="s">
        <v>2527</v>
      </c>
      <c r="E34" s="161" t="s">
        <v>2528</v>
      </c>
      <c r="F34" s="164" t="s">
        <v>2450</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2427</v>
      </c>
      <c r="B35" s="154" t="s">
        <v>2511</v>
      </c>
      <c r="C35" s="155" t="s">
        <v>2529</v>
      </c>
      <c r="D35" s="158" t="s">
        <v>2530</v>
      </c>
      <c r="E35" s="161" t="s">
        <v>2531</v>
      </c>
      <c r="F35" s="164" t="s">
        <v>2450</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2427</v>
      </c>
      <c r="B36" s="154" t="s">
        <v>2511</v>
      </c>
      <c r="C36" s="155" t="s">
        <v>2532</v>
      </c>
      <c r="D36" s="158" t="s">
        <v>2533</v>
      </c>
      <c r="E36" s="161" t="s">
        <v>2534</v>
      </c>
      <c r="F36" s="164" t="s">
        <v>2450</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2427</v>
      </c>
      <c r="B37" s="154" t="s">
        <v>2511</v>
      </c>
      <c r="C37" s="155" t="s">
        <v>2535</v>
      </c>
      <c r="D37" s="158" t="s">
        <v>2536</v>
      </c>
      <c r="E37" s="161" t="s">
        <v>2537</v>
      </c>
      <c r="F37" s="164" t="s">
        <v>2450</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2427</v>
      </c>
      <c r="B38" s="154" t="s">
        <v>2511</v>
      </c>
      <c r="C38" s="155" t="s">
        <v>2538</v>
      </c>
      <c r="D38" s="158" t="s">
        <v>2539</v>
      </c>
      <c r="E38" s="161" t="s">
        <v>2540</v>
      </c>
      <c r="F38" s="164" t="s">
        <v>2450</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2427</v>
      </c>
      <c r="B39" s="154" t="s">
        <v>2511</v>
      </c>
      <c r="C39" s="155" t="s">
        <v>2541</v>
      </c>
      <c r="D39" s="158" t="s">
        <v>2542</v>
      </c>
      <c r="E39" s="161" t="s">
        <v>2543</v>
      </c>
      <c r="F39" s="164" t="s">
        <v>2450</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2544</v>
      </c>
      <c r="B40" s="152" t="s">
        <v>21</v>
      </c>
      <c r="C40" s="150" t="s">
        <v>2545</v>
      </c>
      <c r="D40" s="156" t="s">
        <v>2546</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2544</v>
      </c>
      <c r="B41" s="153" t="s">
        <v>2547</v>
      </c>
      <c r="C41" s="151" t="s">
        <v>2548</v>
      </c>
      <c r="D41" s="157" t="s">
        <v>2549</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2544</v>
      </c>
      <c r="B42" s="154" t="s">
        <v>2547</v>
      </c>
      <c r="C42" s="155" t="s">
        <v>2550</v>
      </c>
      <c r="D42" s="158" t="s">
        <v>2551</v>
      </c>
      <c r="E42" s="161" t="s">
        <v>2552</v>
      </c>
      <c r="F42" s="164" t="s">
        <v>2436</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2544</v>
      </c>
      <c r="B43" s="154" t="s">
        <v>2547</v>
      </c>
      <c r="C43" s="155" t="s">
        <v>2553</v>
      </c>
      <c r="D43" s="158" t="s">
        <v>2554</v>
      </c>
      <c r="E43" s="161" t="s">
        <v>2555</v>
      </c>
      <c r="F43" s="164" t="s">
        <v>2436</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2544</v>
      </c>
      <c r="B44" s="154" t="s">
        <v>2547</v>
      </c>
      <c r="C44" s="155" t="s">
        <v>2556</v>
      </c>
      <c r="D44" s="158" t="s">
        <v>2557</v>
      </c>
      <c r="E44" s="161" t="s">
        <v>2558</v>
      </c>
      <c r="F44" s="164" t="s">
        <v>2440</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2544</v>
      </c>
      <c r="B45" s="154" t="s">
        <v>2547</v>
      </c>
      <c r="C45" s="155" t="s">
        <v>2559</v>
      </c>
      <c r="D45" s="158" t="s">
        <v>2560</v>
      </c>
      <c r="E45" s="161" t="s">
        <v>2561</v>
      </c>
      <c r="F45" s="164" t="s">
        <v>2450</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2544</v>
      </c>
      <c r="B46" s="154" t="s">
        <v>2547</v>
      </c>
      <c r="C46" s="155" t="s">
        <v>2562</v>
      </c>
      <c r="D46" s="158" t="s">
        <v>2563</v>
      </c>
      <c r="E46" s="161" t="s">
        <v>2564</v>
      </c>
      <c r="F46" s="164" t="s">
        <v>2436</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2544</v>
      </c>
      <c r="B47" s="154" t="s">
        <v>2547</v>
      </c>
      <c r="C47" s="155" t="s">
        <v>2565</v>
      </c>
      <c r="D47" s="158" t="s">
        <v>2566</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2544</v>
      </c>
      <c r="B48" s="154" t="s">
        <v>2547</v>
      </c>
      <c r="C48" s="155" t="s">
        <v>2567</v>
      </c>
      <c r="D48" s="158" t="s">
        <v>2568</v>
      </c>
      <c r="E48" s="161" t="s">
        <v>2569</v>
      </c>
      <c r="F48" s="164" t="s">
        <v>2436</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2544</v>
      </c>
      <c r="B49" s="154" t="s">
        <v>2547</v>
      </c>
      <c r="C49" s="155" t="s">
        <v>2570</v>
      </c>
      <c r="D49" s="158" t="s">
        <v>2571</v>
      </c>
      <c r="E49" s="161" t="s">
        <v>2572</v>
      </c>
      <c r="F49" s="164" t="s">
        <v>2440</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2544</v>
      </c>
      <c r="B50" s="153" t="s">
        <v>2573</v>
      </c>
      <c r="C50" s="151" t="s">
        <v>2574</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2544</v>
      </c>
      <c r="B51" s="154" t="s">
        <v>2573</v>
      </c>
      <c r="C51" s="155" t="s">
        <v>2575</v>
      </c>
      <c r="D51" s="158" t="s">
        <v>2576</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2544</v>
      </c>
      <c r="B52" s="154" t="s">
        <v>2573</v>
      </c>
      <c r="C52" s="155" t="s">
        <v>2577</v>
      </c>
      <c r="D52" s="158" t="s">
        <v>2578</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2544</v>
      </c>
      <c r="B53" s="154" t="s">
        <v>2573</v>
      </c>
      <c r="C53" s="155" t="s">
        <v>2579</v>
      </c>
      <c r="D53" s="158" t="s">
        <v>2580</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2544</v>
      </c>
      <c r="B54" s="154" t="s">
        <v>2573</v>
      </c>
      <c r="C54" s="155" t="s">
        <v>2581</v>
      </c>
      <c r="D54" s="158" t="s">
        <v>2582</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2544</v>
      </c>
      <c r="B55" s="154" t="s">
        <v>2573</v>
      </c>
      <c r="C55" s="155" t="s">
        <v>2583</v>
      </c>
      <c r="D55" s="158" t="s">
        <v>2584</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2544</v>
      </c>
      <c r="B56" s="153" t="s">
        <v>698</v>
      </c>
      <c r="C56" s="151" t="s">
        <v>2585</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2544</v>
      </c>
      <c r="B57" s="154" t="s">
        <v>698</v>
      </c>
      <c r="C57" s="155" t="s">
        <v>2586</v>
      </c>
      <c r="D57" s="158" t="s">
        <v>2587</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2544</v>
      </c>
      <c r="B58" s="154" t="s">
        <v>698</v>
      </c>
      <c r="C58" s="155" t="s">
        <v>2588</v>
      </c>
      <c r="D58" s="158" t="s">
        <v>2589</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2544</v>
      </c>
      <c r="B59" s="154" t="s">
        <v>698</v>
      </c>
      <c r="C59" s="155" t="s">
        <v>2590</v>
      </c>
      <c r="D59" s="158" t="s">
        <v>2591</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2544</v>
      </c>
      <c r="B60" s="154" t="s">
        <v>698</v>
      </c>
      <c r="C60" s="155" t="s">
        <v>2592</v>
      </c>
      <c r="D60" s="158" t="s">
        <v>2593</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2544</v>
      </c>
      <c r="B61" s="153" t="s">
        <v>2594</v>
      </c>
      <c r="C61" s="151" t="s">
        <v>2595</v>
      </c>
      <c r="D61" s="157" t="s">
        <v>2596</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2544</v>
      </c>
      <c r="B62" s="154" t="s">
        <v>2594</v>
      </c>
      <c r="C62" s="155" t="s">
        <v>2597</v>
      </c>
      <c r="D62" s="158" t="s">
        <v>2598</v>
      </c>
      <c r="E62" s="161" t="s">
        <v>2599</v>
      </c>
      <c r="F62" s="164" t="s">
        <v>2436</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2544</v>
      </c>
      <c r="B63" s="154" t="s">
        <v>2594</v>
      </c>
      <c r="C63" s="155" t="s">
        <v>2600</v>
      </c>
      <c r="D63" s="158" t="s">
        <v>2601</v>
      </c>
      <c r="E63" s="161" t="s">
        <v>2602</v>
      </c>
      <c r="F63" s="164" t="s">
        <v>2440</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2544</v>
      </c>
      <c r="B64" s="154" t="s">
        <v>2594</v>
      </c>
      <c r="C64" s="155" t="s">
        <v>2603</v>
      </c>
      <c r="D64" s="158" t="s">
        <v>2604</v>
      </c>
      <c r="E64" s="161" t="s">
        <v>2605</v>
      </c>
      <c r="F64" s="164" t="s">
        <v>2436</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2544</v>
      </c>
      <c r="B65" s="154" t="s">
        <v>2594</v>
      </c>
      <c r="C65" s="155" t="s">
        <v>2606</v>
      </c>
      <c r="D65" s="158" t="s">
        <v>2607</v>
      </c>
      <c r="E65" s="161" t="s">
        <v>2608</v>
      </c>
      <c r="F65" s="164" t="s">
        <v>2436</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2544</v>
      </c>
      <c r="B66" s="153" t="s">
        <v>2202</v>
      </c>
      <c r="C66" s="151" t="s">
        <v>2609</v>
      </c>
      <c r="D66" s="157" t="s">
        <v>2610</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2544</v>
      </c>
      <c r="B67" s="154" t="s">
        <v>2202</v>
      </c>
      <c r="C67" s="155" t="s">
        <v>2611</v>
      </c>
      <c r="D67" s="158" t="s">
        <v>2612</v>
      </c>
      <c r="E67" s="161" t="s">
        <v>2613</v>
      </c>
      <c r="F67" s="164" t="s">
        <v>2436</v>
      </c>
      <c r="G67" s="167" t="str">
        <f>IF(COUNTIF(H67:AU67,"&lt;&gt;")=0,"",SUMPRODUCT(((Recommendations[ImplStatus]="Implemented")+(Recommendations[ImplStatus]="Compensated"))*ISNUMBER(MATCH(Recommendations[Id],H67:AU67,0)))/COUNTIF(H67:AU67,"&lt;&gt;"))</f>
        <v/>
      </c>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2544</v>
      </c>
      <c r="B68" s="154" t="s">
        <v>2202</v>
      </c>
      <c r="C68" s="155" t="s">
        <v>2614</v>
      </c>
      <c r="D68" s="158" t="s">
        <v>2615</v>
      </c>
      <c r="E68" s="161" t="s">
        <v>2616</v>
      </c>
      <c r="F68" s="164" t="s">
        <v>2436</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2544</v>
      </c>
      <c r="B69" s="154" t="s">
        <v>2202</v>
      </c>
      <c r="C69" s="155" t="s">
        <v>2617</v>
      </c>
      <c r="D69" s="158" t="s">
        <v>2618</v>
      </c>
      <c r="E69" s="161" t="s">
        <v>2619</v>
      </c>
      <c r="F69" s="164" t="s">
        <v>2440</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2544</v>
      </c>
      <c r="B70" s="154" t="s">
        <v>2202</v>
      </c>
      <c r="C70" s="155" t="s">
        <v>2620</v>
      </c>
      <c r="D70" s="158" t="s">
        <v>2621</v>
      </c>
      <c r="E70" s="161" t="s">
        <v>2622</v>
      </c>
      <c r="F70" s="164" t="s">
        <v>2436</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2544</v>
      </c>
      <c r="B71" s="154" t="s">
        <v>2202</v>
      </c>
      <c r="C71" s="155" t="s">
        <v>2623</v>
      </c>
      <c r="D71" s="158" t="s">
        <v>2624</v>
      </c>
      <c r="E71" s="161" t="s">
        <v>2625</v>
      </c>
      <c r="F71" s="164" t="s">
        <v>2436</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2544</v>
      </c>
      <c r="B72" s="154" t="s">
        <v>2202</v>
      </c>
      <c r="C72" s="155" t="s">
        <v>2626</v>
      </c>
      <c r="D72" s="158" t="s">
        <v>2627</v>
      </c>
      <c r="E72" s="161" t="s">
        <v>2628</v>
      </c>
      <c r="F72" s="164" t="s">
        <v>2436</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2544</v>
      </c>
      <c r="B73" s="154" t="s">
        <v>2202</v>
      </c>
      <c r="C73" s="155" t="s">
        <v>2629</v>
      </c>
      <c r="D73" s="158" t="s">
        <v>2630</v>
      </c>
      <c r="E73" s="161" t="s">
        <v>2631</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2544</v>
      </c>
      <c r="B74" s="154" t="s">
        <v>2202</v>
      </c>
      <c r="C74" s="155" t="s">
        <v>2632</v>
      </c>
      <c r="D74" s="158" t="s">
        <v>2633</v>
      </c>
      <c r="E74" s="161" t="s">
        <v>2634</v>
      </c>
      <c r="F74" s="164" t="s">
        <v>2440</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2544</v>
      </c>
      <c r="B75" s="154" t="s">
        <v>2202</v>
      </c>
      <c r="C75" s="155" t="s">
        <v>2635</v>
      </c>
      <c r="D75" s="158" t="s">
        <v>2636</v>
      </c>
      <c r="E75" s="161" t="s">
        <v>2637</v>
      </c>
      <c r="F75" s="164" t="s">
        <v>2450</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2544</v>
      </c>
      <c r="B76" s="154" t="s">
        <v>2202</v>
      </c>
      <c r="C76" s="155" t="s">
        <v>2638</v>
      </c>
      <c r="D76" s="158" t="s">
        <v>2639</v>
      </c>
      <c r="E76" s="161" t="s">
        <v>2640</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2544</v>
      </c>
      <c r="B77" s="153" t="s">
        <v>2472</v>
      </c>
      <c r="C77" s="151" t="s">
        <v>2641</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2544</v>
      </c>
      <c r="B78" s="154" t="s">
        <v>2472</v>
      </c>
      <c r="C78" s="155" t="s">
        <v>2642</v>
      </c>
      <c r="D78" s="158" t="s">
        <v>2643</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2544</v>
      </c>
      <c r="B79" s="154" t="s">
        <v>2472</v>
      </c>
      <c r="C79" s="155" t="s">
        <v>2644</v>
      </c>
      <c r="D79" s="158" t="s">
        <v>2645</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2544</v>
      </c>
      <c r="B80" s="154" t="s">
        <v>2472</v>
      </c>
      <c r="C80" s="155" t="s">
        <v>2646</v>
      </c>
      <c r="D80" s="158" t="s">
        <v>2647</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2544</v>
      </c>
      <c r="B81" s="153" t="s">
        <v>2400</v>
      </c>
      <c r="C81" s="151" t="s">
        <v>2648</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2544</v>
      </c>
      <c r="B82" s="154" t="s">
        <v>2400</v>
      </c>
      <c r="C82" s="155" t="s">
        <v>2649</v>
      </c>
      <c r="D82" s="158" t="s">
        <v>2650</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2544</v>
      </c>
      <c r="B83" s="154" t="s">
        <v>2400</v>
      </c>
      <c r="C83" s="155" t="s">
        <v>2651</v>
      </c>
      <c r="D83" s="158" t="s">
        <v>2652</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2544</v>
      </c>
      <c r="B84" s="154" t="s">
        <v>2400</v>
      </c>
      <c r="C84" s="155" t="s">
        <v>2653</v>
      </c>
      <c r="D84" s="158" t="s">
        <v>2654</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2544</v>
      </c>
      <c r="B85" s="154" t="s">
        <v>2400</v>
      </c>
      <c r="C85" s="155" t="s">
        <v>2655</v>
      </c>
      <c r="D85" s="158" t="s">
        <v>2656</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2544</v>
      </c>
      <c r="B86" s="154" t="s">
        <v>2400</v>
      </c>
      <c r="C86" s="155" t="s">
        <v>2657</v>
      </c>
      <c r="D86" s="158" t="s">
        <v>2658</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2659</v>
      </c>
      <c r="B87" s="152" t="s">
        <v>21</v>
      </c>
      <c r="C87" s="150" t="s">
        <v>2660</v>
      </c>
      <c r="D87" s="156" t="s">
        <v>2661</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2659</v>
      </c>
      <c r="B88" s="153" t="s">
        <v>2662</v>
      </c>
      <c r="C88" s="151" t="s">
        <v>2663</v>
      </c>
      <c r="D88" s="157" t="s">
        <v>2664</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2659</v>
      </c>
      <c r="B89" s="154" t="s">
        <v>2662</v>
      </c>
      <c r="C89" s="155" t="s">
        <v>2665</v>
      </c>
      <c r="D89" s="158" t="s">
        <v>2666</v>
      </c>
      <c r="E89" s="161" t="s">
        <v>2667</v>
      </c>
      <c r="F89" s="164" t="s">
        <v>2436</v>
      </c>
      <c r="G89" s="167">
        <f>IF(COUNTIF(H89:AU89,"&lt;&gt;")=0,"",SUMPRODUCT(((Recommendations[ImplStatus]="Implemented")+(Recommendations[ImplStatus]="Compensated"))*ISNUMBER(MATCH(Recommendations[Id],H89:AU89,0)))/COUNTIF(H89:AU89,"&lt;&gt;"))</f>
        <v>0</v>
      </c>
      <c r="H89" s="170" t="s">
        <v>107</v>
      </c>
      <c r="I89" s="170" t="s">
        <v>168</v>
      </c>
      <c r="J89" s="170" t="s">
        <v>173</v>
      </c>
      <c r="K89" s="170" t="s">
        <v>178</v>
      </c>
      <c r="L89" s="170" t="s">
        <v>183</v>
      </c>
      <c r="M89" s="170" t="s">
        <v>187</v>
      </c>
      <c r="N89" s="170" t="s">
        <v>191</v>
      </c>
      <c r="O89" s="170" t="s">
        <v>196</v>
      </c>
      <c r="P89" s="170" t="s">
        <v>206</v>
      </c>
      <c r="Q89" s="170" t="s">
        <v>310</v>
      </c>
      <c r="R89" s="170" t="s">
        <v>372</v>
      </c>
      <c r="S89" s="170"/>
      <c r="T89" s="170"/>
      <c r="U89" s="170"/>
      <c r="V89" s="170"/>
      <c r="W89" s="170"/>
      <c r="X89" s="170"/>
      <c r="Y89" s="170"/>
      <c r="Z89" s="170"/>
      <c r="AA89" s="170"/>
      <c r="AB89" s="170"/>
      <c r="AC89" s="170"/>
      <c r="AD89" s="170"/>
      <c r="AE89" s="170"/>
      <c r="AF89" s="170"/>
      <c r="AG89" s="170"/>
      <c r="AH89" s="170"/>
      <c r="AI89" s="170"/>
      <c r="AJ89" s="170"/>
      <c r="AK89" s="170"/>
      <c r="AL89" s="170"/>
      <c r="AM89" s="170"/>
      <c r="AN89" s="170"/>
      <c r="AO89" s="170"/>
      <c r="AP89" s="170"/>
      <c r="AQ89" s="170"/>
      <c r="AR89" s="170"/>
      <c r="AS89" s="170"/>
      <c r="AT89" s="170"/>
      <c r="AU89" s="184"/>
    </row>
    <row r="90" spans="1:47" ht="60" customHeight="1" x14ac:dyDescent="0.35">
      <c r="A90" s="180" t="s">
        <v>2659</v>
      </c>
      <c r="B90" s="154" t="s">
        <v>2662</v>
      </c>
      <c r="C90" s="155" t="s">
        <v>2668</v>
      </c>
      <c r="D90" s="158" t="s">
        <v>2669</v>
      </c>
      <c r="E90" s="161" t="s">
        <v>2670</v>
      </c>
      <c r="F90" s="164" t="s">
        <v>2440</v>
      </c>
      <c r="G90" s="167" t="str">
        <f>IF(COUNTIF(H90:AU90,"&lt;&gt;")=0,"",SUMPRODUCT(((Recommendations[ImplStatus]="Implemented")+(Recommendations[ImplStatus]="Compensated"))*ISNUMBER(MATCH(Recommendations[Id],H90:AU90,0)))/COUNTIF(H90:AU90,"&lt;&gt;"))</f>
        <v/>
      </c>
      <c r="H90" s="170"/>
      <c r="I90" s="170"/>
      <c r="J90" s="170"/>
      <c r="K90" s="170"/>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2659</v>
      </c>
      <c r="B91" s="154" t="s">
        <v>2662</v>
      </c>
      <c r="C91" s="155" t="s">
        <v>2671</v>
      </c>
      <c r="D91" s="158" t="s">
        <v>2672</v>
      </c>
      <c r="E91" s="161" t="s">
        <v>2673</v>
      </c>
      <c r="F91" s="164" t="s">
        <v>2436</v>
      </c>
      <c r="G91" s="167">
        <f>IF(COUNTIF(H91:AU91,"&lt;&gt;")=0,"",SUMPRODUCT(((Recommendations[ImplStatus]="Implemented")+(Recommendations[ImplStatus]="Compensated"))*ISNUMBER(MATCH(Recommendations[Id],H91:AU91,0)))/COUNTIF(H91:AU91,"&lt;&gt;"))</f>
        <v>0</v>
      </c>
      <c r="H91" s="170" t="s">
        <v>25</v>
      </c>
      <c r="I91" s="170" t="s">
        <v>30</v>
      </c>
      <c r="J91" s="170" t="s">
        <v>40</v>
      </c>
      <c r="K91" s="170" t="s">
        <v>45</v>
      </c>
      <c r="L91" s="170" t="s">
        <v>50</v>
      </c>
      <c r="M91" s="170" t="s">
        <v>61</v>
      </c>
      <c r="N91" s="170" t="s">
        <v>66</v>
      </c>
      <c r="O91" s="170" t="s">
        <v>112</v>
      </c>
      <c r="P91" s="170" t="s">
        <v>148</v>
      </c>
      <c r="Q91" s="170" t="s">
        <v>158</v>
      </c>
      <c r="R91" s="170" t="s">
        <v>201</v>
      </c>
      <c r="S91" s="170" t="s">
        <v>216</v>
      </c>
      <c r="T91" s="170" t="s">
        <v>231</v>
      </c>
      <c r="U91" s="170" t="s">
        <v>266</v>
      </c>
      <c r="V91" s="170" t="s">
        <v>295</v>
      </c>
      <c r="W91" s="170" t="s">
        <v>300</v>
      </c>
      <c r="X91" s="170" t="s">
        <v>305</v>
      </c>
      <c r="Y91" s="170" t="s">
        <v>358</v>
      </c>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2659</v>
      </c>
      <c r="B92" s="154" t="s">
        <v>2662</v>
      </c>
      <c r="C92" s="155" t="s">
        <v>2674</v>
      </c>
      <c r="D92" s="158" t="s">
        <v>2675</v>
      </c>
      <c r="E92" s="161" t="s">
        <v>2676</v>
      </c>
      <c r="F92" s="164" t="s">
        <v>2436</v>
      </c>
      <c r="G92" s="167" t="str">
        <f>IF(COUNTIF(H92:AU92,"&lt;&gt;")=0,"",SUMPRODUCT(((Recommendations[ImplStatus]="Implemented")+(Recommendations[ImplStatus]="Compensated"))*ISNUMBER(MATCH(Recommendations[Id],H92:AU92,0)))/COUNTIF(H92:AU92,"&lt;&gt;"))</f>
        <v/>
      </c>
      <c r="H92" s="170"/>
      <c r="I92" s="170"/>
      <c r="J92" s="170"/>
      <c r="K92" s="170"/>
      <c r="L92" s="170"/>
      <c r="M92" s="170"/>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2659</v>
      </c>
      <c r="B93" s="154" t="s">
        <v>2662</v>
      </c>
      <c r="C93" s="155" t="s">
        <v>2677</v>
      </c>
      <c r="D93" s="158" t="s">
        <v>2678</v>
      </c>
      <c r="E93" s="161" t="s">
        <v>2679</v>
      </c>
      <c r="F93" s="164" t="s">
        <v>2436</v>
      </c>
      <c r="G93" s="167">
        <f>IF(COUNTIF(H93:AU93,"&lt;&gt;")=0,"",SUMPRODUCT(((Recommendations[ImplStatus]="Implemented")+(Recommendations[ImplStatus]="Compensated"))*ISNUMBER(MATCH(Recommendations[Id],H93:AU93,0)))/COUNTIF(H93:AU93,"&lt;&gt;"))</f>
        <v>0</v>
      </c>
      <c r="H93" s="170" t="s">
        <v>81</v>
      </c>
      <c r="I93" s="170" t="s">
        <v>87</v>
      </c>
      <c r="J93" s="170" t="s">
        <v>92</v>
      </c>
      <c r="K93" s="170" t="s">
        <v>97</v>
      </c>
      <c r="L93" s="170" t="s">
        <v>102</v>
      </c>
      <c r="M93" s="170" t="s">
        <v>225</v>
      </c>
      <c r="N93" s="170" t="s">
        <v>256</v>
      </c>
      <c r="O93" s="170" t="s">
        <v>363</v>
      </c>
      <c r="P93" s="170" t="s">
        <v>372</v>
      </c>
      <c r="Q93" s="170" t="s">
        <v>402</v>
      </c>
      <c r="R93" s="170"/>
      <c r="S93" s="170"/>
      <c r="T93" s="170"/>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70"/>
      <c r="AT93" s="170"/>
      <c r="AU93" s="184"/>
    </row>
    <row r="94" spans="1:47" ht="60" customHeight="1" x14ac:dyDescent="0.35">
      <c r="A94" s="180" t="s">
        <v>2659</v>
      </c>
      <c r="B94" s="154" t="s">
        <v>2662</v>
      </c>
      <c r="C94" s="155" t="s">
        <v>2680</v>
      </c>
      <c r="D94" s="158" t="s">
        <v>2681</v>
      </c>
      <c r="E94" s="161" t="s">
        <v>2682</v>
      </c>
      <c r="F94" s="164" t="s">
        <v>2440</v>
      </c>
      <c r="G94" s="167">
        <f>IF(COUNTIF(H94:AU94,"&lt;&gt;")=0,"",SUMPRODUCT(((Recommendations[ImplStatus]="Implemented")+(Recommendations[ImplStatus]="Compensated"))*ISNUMBER(MATCH(Recommendations[Id],H94:AU94,0)))/COUNTIF(H94:AU94,"&lt;&gt;"))</f>
        <v>0</v>
      </c>
      <c r="H94" s="170" t="s">
        <v>387</v>
      </c>
      <c r="I94" s="170" t="s">
        <v>392</v>
      </c>
      <c r="J94" s="170" t="s">
        <v>397</v>
      </c>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2659</v>
      </c>
      <c r="B95" s="153" t="s">
        <v>2683</v>
      </c>
      <c r="C95" s="151" t="s">
        <v>2684</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2659</v>
      </c>
      <c r="B96" s="154" t="s">
        <v>2683</v>
      </c>
      <c r="C96" s="155" t="s">
        <v>2685</v>
      </c>
      <c r="D96" s="158" t="s">
        <v>2686</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2659</v>
      </c>
      <c r="B97" s="154" t="s">
        <v>2683</v>
      </c>
      <c r="C97" s="155" t="s">
        <v>2687</v>
      </c>
      <c r="D97" s="158" t="s">
        <v>2688</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2659</v>
      </c>
      <c r="B98" s="154" t="s">
        <v>2683</v>
      </c>
      <c r="C98" s="155" t="s">
        <v>2689</v>
      </c>
      <c r="D98" s="158" t="s">
        <v>2690</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2659</v>
      </c>
      <c r="B99" s="154" t="s">
        <v>2683</v>
      </c>
      <c r="C99" s="155" t="s">
        <v>2691</v>
      </c>
      <c r="D99" s="158" t="s">
        <v>2692</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2659</v>
      </c>
      <c r="B100" s="154" t="s">
        <v>2683</v>
      </c>
      <c r="C100" s="155" t="s">
        <v>2693</v>
      </c>
      <c r="D100" s="158" t="s">
        <v>2694</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2659</v>
      </c>
      <c r="B101" s="154" t="s">
        <v>2683</v>
      </c>
      <c r="C101" s="155" t="s">
        <v>2695</v>
      </c>
      <c r="D101" s="158" t="s">
        <v>2696</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2659</v>
      </c>
      <c r="B102" s="154" t="s">
        <v>2683</v>
      </c>
      <c r="C102" s="155" t="s">
        <v>2697</v>
      </c>
      <c r="D102" s="158" t="s">
        <v>2698</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2659</v>
      </c>
      <c r="B103" s="153" t="s">
        <v>1843</v>
      </c>
      <c r="C103" s="151" t="s">
        <v>2699</v>
      </c>
      <c r="D103" s="157" t="s">
        <v>2700</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2659</v>
      </c>
      <c r="B104" s="154" t="s">
        <v>1843</v>
      </c>
      <c r="C104" s="155" t="s">
        <v>2701</v>
      </c>
      <c r="D104" s="158" t="s">
        <v>2702</v>
      </c>
      <c r="E104" s="161" t="s">
        <v>2703</v>
      </c>
      <c r="F104" s="164" t="s">
        <v>2436</v>
      </c>
      <c r="G104" s="167" t="str">
        <f>IF(COUNTIF(H104:AU104,"&lt;&gt;")=0,"",SUMPRODUCT(((Recommendations[ImplStatus]="Implemented")+(Recommendations[ImplStatus]="Compensated"))*ISNUMBER(MATCH(Recommendations[Id],H104:AU104,0)))/COUNTIF(H104:AU104,"&lt;&gt;"))</f>
        <v/>
      </c>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2659</v>
      </c>
      <c r="B105" s="154" t="s">
        <v>1843</v>
      </c>
      <c r="C105" s="155" t="s">
        <v>2704</v>
      </c>
      <c r="D105" s="158" t="s">
        <v>2705</v>
      </c>
      <c r="E105" s="161" t="s">
        <v>2706</v>
      </c>
      <c r="F105" s="164" t="s">
        <v>2440</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2659</v>
      </c>
      <c r="B106" s="154" t="s">
        <v>1843</v>
      </c>
      <c r="C106" s="155" t="s">
        <v>2707</v>
      </c>
      <c r="D106" s="158" t="s">
        <v>2708</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2659</v>
      </c>
      <c r="B107" s="154" t="s">
        <v>1843</v>
      </c>
      <c r="C107" s="155" t="s">
        <v>2709</v>
      </c>
      <c r="D107" s="158" t="s">
        <v>2710</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2659</v>
      </c>
      <c r="B108" s="154" t="s">
        <v>1843</v>
      </c>
      <c r="C108" s="155" t="s">
        <v>2711</v>
      </c>
      <c r="D108" s="158" t="s">
        <v>2712</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2659</v>
      </c>
      <c r="B109" s="153" t="s">
        <v>2713</v>
      </c>
      <c r="C109" s="151" t="s">
        <v>2714</v>
      </c>
      <c r="D109" s="157" t="s">
        <v>2715</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2659</v>
      </c>
      <c r="B110" s="154" t="s">
        <v>2713</v>
      </c>
      <c r="C110" s="155" t="s">
        <v>2716</v>
      </c>
      <c r="D110" s="158" t="s">
        <v>2717</v>
      </c>
      <c r="E110" s="161" t="s">
        <v>2718</v>
      </c>
      <c r="F110" s="164" t="s">
        <v>2436</v>
      </c>
      <c r="G110" s="167" t="str">
        <f>IF(COUNTIF(H110:AU110,"&lt;&gt;")=0,"",SUMPRODUCT(((Recommendations[ImplStatus]="Implemented")+(Recommendations[ImplStatus]="Compensated"))*ISNUMBER(MATCH(Recommendations[Id],H110:AU110,0)))/COUNTIF(H110:AU110,"&lt;&gt;"))</f>
        <v/>
      </c>
      <c r="H110" s="170"/>
      <c r="I110" s="170"/>
      <c r="J110" s="170"/>
      <c r="K110" s="170"/>
      <c r="L110" s="170"/>
      <c r="M110" s="170"/>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2659</v>
      </c>
      <c r="B111" s="154" t="s">
        <v>2713</v>
      </c>
      <c r="C111" s="155" t="s">
        <v>2719</v>
      </c>
      <c r="D111" s="158" t="s">
        <v>2720</v>
      </c>
      <c r="E111" s="161" t="s">
        <v>2721</v>
      </c>
      <c r="F111" s="164" t="s">
        <v>2436</v>
      </c>
      <c r="G111" s="167">
        <f>IF(COUNTIF(H111:AU111,"&lt;&gt;")=0,"",SUMPRODUCT(((Recommendations[ImplStatus]="Implemented")+(Recommendations[ImplStatus]="Compensated"))*ISNUMBER(MATCH(Recommendations[Id],H111:AU111,0)))/COUNTIF(H111:AU111,"&lt;&gt;"))</f>
        <v>0</v>
      </c>
      <c r="H111" s="170" t="s">
        <v>25</v>
      </c>
      <c r="I111" s="170" t="s">
        <v>30</v>
      </c>
      <c r="J111" s="170" t="s">
        <v>40</v>
      </c>
      <c r="K111" s="170" t="s">
        <v>45</v>
      </c>
      <c r="L111" s="170" t="s">
        <v>50</v>
      </c>
      <c r="M111" s="170" t="s">
        <v>61</v>
      </c>
      <c r="N111" s="170" t="s">
        <v>66</v>
      </c>
      <c r="O111" s="170" t="s">
        <v>201</v>
      </c>
      <c r="P111" s="170" t="s">
        <v>236</v>
      </c>
      <c r="Q111" s="170" t="s">
        <v>300</v>
      </c>
      <c r="R111" s="170" t="s">
        <v>305</v>
      </c>
      <c r="S111" s="170" t="s">
        <v>358</v>
      </c>
      <c r="T111" s="170" t="s">
        <v>377</v>
      </c>
      <c r="U111" s="170" t="s">
        <v>387</v>
      </c>
      <c r="V111" s="170" t="s">
        <v>392</v>
      </c>
      <c r="W111" s="170" t="s">
        <v>397</v>
      </c>
      <c r="X111" s="170" t="s">
        <v>478</v>
      </c>
      <c r="Y111" s="170" t="s">
        <v>484</v>
      </c>
      <c r="Z111" s="170" t="s">
        <v>489</v>
      </c>
      <c r="AA111" s="170" t="s">
        <v>494</v>
      </c>
      <c r="AB111" s="170" t="s">
        <v>499</v>
      </c>
      <c r="AC111" s="170" t="s">
        <v>504</v>
      </c>
      <c r="AD111" s="170" t="s">
        <v>509</v>
      </c>
      <c r="AE111" s="170" t="s">
        <v>514</v>
      </c>
      <c r="AF111" s="170" t="s">
        <v>519</v>
      </c>
      <c r="AG111" s="170" t="s">
        <v>524</v>
      </c>
      <c r="AH111" s="170" t="s">
        <v>529</v>
      </c>
      <c r="AI111" s="170" t="s">
        <v>534</v>
      </c>
      <c r="AJ111" s="170"/>
      <c r="AK111" s="170"/>
      <c r="AL111" s="170"/>
      <c r="AM111" s="170"/>
      <c r="AN111" s="170"/>
      <c r="AO111" s="170"/>
      <c r="AP111" s="170"/>
      <c r="AQ111" s="170"/>
      <c r="AR111" s="170"/>
      <c r="AS111" s="170"/>
      <c r="AT111" s="170"/>
      <c r="AU111" s="184"/>
    </row>
    <row r="112" spans="1:47" ht="60" customHeight="1" x14ac:dyDescent="0.35">
      <c r="A112" s="180" t="s">
        <v>2659</v>
      </c>
      <c r="B112" s="154" t="s">
        <v>2713</v>
      </c>
      <c r="C112" s="155" t="s">
        <v>2722</v>
      </c>
      <c r="D112" s="158" t="s">
        <v>2723</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2659</v>
      </c>
      <c r="B113" s="154" t="s">
        <v>2713</v>
      </c>
      <c r="C113" s="155" t="s">
        <v>2724</v>
      </c>
      <c r="D113" s="158" t="s">
        <v>2725</v>
      </c>
      <c r="E113" s="161"/>
      <c r="F113" s="164" t="s">
        <v>21</v>
      </c>
      <c r="G113" s="167" t="str">
        <f>IF(COUNTIF(H113:AU113,"&lt;&gt;")=0,"",SUMPRODUCT(((Recommendations[ImplStatus]="Implemented")+(Recommendations[ImplStatus]="Compensated"))*ISNUMBER(MATCH(Recommendations[Id],H113:AU113,0)))/COUNTIF(H113:AU113,"&lt;&gt;"))</f>
        <v/>
      </c>
      <c r="H113" s="170"/>
      <c r="I113" s="170"/>
      <c r="J113" s="170"/>
      <c r="K113" s="170"/>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2659</v>
      </c>
      <c r="B114" s="154" t="s">
        <v>2713</v>
      </c>
      <c r="C114" s="155" t="s">
        <v>2726</v>
      </c>
      <c r="D114" s="158" t="s">
        <v>2727</v>
      </c>
      <c r="E114" s="161"/>
      <c r="F114" s="164" t="s">
        <v>21</v>
      </c>
      <c r="G114" s="167">
        <f>IF(COUNTIF(H114:AU114,"&lt;&gt;")=0,"",SUMPRODUCT(((Recommendations[ImplStatus]="Implemented")+(Recommendations[ImplStatus]="Compensated"))*ISNUMBER(MATCH(Recommendations[Id],H114:AU114,0)))/COUNTIF(H114:AU114,"&lt;&gt;"))</f>
        <v>0</v>
      </c>
      <c r="H114" s="170" t="s">
        <v>241</v>
      </c>
      <c r="I114" s="170" t="s">
        <v>246</v>
      </c>
      <c r="J114" s="170" t="s">
        <v>251</v>
      </c>
      <c r="K114" s="170"/>
      <c r="L114" s="170"/>
      <c r="M114" s="170"/>
      <c r="N114" s="170"/>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2659</v>
      </c>
      <c r="B115" s="154" t="s">
        <v>2713</v>
      </c>
      <c r="C115" s="155" t="s">
        <v>2728</v>
      </c>
      <c r="D115" s="158" t="s">
        <v>2729</v>
      </c>
      <c r="E115" s="161"/>
      <c r="F115" s="164" t="s">
        <v>21</v>
      </c>
      <c r="G115" s="167" t="str">
        <f>IF(COUNTIF(H115:AU115,"&lt;&gt;")=0,"",SUMPRODUCT(((Recommendations[ImplStatus]="Implemented")+(Recommendations[ImplStatus]="Compensated"))*ISNUMBER(MATCH(Recommendations[Id],H115:AU115,0)))/COUNTIF(H115:AU115,"&lt;&gt;"))</f>
        <v/>
      </c>
      <c r="H115" s="170"/>
      <c r="I115" s="170"/>
      <c r="J115" s="170"/>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2659</v>
      </c>
      <c r="B116" s="154" t="s">
        <v>2713</v>
      </c>
      <c r="C116" s="155" t="s">
        <v>2730</v>
      </c>
      <c r="D116" s="158" t="s">
        <v>2731</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2659</v>
      </c>
      <c r="B117" s="154" t="s">
        <v>2713</v>
      </c>
      <c r="C117" s="155" t="s">
        <v>2732</v>
      </c>
      <c r="D117" s="158" t="s">
        <v>2733</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2659</v>
      </c>
      <c r="B118" s="154" t="s">
        <v>2713</v>
      </c>
      <c r="C118" s="155" t="s">
        <v>2734</v>
      </c>
      <c r="D118" s="158" t="s">
        <v>2735</v>
      </c>
      <c r="E118" s="161" t="s">
        <v>2736</v>
      </c>
      <c r="F118" s="164" t="s">
        <v>2436</v>
      </c>
      <c r="G118" s="167" t="str">
        <f>IF(COUNTIF(H118:AU118,"&lt;&gt;")=0,"",SUMPRODUCT(((Recommendations[ImplStatus]="Implemented")+(Recommendations[ImplStatus]="Compensated"))*ISNUMBER(MATCH(Recommendations[Id],H118:AU118,0)))/COUNTIF(H118:AU118,"&lt;&gt;"))</f>
        <v/>
      </c>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2659</v>
      </c>
      <c r="B119" s="154" t="s">
        <v>2713</v>
      </c>
      <c r="C119" s="155" t="s">
        <v>2737</v>
      </c>
      <c r="D119" s="158" t="s">
        <v>2738</v>
      </c>
      <c r="E119" s="161" t="s">
        <v>2739</v>
      </c>
      <c r="F119" s="164" t="s">
        <v>2436</v>
      </c>
      <c r="G119" s="167">
        <f>IF(COUNTIF(H119:AU119,"&lt;&gt;")=0,"",SUMPRODUCT(((Recommendations[ImplStatus]="Implemented")+(Recommendations[ImplStatus]="Compensated"))*ISNUMBER(MATCH(Recommendations[Id],H119:AU119,0)))/COUNTIF(H119:AU119,"&lt;&gt;"))</f>
        <v>0</v>
      </c>
      <c r="H119" s="170" t="s">
        <v>211</v>
      </c>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2659</v>
      </c>
      <c r="B120" s="153" t="s">
        <v>2740</v>
      </c>
      <c r="C120" s="151" t="s">
        <v>2741</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2659</v>
      </c>
      <c r="B121" s="154" t="s">
        <v>2740</v>
      </c>
      <c r="C121" s="155" t="s">
        <v>2742</v>
      </c>
      <c r="D121" s="158" t="s">
        <v>2743</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2659</v>
      </c>
      <c r="B122" s="154" t="s">
        <v>2740</v>
      </c>
      <c r="C122" s="155" t="s">
        <v>2744</v>
      </c>
      <c r="D122" s="158" t="s">
        <v>2745</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2659</v>
      </c>
      <c r="B123" s="154" t="s">
        <v>2740</v>
      </c>
      <c r="C123" s="155" t="s">
        <v>2746</v>
      </c>
      <c r="D123" s="158" t="s">
        <v>2747</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2659</v>
      </c>
      <c r="B124" s="154" t="s">
        <v>2740</v>
      </c>
      <c r="C124" s="155" t="s">
        <v>2748</v>
      </c>
      <c r="D124" s="158" t="s">
        <v>2749</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2659</v>
      </c>
      <c r="B125" s="154" t="s">
        <v>2740</v>
      </c>
      <c r="C125" s="155" t="s">
        <v>2750</v>
      </c>
      <c r="D125" s="158" t="s">
        <v>2751</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2659</v>
      </c>
      <c r="B126" s="154" t="s">
        <v>2740</v>
      </c>
      <c r="C126" s="155" t="s">
        <v>2752</v>
      </c>
      <c r="D126" s="158" t="s">
        <v>2753</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2659</v>
      </c>
      <c r="B127" s="154" t="s">
        <v>2740</v>
      </c>
      <c r="C127" s="155" t="s">
        <v>2754</v>
      </c>
      <c r="D127" s="158" t="s">
        <v>2755</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2659</v>
      </c>
      <c r="B128" s="154" t="s">
        <v>2740</v>
      </c>
      <c r="C128" s="155" t="s">
        <v>2756</v>
      </c>
      <c r="D128" s="158" t="s">
        <v>2757</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2659</v>
      </c>
      <c r="B129" s="154" t="s">
        <v>2740</v>
      </c>
      <c r="C129" s="155" t="s">
        <v>2758</v>
      </c>
      <c r="D129" s="158" t="s">
        <v>2759</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2659</v>
      </c>
      <c r="B130" s="154" t="s">
        <v>2740</v>
      </c>
      <c r="C130" s="155" t="s">
        <v>2760</v>
      </c>
      <c r="D130" s="158" t="s">
        <v>2761</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2659</v>
      </c>
      <c r="B131" s="154" t="s">
        <v>2740</v>
      </c>
      <c r="C131" s="155" t="s">
        <v>2762</v>
      </c>
      <c r="D131" s="158" t="s">
        <v>2763</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2659</v>
      </c>
      <c r="B132" s="154" t="s">
        <v>2740</v>
      </c>
      <c r="C132" s="155" t="s">
        <v>2764</v>
      </c>
      <c r="D132" s="158" t="s">
        <v>2765</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2659</v>
      </c>
      <c r="B133" s="153" t="s">
        <v>2766</v>
      </c>
      <c r="C133" s="151" t="s">
        <v>2767</v>
      </c>
      <c r="D133" s="157" t="s">
        <v>2768</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2659</v>
      </c>
      <c r="B134" s="154" t="s">
        <v>2766</v>
      </c>
      <c r="C134" s="155" t="s">
        <v>2769</v>
      </c>
      <c r="D134" s="158" t="s">
        <v>2770</v>
      </c>
      <c r="E134" s="161" t="s">
        <v>2771</v>
      </c>
      <c r="F134" s="164" t="s">
        <v>2440</v>
      </c>
      <c r="G134" s="167">
        <f>IF(COUNTIF(H134:AU134,"&lt;&gt;")=0,"",SUMPRODUCT(((Recommendations[ImplStatus]="Implemented")+(Recommendations[ImplStatus]="Compensated"))*ISNUMBER(MATCH(Recommendations[Id],H134:AU134,0)))/COUNTIF(H134:AU134,"&lt;&gt;"))</f>
        <v>0</v>
      </c>
      <c r="H134" s="170" t="s">
        <v>35</v>
      </c>
      <c r="I134" s="170" t="s">
        <v>56</v>
      </c>
      <c r="J134" s="170" t="s">
        <v>71</v>
      </c>
      <c r="K134" s="170" t="s">
        <v>138</v>
      </c>
      <c r="L134" s="170" t="s">
        <v>220</v>
      </c>
      <c r="M134" s="170" t="s">
        <v>231</v>
      </c>
      <c r="N134" s="170" t="s">
        <v>261</v>
      </c>
      <c r="O134" s="170" t="s">
        <v>271</v>
      </c>
      <c r="P134" s="170" t="s">
        <v>276</v>
      </c>
      <c r="Q134" s="170" t="s">
        <v>281</v>
      </c>
      <c r="R134" s="170" t="s">
        <v>286</v>
      </c>
      <c r="S134" s="170" t="s">
        <v>340</v>
      </c>
      <c r="T134" s="170" t="s">
        <v>343</v>
      </c>
      <c r="U134" s="170" t="s">
        <v>368</v>
      </c>
      <c r="V134" s="170" t="s">
        <v>382</v>
      </c>
      <c r="W134" s="170" t="s">
        <v>407</v>
      </c>
      <c r="X134" s="170" t="s">
        <v>413</v>
      </c>
      <c r="Y134" s="170" t="s">
        <v>433</v>
      </c>
      <c r="Z134" s="170" t="s">
        <v>443</v>
      </c>
      <c r="AA134" s="170" t="s">
        <v>453</v>
      </c>
      <c r="AB134" s="170" t="s">
        <v>458</v>
      </c>
      <c r="AC134" s="170" t="s">
        <v>463</v>
      </c>
      <c r="AD134" s="170" t="s">
        <v>468</v>
      </c>
      <c r="AE134" s="170" t="s">
        <v>473</v>
      </c>
      <c r="AF134" s="170"/>
      <c r="AG134" s="170"/>
      <c r="AH134" s="170"/>
      <c r="AI134" s="170"/>
      <c r="AJ134" s="170"/>
      <c r="AK134" s="170"/>
      <c r="AL134" s="170"/>
      <c r="AM134" s="170"/>
      <c r="AN134" s="170"/>
      <c r="AO134" s="170"/>
      <c r="AP134" s="170"/>
      <c r="AQ134" s="170"/>
      <c r="AR134" s="170"/>
      <c r="AS134" s="170"/>
      <c r="AT134" s="170"/>
      <c r="AU134" s="184"/>
    </row>
    <row r="135" spans="1:47" ht="60" customHeight="1" x14ac:dyDescent="0.35">
      <c r="A135" s="180" t="s">
        <v>2659</v>
      </c>
      <c r="B135" s="154" t="s">
        <v>2766</v>
      </c>
      <c r="C135" s="155" t="s">
        <v>2772</v>
      </c>
      <c r="D135" s="158" t="s">
        <v>2773</v>
      </c>
      <c r="E135" s="161" t="s">
        <v>2774</v>
      </c>
      <c r="F135" s="164" t="s">
        <v>2440</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2659</v>
      </c>
      <c r="B136" s="154" t="s">
        <v>2766</v>
      </c>
      <c r="C136" s="155" t="s">
        <v>2775</v>
      </c>
      <c r="D136" s="158" t="s">
        <v>2776</v>
      </c>
      <c r="E136" s="161" t="s">
        <v>2777</v>
      </c>
      <c r="F136" s="164" t="s">
        <v>2436</v>
      </c>
      <c r="G136" s="167" t="str">
        <f>IF(COUNTIF(H136:AU136,"&lt;&gt;")=0,"",SUMPRODUCT(((Recommendations[ImplStatus]="Implemented")+(Recommendations[ImplStatus]="Compensated"))*ISNUMBER(MATCH(Recommendations[Id],H136:AU136,0)))/COUNTIF(H136:AU136,"&lt;&gt;"))</f>
        <v/>
      </c>
      <c r="H136" s="170"/>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2659</v>
      </c>
      <c r="B137" s="154" t="s">
        <v>2766</v>
      </c>
      <c r="C137" s="155" t="s">
        <v>2778</v>
      </c>
      <c r="D137" s="158" t="s">
        <v>2779</v>
      </c>
      <c r="E137" s="161" t="s">
        <v>2780</v>
      </c>
      <c r="F137" s="164" t="s">
        <v>21</v>
      </c>
      <c r="G137" s="167">
        <f>IF(COUNTIF(H137:AU137,"&lt;&gt;")=0,"",SUMPRODUCT(((Recommendations[ImplStatus]="Implemented")+(Recommendations[ImplStatus]="Compensated"))*ISNUMBER(MATCH(Recommendations[Id],H137:AU137,0)))/COUNTIF(H137:AU137,"&lt;&gt;"))</f>
        <v>0</v>
      </c>
      <c r="H137" s="170" t="s">
        <v>76</v>
      </c>
      <c r="I137" s="170" t="s">
        <v>315</v>
      </c>
      <c r="J137" s="170" t="s">
        <v>320</v>
      </c>
      <c r="K137" s="170" t="s">
        <v>438</v>
      </c>
      <c r="L137" s="170" t="s">
        <v>448</v>
      </c>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2659</v>
      </c>
      <c r="B138" s="153" t="s">
        <v>2076</v>
      </c>
      <c r="C138" s="151" t="s">
        <v>2781</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2659</v>
      </c>
      <c r="B139" s="154" t="s">
        <v>2076</v>
      </c>
      <c r="C139" s="155" t="s">
        <v>2782</v>
      </c>
      <c r="D139" s="158" t="s">
        <v>2783</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2659</v>
      </c>
      <c r="B140" s="154" t="s">
        <v>2076</v>
      </c>
      <c r="C140" s="155" t="s">
        <v>2784</v>
      </c>
      <c r="D140" s="158" t="s">
        <v>2785</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2659</v>
      </c>
      <c r="B141" s="153" t="s">
        <v>2786</v>
      </c>
      <c r="C141" s="151" t="s">
        <v>2787</v>
      </c>
      <c r="D141" s="157" t="s">
        <v>2788</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2659</v>
      </c>
      <c r="B142" s="154" t="s">
        <v>2786</v>
      </c>
      <c r="C142" s="155" t="s">
        <v>2789</v>
      </c>
      <c r="D142" s="158" t="s">
        <v>2790</v>
      </c>
      <c r="E142" s="161" t="s">
        <v>2791</v>
      </c>
      <c r="F142" s="164" t="s">
        <v>2436</v>
      </c>
      <c r="G142" s="167">
        <f>IF(COUNTIF(H142:AU142,"&lt;&gt;")=0,"",SUMPRODUCT(((Recommendations[ImplStatus]="Implemented")+(Recommendations[ImplStatus]="Compensated"))*ISNUMBER(MATCH(Recommendations[Id],H142:AU142,0)))/COUNTIF(H142:AU142,"&lt;&gt;"))</f>
        <v>0</v>
      </c>
      <c r="H142" s="170" t="s">
        <v>133</v>
      </c>
      <c r="I142" s="170"/>
      <c r="J142" s="170"/>
      <c r="K142" s="170"/>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c r="AT142" s="170"/>
      <c r="AU142" s="184"/>
    </row>
    <row r="143" spans="1:47" ht="60" customHeight="1" x14ac:dyDescent="0.35">
      <c r="A143" s="180" t="s">
        <v>2659</v>
      </c>
      <c r="B143" s="154" t="s">
        <v>2786</v>
      </c>
      <c r="C143" s="155" t="s">
        <v>2792</v>
      </c>
      <c r="D143" s="158" t="s">
        <v>2793</v>
      </c>
      <c r="E143" s="161" t="s">
        <v>2794</v>
      </c>
      <c r="F143" s="164" t="s">
        <v>2436</v>
      </c>
      <c r="G143" s="167">
        <f>IF(COUNTIF(H143:AU143,"&lt;&gt;")=0,"",SUMPRODUCT(((Recommendations[ImplStatus]="Implemented")+(Recommendations[ImplStatus]="Compensated"))*ISNUMBER(MATCH(Recommendations[Id],H143:AU143,0)))/COUNTIF(H143:AU143,"&lt;&gt;"))</f>
        <v>0</v>
      </c>
      <c r="H143" s="170" t="s">
        <v>143</v>
      </c>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2659</v>
      </c>
      <c r="B144" s="154" t="s">
        <v>2786</v>
      </c>
      <c r="C144" s="155" t="s">
        <v>2795</v>
      </c>
      <c r="D144" s="158" t="s">
        <v>2796</v>
      </c>
      <c r="E144" s="161" t="s">
        <v>2797</v>
      </c>
      <c r="F144" s="164" t="s">
        <v>2440</v>
      </c>
      <c r="G144" s="167" t="str">
        <f>IF(COUNTIF(H144:AU144,"&lt;&gt;")=0,"",SUMPRODUCT(((Recommendations[ImplStatus]="Implemented")+(Recommendations[ImplStatus]="Compensated"))*ISNUMBER(MATCH(Recommendations[Id],H144:AU144,0)))/COUNTIF(H144:AU144,"&lt;&gt;"))</f>
        <v/>
      </c>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2659</v>
      </c>
      <c r="B145" s="154" t="s">
        <v>2786</v>
      </c>
      <c r="C145" s="155" t="s">
        <v>2798</v>
      </c>
      <c r="D145" s="158" t="s">
        <v>2799</v>
      </c>
      <c r="E145" s="161" t="s">
        <v>2800</v>
      </c>
      <c r="F145" s="164" t="s">
        <v>2436</v>
      </c>
      <c r="G145" s="167">
        <f>IF(COUNTIF(H145:AU145,"&lt;&gt;")=0,"",SUMPRODUCT(((Recommendations[ImplStatus]="Implemented")+(Recommendations[ImplStatus]="Compensated"))*ISNUMBER(MATCH(Recommendations[Id],H145:AU145,0)))/COUNTIF(H145:AU145,"&lt;&gt;"))</f>
        <v>0</v>
      </c>
      <c r="H145" s="170" t="s">
        <v>14</v>
      </c>
      <c r="I145" s="170" t="s">
        <v>153</v>
      </c>
      <c r="J145" s="170" t="s">
        <v>291</v>
      </c>
      <c r="K145" s="170" t="s">
        <v>348</v>
      </c>
      <c r="L145" s="170" t="s">
        <v>353</v>
      </c>
      <c r="M145" s="170" t="s">
        <v>407</v>
      </c>
      <c r="N145" s="170" t="s">
        <v>413</v>
      </c>
      <c r="O145" s="170" t="s">
        <v>453</v>
      </c>
      <c r="P145" s="170" t="s">
        <v>473</v>
      </c>
      <c r="Q145" s="170"/>
      <c r="R145" s="170"/>
      <c r="S145" s="170"/>
      <c r="T145" s="170"/>
      <c r="U145" s="170"/>
      <c r="V145" s="170"/>
      <c r="W145" s="170"/>
      <c r="X145" s="170"/>
      <c r="Y145" s="170"/>
      <c r="Z145" s="170"/>
      <c r="AA145" s="170"/>
      <c r="AB145" s="170"/>
      <c r="AC145" s="170"/>
      <c r="AD145" s="170"/>
      <c r="AE145" s="170"/>
      <c r="AF145" s="170"/>
      <c r="AG145" s="170"/>
      <c r="AH145" s="170"/>
      <c r="AI145" s="170"/>
      <c r="AJ145" s="170"/>
      <c r="AK145" s="170"/>
      <c r="AL145" s="170"/>
      <c r="AM145" s="170"/>
      <c r="AN145" s="170"/>
      <c r="AO145" s="170"/>
      <c r="AP145" s="170"/>
      <c r="AQ145" s="170"/>
      <c r="AR145" s="170"/>
      <c r="AS145" s="170"/>
      <c r="AT145" s="170"/>
      <c r="AU145" s="184"/>
    </row>
    <row r="146" spans="1:47" ht="60" customHeight="1" x14ac:dyDescent="0.35">
      <c r="A146" s="180" t="s">
        <v>2659</v>
      </c>
      <c r="B146" s="154" t="s">
        <v>2786</v>
      </c>
      <c r="C146" s="155" t="s">
        <v>2801</v>
      </c>
      <c r="D146" s="158" t="s">
        <v>2802</v>
      </c>
      <c r="E146" s="161" t="s">
        <v>2803</v>
      </c>
      <c r="F146" s="164" t="s">
        <v>2436</v>
      </c>
      <c r="G146" s="167" t="str">
        <f>IF(COUNTIF(H146:AU146,"&lt;&gt;")=0,"",SUMPRODUCT(((Recommendations[ImplStatus]="Implemented")+(Recommendations[ImplStatus]="Compensated"))*ISNUMBER(MATCH(Recommendations[Id],H146:AU146,0)))/COUNTIF(H146:AU146,"&lt;&gt;"))</f>
        <v/>
      </c>
      <c r="H146" s="170"/>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2659</v>
      </c>
      <c r="B147" s="154" t="s">
        <v>2786</v>
      </c>
      <c r="C147" s="155" t="s">
        <v>2804</v>
      </c>
      <c r="D147" s="158" t="s">
        <v>2805</v>
      </c>
      <c r="E147" s="161" t="s">
        <v>2806</v>
      </c>
      <c r="F147" s="164" t="s">
        <v>2436</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2659</v>
      </c>
      <c r="B148" s="153" t="s">
        <v>2807</v>
      </c>
      <c r="C148" s="151" t="s">
        <v>2808</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2659</v>
      </c>
      <c r="B149" s="154" t="s">
        <v>2807</v>
      </c>
      <c r="C149" s="155" t="s">
        <v>2809</v>
      </c>
      <c r="D149" s="158" t="s">
        <v>2810</v>
      </c>
      <c r="E149" s="161"/>
      <c r="F149" s="164" t="s">
        <v>21</v>
      </c>
      <c r="G149" s="167">
        <f>IF(COUNTIF(H149:AU149,"&lt;&gt;")=0,"",SUMPRODUCT(((Recommendations[ImplStatus]="Implemented")+(Recommendations[ImplStatus]="Compensated"))*ISNUMBER(MATCH(Recommendations[Id],H149:AU149,0)))/COUNTIF(H149:AU149,"&lt;&gt;"))</f>
        <v>0</v>
      </c>
      <c r="H149" s="170" t="s">
        <v>102</v>
      </c>
      <c r="I149" s="170" t="s">
        <v>117</v>
      </c>
      <c r="J149" s="170" t="s">
        <v>123</v>
      </c>
      <c r="K149" s="170" t="s">
        <v>128</v>
      </c>
      <c r="L149" s="170" t="s">
        <v>163</v>
      </c>
      <c r="M149" s="170" t="s">
        <v>418</v>
      </c>
      <c r="N149" s="170" t="s">
        <v>423</v>
      </c>
      <c r="O149" s="170" t="s">
        <v>428</v>
      </c>
      <c r="P149" s="170"/>
      <c r="Q149" s="170"/>
      <c r="R149" s="170"/>
      <c r="S149" s="170"/>
      <c r="T149" s="170"/>
      <c r="U149" s="170"/>
      <c r="V149" s="170"/>
      <c r="W149" s="170"/>
      <c r="X149" s="170"/>
      <c r="Y149" s="170"/>
      <c r="Z149" s="170"/>
      <c r="AA149" s="170"/>
      <c r="AB149" s="170"/>
      <c r="AC149" s="170"/>
      <c r="AD149" s="170"/>
      <c r="AE149" s="170"/>
      <c r="AF149" s="170"/>
      <c r="AG149" s="170"/>
      <c r="AH149" s="170"/>
      <c r="AI149" s="170"/>
      <c r="AJ149" s="170"/>
      <c r="AK149" s="170"/>
      <c r="AL149" s="170"/>
      <c r="AM149" s="170"/>
      <c r="AN149" s="170"/>
      <c r="AO149" s="170"/>
      <c r="AP149" s="170"/>
      <c r="AQ149" s="170"/>
      <c r="AR149" s="170"/>
      <c r="AS149" s="170"/>
      <c r="AT149" s="170"/>
      <c r="AU149" s="184"/>
    </row>
    <row r="150" spans="1:47" ht="60" customHeight="1" x14ac:dyDescent="0.35">
      <c r="A150" s="180" t="s">
        <v>2659</v>
      </c>
      <c r="B150" s="154" t="s">
        <v>2807</v>
      </c>
      <c r="C150" s="155" t="s">
        <v>2811</v>
      </c>
      <c r="D150" s="158" t="s">
        <v>2812</v>
      </c>
      <c r="E150" s="161"/>
      <c r="F150" s="164" t="s">
        <v>21</v>
      </c>
      <c r="G150" s="167" t="str">
        <f>IF(COUNTIF(H150:AU150,"&lt;&gt;")=0,"",SUMPRODUCT(((Recommendations[ImplStatus]="Implemented")+(Recommendations[ImplStatus]="Compensated"))*ISNUMBER(MATCH(Recommendations[Id],H150:AU150,0)))/COUNTIF(H150:AU150,"&lt;&gt;"))</f>
        <v/>
      </c>
      <c r="H150" s="170"/>
      <c r="I150" s="170"/>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2659</v>
      </c>
      <c r="B151" s="154" t="s">
        <v>2807</v>
      </c>
      <c r="C151" s="155" t="s">
        <v>2813</v>
      </c>
      <c r="D151" s="158" t="s">
        <v>2814</v>
      </c>
      <c r="E151" s="161"/>
      <c r="F151" s="164" t="s">
        <v>21</v>
      </c>
      <c r="G151" s="167" t="str">
        <f>IF(COUNTIF(H151:AU151,"&lt;&gt;")=0,"",SUMPRODUCT(((Recommendations[ImplStatus]="Implemented")+(Recommendations[ImplStatus]="Compensated"))*ISNUMBER(MATCH(Recommendations[Id],H151:AU151,0)))/COUNTIF(H151:AU151,"&lt;&gt;"))</f>
        <v/>
      </c>
      <c r="H151" s="170"/>
      <c r="I151" s="170"/>
      <c r="J151" s="170"/>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2659</v>
      </c>
      <c r="B152" s="154" t="s">
        <v>2807</v>
      </c>
      <c r="C152" s="155" t="s">
        <v>2815</v>
      </c>
      <c r="D152" s="158" t="s">
        <v>2816</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2659</v>
      </c>
      <c r="B153" s="154" t="s">
        <v>2807</v>
      </c>
      <c r="C153" s="155" t="s">
        <v>2817</v>
      </c>
      <c r="D153" s="158" t="s">
        <v>2818</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2819</v>
      </c>
      <c r="B154" s="152" t="s">
        <v>21</v>
      </c>
      <c r="C154" s="150" t="s">
        <v>2820</v>
      </c>
      <c r="D154" s="156" t="s">
        <v>2821</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2819</v>
      </c>
      <c r="B155" s="153" t="s">
        <v>2822</v>
      </c>
      <c r="C155" s="151" t="s">
        <v>2823</v>
      </c>
      <c r="D155" s="157" t="s">
        <v>2824</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2819</v>
      </c>
      <c r="B156" s="154" t="s">
        <v>2822</v>
      </c>
      <c r="C156" s="155" t="s">
        <v>2825</v>
      </c>
      <c r="D156" s="158" t="s">
        <v>2826</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2819</v>
      </c>
      <c r="B157" s="154" t="s">
        <v>2822</v>
      </c>
      <c r="C157" s="155" t="s">
        <v>2827</v>
      </c>
      <c r="D157" s="158" t="s">
        <v>2828</v>
      </c>
      <c r="E157" s="161" t="s">
        <v>2829</v>
      </c>
      <c r="F157" s="164" t="s">
        <v>2436</v>
      </c>
      <c r="G157" s="167" t="str">
        <f>IF(COUNTIF(H157:AU157,"&lt;&gt;")=0,"",SUMPRODUCT(((Recommendations[ImplStatus]="Implemented")+(Recommendations[ImplStatus]="Compensated"))*ISNUMBER(MATCH(Recommendations[Id],H157:AU157,0)))/COUNTIF(H157:AU157,"&lt;&gt;"))</f>
        <v/>
      </c>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2819</v>
      </c>
      <c r="B158" s="154" t="s">
        <v>2822</v>
      </c>
      <c r="C158" s="155" t="s">
        <v>2830</v>
      </c>
      <c r="D158" s="158" t="s">
        <v>2831</v>
      </c>
      <c r="E158" s="161" t="s">
        <v>2832</v>
      </c>
      <c r="F158" s="164" t="s">
        <v>2436</v>
      </c>
      <c r="G158" s="167">
        <f>IF(COUNTIF(H158:AU158,"&lt;&gt;")=0,"",SUMPRODUCT(((Recommendations[ImplStatus]="Implemented")+(Recommendations[ImplStatus]="Compensated"))*ISNUMBER(MATCH(Recommendations[Id],H158:AU158,0)))/COUNTIF(H158:AU158,"&lt;&gt;"))</f>
        <v>0</v>
      </c>
      <c r="H158" s="170" t="s">
        <v>123</v>
      </c>
      <c r="I158" s="170" t="s">
        <v>128</v>
      </c>
      <c r="J158" s="170" t="s">
        <v>418</v>
      </c>
      <c r="K158" s="170" t="s">
        <v>423</v>
      </c>
      <c r="L158" s="170" t="s">
        <v>428</v>
      </c>
      <c r="M158" s="170"/>
      <c r="N158" s="170"/>
      <c r="O158" s="170"/>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2819</v>
      </c>
      <c r="B159" s="154" t="s">
        <v>2822</v>
      </c>
      <c r="C159" s="155" t="s">
        <v>2833</v>
      </c>
      <c r="D159" s="158" t="s">
        <v>2834</v>
      </c>
      <c r="E159" s="161" t="s">
        <v>2835</v>
      </c>
      <c r="F159" s="164" t="s">
        <v>2436</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2819</v>
      </c>
      <c r="B160" s="154" t="s">
        <v>2822</v>
      </c>
      <c r="C160" s="155" t="s">
        <v>2836</v>
      </c>
      <c r="D160" s="158" t="s">
        <v>2837</v>
      </c>
      <c r="E160" s="161"/>
      <c r="F160" s="164" t="s">
        <v>21</v>
      </c>
      <c r="G160" s="167" t="str">
        <f>IF(COUNTIF(H160:AU160,"&lt;&gt;")=0,"",SUMPRODUCT(((Recommendations[ImplStatus]="Implemented")+(Recommendations[ImplStatus]="Compensated"))*ISNUMBER(MATCH(Recommendations[Id],H160:AU160,0)))/COUNTIF(H160:AU160,"&lt;&gt;"))</f>
        <v/>
      </c>
      <c r="H160" s="170"/>
      <c r="I160" s="170"/>
      <c r="J160" s="170"/>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2819</v>
      </c>
      <c r="B161" s="154" t="s">
        <v>2822</v>
      </c>
      <c r="C161" s="155" t="s">
        <v>2838</v>
      </c>
      <c r="D161" s="158" t="s">
        <v>2839</v>
      </c>
      <c r="E161" s="161" t="s">
        <v>2840</v>
      </c>
      <c r="F161" s="164" t="s">
        <v>2436</v>
      </c>
      <c r="G161" s="167" t="str">
        <f>IF(COUNTIF(H161:AU161,"&lt;&gt;")=0,"",SUMPRODUCT(((Recommendations[ImplStatus]="Implemented")+(Recommendations[ImplStatus]="Compensated"))*ISNUMBER(MATCH(Recommendations[Id],H161:AU161,0)))/COUNTIF(H161:AU161,"&lt;&gt;"))</f>
        <v/>
      </c>
      <c r="H161" s="170"/>
      <c r="I161" s="170"/>
      <c r="J161" s="170"/>
      <c r="K161" s="170"/>
      <c r="L161" s="170"/>
      <c r="M161" s="170"/>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2819</v>
      </c>
      <c r="B162" s="154" t="s">
        <v>2822</v>
      </c>
      <c r="C162" s="155" t="s">
        <v>2841</v>
      </c>
      <c r="D162" s="158" t="s">
        <v>2842</v>
      </c>
      <c r="E162" s="161" t="s">
        <v>2843</v>
      </c>
      <c r="F162" s="164" t="s">
        <v>2436</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2819</v>
      </c>
      <c r="B163" s="154" t="s">
        <v>2822</v>
      </c>
      <c r="C163" s="155" t="s">
        <v>2844</v>
      </c>
      <c r="D163" s="158" t="s">
        <v>2845</v>
      </c>
      <c r="E163" s="161" t="s">
        <v>2846</v>
      </c>
      <c r="F163" s="164" t="s">
        <v>2436</v>
      </c>
      <c r="G163" s="167" t="str">
        <f>IF(COUNTIF(H163:AU163,"&lt;&gt;")=0,"",SUMPRODUCT(((Recommendations[ImplStatus]="Implemented")+(Recommendations[ImplStatus]="Compensated"))*ISNUMBER(MATCH(Recommendations[Id],H163:AU163,0)))/COUNTIF(H163:AU163,"&lt;&gt;"))</f>
        <v/>
      </c>
      <c r="H163" s="170"/>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2819</v>
      </c>
      <c r="B164" s="153" t="s">
        <v>2240</v>
      </c>
      <c r="C164" s="151" t="s">
        <v>2847</v>
      </c>
      <c r="D164" s="157" t="s">
        <v>2848</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2819</v>
      </c>
      <c r="B165" s="154" t="s">
        <v>2240</v>
      </c>
      <c r="C165" s="155" t="s">
        <v>2849</v>
      </c>
      <c r="D165" s="158" t="s">
        <v>2850</v>
      </c>
      <c r="E165" s="161" t="s">
        <v>2851</v>
      </c>
      <c r="F165" s="164" t="s">
        <v>2436</v>
      </c>
      <c r="G165" s="167">
        <f>IF(COUNTIF(H165:AU165,"&lt;&gt;")=0,"",SUMPRODUCT(((Recommendations[ImplStatus]="Implemented")+(Recommendations[ImplStatus]="Compensated"))*ISNUMBER(MATCH(Recommendations[Id],H165:AU165,0)))/COUNTIF(H165:AU165,"&lt;&gt;"))</f>
        <v>0</v>
      </c>
      <c r="H165" s="170" t="s">
        <v>276</v>
      </c>
      <c r="I165" s="170" t="s">
        <v>281</v>
      </c>
      <c r="J165" s="170" t="s">
        <v>286</v>
      </c>
      <c r="K165" s="170" t="s">
        <v>315</v>
      </c>
      <c r="L165" s="170" t="s">
        <v>320</v>
      </c>
      <c r="M165" s="170" t="s">
        <v>438</v>
      </c>
      <c r="N165" s="170" t="s">
        <v>448</v>
      </c>
      <c r="O165" s="170" t="s">
        <v>468</v>
      </c>
      <c r="P165" s="170"/>
      <c r="Q165" s="170"/>
      <c r="R165" s="170"/>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2819</v>
      </c>
      <c r="B166" s="154" t="s">
        <v>2240</v>
      </c>
      <c r="C166" s="155" t="s">
        <v>2852</v>
      </c>
      <c r="D166" s="158" t="s">
        <v>2853</v>
      </c>
      <c r="E166" s="161" t="s">
        <v>2854</v>
      </c>
      <c r="F166" s="164" t="s">
        <v>2436</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2819</v>
      </c>
      <c r="B167" s="154" t="s">
        <v>2240</v>
      </c>
      <c r="C167" s="155" t="s">
        <v>2855</v>
      </c>
      <c r="D167" s="158" t="s">
        <v>2856</v>
      </c>
      <c r="E167" s="161" t="s">
        <v>2857</v>
      </c>
      <c r="F167" s="164" t="s">
        <v>2436</v>
      </c>
      <c r="G167" s="167" t="str">
        <f>IF(COUNTIF(H167:AU167,"&lt;&gt;")=0,"",SUMPRODUCT(((Recommendations[ImplStatus]="Implemented")+(Recommendations[ImplStatus]="Compensated"))*ISNUMBER(MATCH(Recommendations[Id],H167:AU167,0)))/COUNTIF(H167:AU167,"&lt;&gt;"))</f>
        <v/>
      </c>
      <c r="H167" s="170"/>
      <c r="I167" s="170"/>
      <c r="J167" s="170"/>
      <c r="K167" s="170"/>
      <c r="L167" s="170"/>
      <c r="M167" s="170"/>
      <c r="N167" s="170"/>
      <c r="O167" s="170"/>
      <c r="P167" s="170"/>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170"/>
      <c r="AM167" s="170"/>
      <c r="AN167" s="170"/>
      <c r="AO167" s="170"/>
      <c r="AP167" s="170"/>
      <c r="AQ167" s="170"/>
      <c r="AR167" s="170"/>
      <c r="AS167" s="170"/>
      <c r="AT167" s="170"/>
      <c r="AU167" s="184"/>
    </row>
    <row r="168" spans="1:47" ht="60" customHeight="1" x14ac:dyDescent="0.35">
      <c r="A168" s="180" t="s">
        <v>2819</v>
      </c>
      <c r="B168" s="154" t="s">
        <v>2240</v>
      </c>
      <c r="C168" s="155" t="s">
        <v>2858</v>
      </c>
      <c r="D168" s="158" t="s">
        <v>2859</v>
      </c>
      <c r="E168" s="161"/>
      <c r="F168" s="164" t="s">
        <v>21</v>
      </c>
      <c r="G168" s="167">
        <f>IF(COUNTIF(H168:AU168,"&lt;&gt;")=0,"",SUMPRODUCT(((Recommendations[ImplStatus]="Implemented")+(Recommendations[ImplStatus]="Compensated"))*ISNUMBER(MATCH(Recommendations[Id],H168:AU168,0)))/COUNTIF(H168:AU168,"&lt;&gt;"))</f>
        <v>0</v>
      </c>
      <c r="H168" s="170" t="s">
        <v>241</v>
      </c>
      <c r="I168" s="170" t="s">
        <v>246</v>
      </c>
      <c r="J168" s="170" t="s">
        <v>251</v>
      </c>
      <c r="K168" s="170" t="s">
        <v>325</v>
      </c>
      <c r="L168" s="170" t="s">
        <v>330</v>
      </c>
      <c r="M168" s="170" t="s">
        <v>335</v>
      </c>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2819</v>
      </c>
      <c r="B169" s="154" t="s">
        <v>2240</v>
      </c>
      <c r="C169" s="155" t="s">
        <v>2860</v>
      </c>
      <c r="D169" s="158" t="s">
        <v>2861</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2819</v>
      </c>
      <c r="B170" s="154" t="s">
        <v>2240</v>
      </c>
      <c r="C170" s="155" t="s">
        <v>2862</v>
      </c>
      <c r="D170" s="158" t="s">
        <v>2863</v>
      </c>
      <c r="E170" s="161" t="s">
        <v>2864</v>
      </c>
      <c r="F170" s="164" t="s">
        <v>2450</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2819</v>
      </c>
      <c r="B171" s="154" t="s">
        <v>2240</v>
      </c>
      <c r="C171" s="155" t="s">
        <v>2865</v>
      </c>
      <c r="D171" s="158" t="s">
        <v>2866</v>
      </c>
      <c r="E171" s="161"/>
      <c r="F171" s="164" t="s">
        <v>21</v>
      </c>
      <c r="G171" s="167" t="str">
        <f>IF(COUNTIF(H171:AU171,"&lt;&gt;")=0,"",SUMPRODUCT(((Recommendations[ImplStatus]="Implemented")+(Recommendations[ImplStatus]="Compensated"))*ISNUMBER(MATCH(Recommendations[Id],H171:AU171,0)))/COUNTIF(H171:AU171,"&lt;&gt;"))</f>
        <v/>
      </c>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2819</v>
      </c>
      <c r="B172" s="154" t="s">
        <v>2240</v>
      </c>
      <c r="C172" s="155" t="s">
        <v>2867</v>
      </c>
      <c r="D172" s="158" t="s">
        <v>2868</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2819</v>
      </c>
      <c r="B173" s="154" t="s">
        <v>2240</v>
      </c>
      <c r="C173" s="155" t="s">
        <v>2869</v>
      </c>
      <c r="D173" s="158" t="s">
        <v>2870</v>
      </c>
      <c r="E173" s="161" t="s">
        <v>2871</v>
      </c>
      <c r="F173" s="164" t="s">
        <v>2436</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2819</v>
      </c>
      <c r="B174" s="153" t="s">
        <v>2872</v>
      </c>
      <c r="C174" s="151" t="s">
        <v>2873</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2819</v>
      </c>
      <c r="B175" s="154" t="s">
        <v>2872</v>
      </c>
      <c r="C175" s="155" t="s">
        <v>2874</v>
      </c>
      <c r="D175" s="158" t="s">
        <v>2875</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2819</v>
      </c>
      <c r="B176" s="154" t="s">
        <v>2872</v>
      </c>
      <c r="C176" s="155" t="s">
        <v>2876</v>
      </c>
      <c r="D176" s="158" t="s">
        <v>2877</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2819</v>
      </c>
      <c r="B177" s="154" t="s">
        <v>2872</v>
      </c>
      <c r="C177" s="155" t="s">
        <v>2878</v>
      </c>
      <c r="D177" s="158" t="s">
        <v>2879</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2819</v>
      </c>
      <c r="B178" s="154" t="s">
        <v>2872</v>
      </c>
      <c r="C178" s="155" t="s">
        <v>2880</v>
      </c>
      <c r="D178" s="158" t="s">
        <v>2881</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2819</v>
      </c>
      <c r="B179" s="154" t="s">
        <v>2872</v>
      </c>
      <c r="C179" s="155" t="s">
        <v>2882</v>
      </c>
      <c r="D179" s="158" t="s">
        <v>2883</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2884</v>
      </c>
      <c r="B180" s="152" t="s">
        <v>21</v>
      </c>
      <c r="C180" s="150" t="s">
        <v>2885</v>
      </c>
      <c r="D180" s="156" t="s">
        <v>2886</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2884</v>
      </c>
      <c r="B181" s="153" t="s">
        <v>2887</v>
      </c>
      <c r="C181" s="151" t="s">
        <v>2888</v>
      </c>
      <c r="D181" s="157" t="s">
        <v>2889</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2884</v>
      </c>
      <c r="B182" s="154" t="s">
        <v>2887</v>
      </c>
      <c r="C182" s="155" t="s">
        <v>2890</v>
      </c>
      <c r="D182" s="158" t="s">
        <v>2891</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2884</v>
      </c>
      <c r="B183" s="154" t="s">
        <v>2887</v>
      </c>
      <c r="C183" s="155" t="s">
        <v>2892</v>
      </c>
      <c r="D183" s="158" t="s">
        <v>2893</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2884</v>
      </c>
      <c r="B184" s="154" t="s">
        <v>2887</v>
      </c>
      <c r="C184" s="155" t="s">
        <v>2894</v>
      </c>
      <c r="D184" s="158" t="s">
        <v>2895</v>
      </c>
      <c r="E184" s="161" t="s">
        <v>2896</v>
      </c>
      <c r="F184" s="164" t="s">
        <v>2436</v>
      </c>
      <c r="G184" s="167" t="str">
        <f>IF(COUNTIF(H184:AU184,"&lt;&gt;")=0,"",SUMPRODUCT(((Recommendations[ImplStatus]="Implemented")+(Recommendations[ImplStatus]="Compensated"))*ISNUMBER(MATCH(Recommendations[Id],H184:AU184,0)))/COUNTIF(H184:AU184,"&lt;&gt;"))</f>
        <v/>
      </c>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2884</v>
      </c>
      <c r="B185" s="154" t="s">
        <v>2887</v>
      </c>
      <c r="C185" s="155" t="s">
        <v>2897</v>
      </c>
      <c r="D185" s="158" t="s">
        <v>2898</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2884</v>
      </c>
      <c r="B186" s="154" t="s">
        <v>2887</v>
      </c>
      <c r="C186" s="155" t="s">
        <v>2899</v>
      </c>
      <c r="D186" s="158" t="s">
        <v>2900</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2884</v>
      </c>
      <c r="B187" s="154" t="s">
        <v>2887</v>
      </c>
      <c r="C187" s="155" t="s">
        <v>2901</v>
      </c>
      <c r="D187" s="158" t="s">
        <v>2902</v>
      </c>
      <c r="E187" s="161" t="s">
        <v>2903</v>
      </c>
      <c r="F187" s="164" t="s">
        <v>2436</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2884</v>
      </c>
      <c r="B188" s="154" t="s">
        <v>2887</v>
      </c>
      <c r="C188" s="155" t="s">
        <v>2904</v>
      </c>
      <c r="D188" s="158" t="s">
        <v>2905</v>
      </c>
      <c r="E188" s="161" t="s">
        <v>2906</v>
      </c>
      <c r="F188" s="164" t="s">
        <v>2436</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2884</v>
      </c>
      <c r="B189" s="154" t="s">
        <v>2887</v>
      </c>
      <c r="C189" s="155" t="s">
        <v>2907</v>
      </c>
      <c r="D189" s="158" t="s">
        <v>2908</v>
      </c>
      <c r="E189" s="161" t="s">
        <v>2909</v>
      </c>
      <c r="F189" s="164" t="s">
        <v>2436</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2884</v>
      </c>
      <c r="B190" s="153" t="s">
        <v>2910</v>
      </c>
      <c r="C190" s="151" t="s">
        <v>2911</v>
      </c>
      <c r="D190" s="157" t="s">
        <v>2912</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2884</v>
      </c>
      <c r="B191" s="154" t="s">
        <v>2910</v>
      </c>
      <c r="C191" s="155" t="s">
        <v>2913</v>
      </c>
      <c r="D191" s="158" t="s">
        <v>2914</v>
      </c>
      <c r="E191" s="161"/>
      <c r="F191" s="164" t="s">
        <v>21</v>
      </c>
      <c r="G191" s="167" t="str">
        <f>IF(COUNTIF(H191:AU191,"&lt;&gt;")=0,"",SUMPRODUCT(((Recommendations[ImplStatus]="Implemented")+(Recommendations[ImplStatus]="Compensated"))*ISNUMBER(MATCH(Recommendations[Id],H191:AU191,0)))/COUNTIF(H191:AU191,"&lt;&gt;"))</f>
        <v/>
      </c>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2884</v>
      </c>
      <c r="B192" s="154" t="s">
        <v>2910</v>
      </c>
      <c r="C192" s="155" t="s">
        <v>2915</v>
      </c>
      <c r="D192" s="158" t="s">
        <v>2916</v>
      </c>
      <c r="E192" s="161" t="s">
        <v>2917</v>
      </c>
      <c r="F192" s="164" t="s">
        <v>2440</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2884</v>
      </c>
      <c r="B193" s="154" t="s">
        <v>2910</v>
      </c>
      <c r="C193" s="155" t="s">
        <v>2918</v>
      </c>
      <c r="D193" s="158" t="s">
        <v>2919</v>
      </c>
      <c r="E193" s="161" t="s">
        <v>2920</v>
      </c>
      <c r="F193" s="164" t="s">
        <v>2440</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2884</v>
      </c>
      <c r="B194" s="154" t="s">
        <v>2910</v>
      </c>
      <c r="C194" s="155" t="s">
        <v>2921</v>
      </c>
      <c r="D194" s="158" t="s">
        <v>2922</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2884</v>
      </c>
      <c r="B195" s="154" t="s">
        <v>2910</v>
      </c>
      <c r="C195" s="155" t="s">
        <v>2923</v>
      </c>
      <c r="D195" s="158" t="s">
        <v>2924</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2884</v>
      </c>
      <c r="B196" s="153" t="s">
        <v>2925</v>
      </c>
      <c r="C196" s="151" t="s">
        <v>2926</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2884</v>
      </c>
      <c r="B197" s="154" t="s">
        <v>2925</v>
      </c>
      <c r="C197" s="155" t="s">
        <v>2927</v>
      </c>
      <c r="D197" s="158" t="s">
        <v>2928</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2884</v>
      </c>
      <c r="B198" s="154" t="s">
        <v>2925</v>
      </c>
      <c r="C198" s="155" t="s">
        <v>2929</v>
      </c>
      <c r="D198" s="158" t="s">
        <v>2930</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2884</v>
      </c>
      <c r="B199" s="153" t="s">
        <v>2931</v>
      </c>
      <c r="C199" s="151" t="s">
        <v>2932</v>
      </c>
      <c r="D199" s="157" t="s">
        <v>2933</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2884</v>
      </c>
      <c r="B200" s="154" t="s">
        <v>2931</v>
      </c>
      <c r="C200" s="155" t="s">
        <v>2934</v>
      </c>
      <c r="D200" s="158" t="s">
        <v>2935</v>
      </c>
      <c r="E200" s="161" t="s">
        <v>2936</v>
      </c>
      <c r="F200" s="164" t="s">
        <v>2450</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2884</v>
      </c>
      <c r="B201" s="154" t="s">
        <v>2931</v>
      </c>
      <c r="C201" s="155" t="s">
        <v>2937</v>
      </c>
      <c r="D201" s="158" t="s">
        <v>2938</v>
      </c>
      <c r="E201" s="161" t="s">
        <v>2939</v>
      </c>
      <c r="F201" s="164" t="s">
        <v>2436</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2884</v>
      </c>
      <c r="B202" s="154" t="s">
        <v>2931</v>
      </c>
      <c r="C202" s="155" t="s">
        <v>2940</v>
      </c>
      <c r="D202" s="158" t="s">
        <v>2941</v>
      </c>
      <c r="E202" s="161" t="s">
        <v>2942</v>
      </c>
      <c r="F202" s="164" t="s">
        <v>2436</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2884</v>
      </c>
      <c r="B203" s="154" t="s">
        <v>2931</v>
      </c>
      <c r="C203" s="155" t="s">
        <v>2943</v>
      </c>
      <c r="D203" s="158" t="s">
        <v>2944</v>
      </c>
      <c r="E203" s="161" t="s">
        <v>2945</v>
      </c>
      <c r="F203" s="164" t="s">
        <v>2436</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2884</v>
      </c>
      <c r="B204" s="154" t="s">
        <v>2931</v>
      </c>
      <c r="C204" s="155" t="s">
        <v>2946</v>
      </c>
      <c r="D204" s="158" t="s">
        <v>2947</v>
      </c>
      <c r="E204" s="161" t="s">
        <v>2948</v>
      </c>
      <c r="F204" s="164" t="s">
        <v>2436</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2884</v>
      </c>
      <c r="B205" s="153" t="s">
        <v>2949</v>
      </c>
      <c r="C205" s="151" t="s">
        <v>2950</v>
      </c>
      <c r="D205" s="157" t="s">
        <v>2951</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2884</v>
      </c>
      <c r="B206" s="154" t="s">
        <v>2949</v>
      </c>
      <c r="C206" s="155" t="s">
        <v>2952</v>
      </c>
      <c r="D206" s="158" t="s">
        <v>2953</v>
      </c>
      <c r="E206" s="161" t="s">
        <v>2954</v>
      </c>
      <c r="F206" s="164" t="s">
        <v>2440</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2884</v>
      </c>
      <c r="B207" s="154" t="s">
        <v>2949</v>
      </c>
      <c r="C207" s="155" t="s">
        <v>2955</v>
      </c>
      <c r="D207" s="158" t="s">
        <v>2956</v>
      </c>
      <c r="E207" s="161" t="s">
        <v>2957</v>
      </c>
      <c r="F207" s="164" t="s">
        <v>2440</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2884</v>
      </c>
      <c r="B208" s="154" t="s">
        <v>2949</v>
      </c>
      <c r="C208" s="155" t="s">
        <v>2958</v>
      </c>
      <c r="D208" s="158" t="s">
        <v>2959</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2884</v>
      </c>
      <c r="B209" s="153" t="s">
        <v>2960</v>
      </c>
      <c r="C209" s="151" t="s">
        <v>2961</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2884</v>
      </c>
      <c r="B210" s="154" t="s">
        <v>2960</v>
      </c>
      <c r="C210" s="155" t="s">
        <v>2962</v>
      </c>
      <c r="D210" s="158" t="s">
        <v>2963</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2964</v>
      </c>
      <c r="B211" s="152" t="s">
        <v>21</v>
      </c>
      <c r="C211" s="150" t="s">
        <v>2965</v>
      </c>
      <c r="D211" s="156" t="s">
        <v>2966</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2964</v>
      </c>
      <c r="B212" s="153" t="s">
        <v>2967</v>
      </c>
      <c r="C212" s="151" t="s">
        <v>2968</v>
      </c>
      <c r="D212" s="157" t="s">
        <v>2969</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2964</v>
      </c>
      <c r="B213" s="154" t="s">
        <v>2967</v>
      </c>
      <c r="C213" s="155" t="s">
        <v>2970</v>
      </c>
      <c r="D213" s="158" t="s">
        <v>2971</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2964</v>
      </c>
      <c r="B214" s="154" t="s">
        <v>2967</v>
      </c>
      <c r="C214" s="155" t="s">
        <v>2972</v>
      </c>
      <c r="D214" s="158" t="s">
        <v>2973</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2964</v>
      </c>
      <c r="B215" s="154" t="s">
        <v>2967</v>
      </c>
      <c r="C215" s="155" t="s">
        <v>2974</v>
      </c>
      <c r="D215" s="158" t="s">
        <v>2975</v>
      </c>
      <c r="E215" s="161" t="s">
        <v>2976</v>
      </c>
      <c r="F215" s="164" t="s">
        <v>2440</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2964</v>
      </c>
      <c r="B216" s="154" t="s">
        <v>2967</v>
      </c>
      <c r="C216" s="155" t="s">
        <v>2977</v>
      </c>
      <c r="D216" s="158" t="s">
        <v>2978</v>
      </c>
      <c r="E216" s="161" t="s">
        <v>2979</v>
      </c>
      <c r="F216" s="164" t="s">
        <v>2436</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2964</v>
      </c>
      <c r="B217" s="153" t="s">
        <v>2925</v>
      </c>
      <c r="C217" s="151" t="s">
        <v>2980</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2964</v>
      </c>
      <c r="B218" s="154" t="s">
        <v>2925</v>
      </c>
      <c r="C218" s="155" t="s">
        <v>2981</v>
      </c>
      <c r="D218" s="158" t="s">
        <v>2982</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2964</v>
      </c>
      <c r="B219" s="154" t="s">
        <v>2925</v>
      </c>
      <c r="C219" s="155" t="s">
        <v>2983</v>
      </c>
      <c r="D219" s="158" t="s">
        <v>2984</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2964</v>
      </c>
      <c r="B220" s="153" t="s">
        <v>2985</v>
      </c>
      <c r="C220" s="151" t="s">
        <v>2986</v>
      </c>
      <c r="D220" s="157" t="s">
        <v>2987</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2964</v>
      </c>
      <c r="B221" s="154" t="s">
        <v>2985</v>
      </c>
      <c r="C221" s="155" t="s">
        <v>2988</v>
      </c>
      <c r="D221" s="158" t="s">
        <v>2989</v>
      </c>
      <c r="E221" s="161" t="s">
        <v>2990</v>
      </c>
      <c r="F221" s="164" t="s">
        <v>2436</v>
      </c>
      <c r="G221" s="167">
        <f>IF(COUNTIF(H221:AU221,"&lt;&gt;")=0,"",SUMPRODUCT(((Recommendations[ImplStatus]="Implemented")+(Recommendations[ImplStatus]="Compensated"))*ISNUMBER(MATCH(Recommendations[Id],H221:AU221,0)))/COUNTIF(H221:AU221,"&lt;&gt;"))</f>
        <v>0</v>
      </c>
      <c r="H221" s="170" t="s">
        <v>211</v>
      </c>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2964</v>
      </c>
      <c r="B222" s="154" t="s">
        <v>2985</v>
      </c>
      <c r="C222" s="155" t="s">
        <v>2991</v>
      </c>
      <c r="D222" s="158" t="s">
        <v>2992</v>
      </c>
      <c r="E222" s="161" t="s">
        <v>2993</v>
      </c>
      <c r="F222" s="164" t="s">
        <v>2436</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2964</v>
      </c>
      <c r="B223" s="154" t="s">
        <v>2985</v>
      </c>
      <c r="C223" s="155" t="s">
        <v>2994</v>
      </c>
      <c r="D223" s="158" t="s">
        <v>2995</v>
      </c>
      <c r="E223" s="161" t="s">
        <v>2996</v>
      </c>
      <c r="F223" s="164" t="s">
        <v>2436</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2964</v>
      </c>
      <c r="B224" s="154" t="s">
        <v>2985</v>
      </c>
      <c r="C224" s="155" t="s">
        <v>2997</v>
      </c>
      <c r="D224" s="158" t="s">
        <v>2998</v>
      </c>
      <c r="E224" s="161" t="s">
        <v>2999</v>
      </c>
      <c r="F224" s="164" t="s">
        <v>2436</v>
      </c>
      <c r="G224" s="167" t="str">
        <f>IF(COUNTIF(H224:AU224,"&lt;&gt;")=0,"",SUMPRODUCT(((Recommendations[ImplStatus]="Implemented")+(Recommendations[ImplStatus]="Compensated"))*ISNUMBER(MATCH(Recommendations[Id],H224:AU224,0)))/COUNTIF(H224:AU224,"&lt;&gt;"))</f>
        <v/>
      </c>
      <c r="H224" s="170"/>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2964</v>
      </c>
      <c r="B225" s="154" t="s">
        <v>2985</v>
      </c>
      <c r="C225" s="155" t="s">
        <v>3000</v>
      </c>
      <c r="D225" s="158" t="s">
        <v>3001</v>
      </c>
      <c r="E225" s="161" t="s">
        <v>3002</v>
      </c>
      <c r="F225" s="164" t="s">
        <v>2436</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2964</v>
      </c>
      <c r="B226" s="171" t="s">
        <v>2985</v>
      </c>
      <c r="C226" s="172" t="s">
        <v>3003</v>
      </c>
      <c r="D226" s="173" t="s">
        <v>3004</v>
      </c>
      <c r="E226" s="174" t="s">
        <v>3005</v>
      </c>
      <c r="F226" s="175" t="s">
        <v>2436</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539</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IFERROR(INDEX('Recommendations'!$H$2:$H$105, MATCH(H2,'Recommendations'!$A$2:$A$105,0))="Implemented", FALSE))</xm:f>
            <x14:dxf>
              <font>
                <color rgb="FF000000"/>
              </font>
              <fill>
                <patternFill>
                  <bgColor rgb="FF3C7D22"/>
                </patternFill>
              </fill>
            </x14:dxf>
          </x14:cfRule>
          <x14:cfRule type="expression" priority="2" id="{00000000-000E-0000-0700-000002000000}">
            <xm:f>AND(H2&lt;&gt;"", IFERROR(INDEX('Recommendations'!$H$2:$H$105, MATCH(H2,'Recommendations'!$A$2:$A$105,0))="Compensated", FALSE))</xm:f>
            <x14:dxf>
              <font>
                <color rgb="FF000000"/>
              </font>
              <fill>
                <patternFill>
                  <bgColor rgb="FFC6E0B4"/>
                </patternFill>
              </fill>
            </x14:dxf>
          </x14:cfRule>
          <x14:cfRule type="expression" priority="3" id="{00000000-000E-0000-0700-000003000000}">
            <xm:f>AND(H2&lt;&gt;"", IFERROR(INDEX('Recommendations'!$H$2:$H$105, MATCH(H2,'Recommendations'!$A$2:$A$105,0))="Testing", FALSE))</xm:f>
            <x14:dxf>
              <font>
                <color rgb="FF000000"/>
              </font>
              <fill>
                <patternFill>
                  <bgColor rgb="FFFFC000"/>
                </patternFill>
              </fill>
            </x14:dxf>
          </x14:cfRule>
          <x14:cfRule type="expression" priority="4" id="{00000000-000E-0000-0700-000004000000}">
            <xm:f>AND(H2&lt;&gt;"", IFERROR(INDEX('Recommendations'!$H$2:$H$105, MATCH(H2,'Recommendations'!$A$2:$A$105,0))="Failed", FALSE))</xm:f>
            <x14:dxf>
              <font>
                <color rgb="FF000000"/>
              </font>
              <fill>
                <patternFill>
                  <bgColor rgb="FFD82891"/>
                </patternFill>
              </fill>
            </x14:dxf>
          </x14:cfRule>
          <x14:cfRule type="expression" priority="5" id="{00000000-000E-0000-0700-000005000000}">
            <xm:f>AND(H2&lt;&gt;"", IFERROR(INDEX('Recommendations'!$H$2:$H$105, MATCH(H2,'Recommendations'!$A$2:$A$105,0))="Risk Accepted", FALSE))</xm:f>
            <x14:dxf>
              <font>
                <color rgb="FF000000"/>
              </font>
              <fill>
                <patternFill>
                  <bgColor rgb="FFD9D9D9"/>
                </patternFill>
              </fill>
            </x14:dxf>
          </x14:cfRule>
          <x14:cfRule type="expression" priority="6" id="{00000000-000E-0000-0700-000006000000}">
            <xm:f>AND(H2&lt;&gt;"", IFERROR(INDEX('Recommendations'!$H$2:$H$105, MATCH(H2,'Recommendations'!$A$2:$A$105,0))="N/A",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2423</v>
      </c>
      <c r="B1" s="210" t="s">
        <v>3006</v>
      </c>
      <c r="C1" s="210" t="s">
        <v>3007</v>
      </c>
      <c r="D1" s="210" t="s">
        <v>3008</v>
      </c>
      <c r="E1" s="210" t="s">
        <v>1732</v>
      </c>
      <c r="F1" s="210" t="s">
        <v>791</v>
      </c>
      <c r="G1" s="210" t="s">
        <v>792</v>
      </c>
      <c r="H1" s="210" t="s">
        <v>793</v>
      </c>
      <c r="I1" s="210" t="s">
        <v>794</v>
      </c>
      <c r="J1" s="210" t="s">
        <v>795</v>
      </c>
      <c r="K1" s="210" t="s">
        <v>796</v>
      </c>
      <c r="L1" s="210" t="s">
        <v>797</v>
      </c>
      <c r="M1" s="210" t="s">
        <v>798</v>
      </c>
      <c r="N1" s="210" t="s">
        <v>799</v>
      </c>
      <c r="O1" s="210" t="s">
        <v>800</v>
      </c>
      <c r="P1" s="210" t="s">
        <v>801</v>
      </c>
      <c r="Q1" s="210" t="s">
        <v>802</v>
      </c>
      <c r="R1" s="210" t="s">
        <v>803</v>
      </c>
      <c r="S1" s="210" t="s">
        <v>804</v>
      </c>
      <c r="T1" s="210" t="s">
        <v>805</v>
      </c>
      <c r="U1" s="210" t="s">
        <v>806</v>
      </c>
      <c r="V1" s="210" t="s">
        <v>807</v>
      </c>
      <c r="W1" s="210" t="s">
        <v>808</v>
      </c>
      <c r="X1" s="210" t="s">
        <v>809</v>
      </c>
      <c r="Y1" s="210" t="s">
        <v>810</v>
      </c>
      <c r="Z1" s="210" t="s">
        <v>811</v>
      </c>
      <c r="AA1" s="210" t="s">
        <v>812</v>
      </c>
      <c r="AB1" s="210" t="s">
        <v>813</v>
      </c>
      <c r="AC1" s="210" t="s">
        <v>814</v>
      </c>
      <c r="AD1" s="210" t="s">
        <v>815</v>
      </c>
      <c r="AE1" s="210" t="s">
        <v>816</v>
      </c>
      <c r="AF1" s="210" t="s">
        <v>817</v>
      </c>
      <c r="AG1" s="210" t="s">
        <v>818</v>
      </c>
      <c r="AH1" s="210" t="s">
        <v>819</v>
      </c>
      <c r="AI1" s="210" t="s">
        <v>820</v>
      </c>
      <c r="AJ1" s="210" t="s">
        <v>821</v>
      </c>
      <c r="AK1" s="210" t="s">
        <v>822</v>
      </c>
      <c r="AL1" s="210" t="s">
        <v>823</v>
      </c>
      <c r="AM1" s="210" t="s">
        <v>824</v>
      </c>
      <c r="AN1" s="210" t="s">
        <v>825</v>
      </c>
      <c r="AO1" s="210" t="s">
        <v>826</v>
      </c>
      <c r="AP1" s="210" t="s">
        <v>827</v>
      </c>
      <c r="AQ1" s="210" t="s">
        <v>828</v>
      </c>
      <c r="AR1" s="210" t="s">
        <v>829</v>
      </c>
      <c r="AS1" s="210" t="s">
        <v>830</v>
      </c>
      <c r="AT1" s="211" t="s">
        <v>831</v>
      </c>
    </row>
    <row r="2" spans="1:46" ht="60" customHeight="1" outlineLevel="1" x14ac:dyDescent="0.35">
      <c r="A2" s="203" t="s">
        <v>632</v>
      </c>
      <c r="B2" s="189" t="s">
        <v>3009</v>
      </c>
      <c r="C2" s="189"/>
      <c r="D2" s="192" t="s">
        <v>3010</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632</v>
      </c>
      <c r="B3" s="190" t="s">
        <v>3009</v>
      </c>
      <c r="C3" s="191" t="s">
        <v>3011</v>
      </c>
      <c r="D3" s="193" t="s">
        <v>3012</v>
      </c>
      <c r="E3" s="193" t="s">
        <v>3013</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632</v>
      </c>
      <c r="B4" s="190" t="s">
        <v>3009</v>
      </c>
      <c r="C4" s="191" t="s">
        <v>3014</v>
      </c>
      <c r="D4" s="193" t="s">
        <v>3015</v>
      </c>
      <c r="E4" s="193" t="s">
        <v>3016</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632</v>
      </c>
      <c r="B5" s="190" t="s">
        <v>3009</v>
      </c>
      <c r="C5" s="191" t="s">
        <v>3017</v>
      </c>
      <c r="D5" s="193" t="s">
        <v>3018</v>
      </c>
      <c r="E5" s="193" t="s">
        <v>3019</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632</v>
      </c>
      <c r="B6" s="190" t="s">
        <v>3009</v>
      </c>
      <c r="C6" s="191" t="s">
        <v>3020</v>
      </c>
      <c r="D6" s="193" t="s">
        <v>3021</v>
      </c>
      <c r="E6" s="193" t="s">
        <v>3022</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632</v>
      </c>
      <c r="B7" s="190" t="s">
        <v>3009</v>
      </c>
      <c r="C7" s="191" t="s">
        <v>3023</v>
      </c>
      <c r="D7" s="193" t="s">
        <v>3024</v>
      </c>
      <c r="E7" s="193" t="s">
        <v>3025</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632</v>
      </c>
      <c r="B8" s="190" t="s">
        <v>3009</v>
      </c>
      <c r="C8" s="191" t="s">
        <v>3026</v>
      </c>
      <c r="D8" s="193" t="s">
        <v>3027</v>
      </c>
      <c r="E8" s="193" t="s">
        <v>3028</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632</v>
      </c>
      <c r="B9" s="190" t="s">
        <v>3009</v>
      </c>
      <c r="C9" s="191" t="s">
        <v>3029</v>
      </c>
      <c r="D9" s="193" t="s">
        <v>3030</v>
      </c>
      <c r="E9" s="193" t="s">
        <v>3031</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632</v>
      </c>
      <c r="B10" s="190" t="s">
        <v>3009</v>
      </c>
      <c r="C10" s="191" t="s">
        <v>3032</v>
      </c>
      <c r="D10" s="193" t="s">
        <v>3033</v>
      </c>
      <c r="E10" s="193" t="s">
        <v>3034</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632</v>
      </c>
      <c r="B11" s="190" t="s">
        <v>3009</v>
      </c>
      <c r="C11" s="191" t="s">
        <v>3035</v>
      </c>
      <c r="D11" s="193" t="s">
        <v>3036</v>
      </c>
      <c r="E11" s="193" t="s">
        <v>3037</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632</v>
      </c>
      <c r="B12" s="190" t="s">
        <v>3009</v>
      </c>
      <c r="C12" s="191" t="s">
        <v>3038</v>
      </c>
      <c r="D12" s="193" t="s">
        <v>3039</v>
      </c>
      <c r="E12" s="193" t="s">
        <v>3040</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632</v>
      </c>
      <c r="B13" s="190" t="s">
        <v>3009</v>
      </c>
      <c r="C13" s="191" t="s">
        <v>3041</v>
      </c>
      <c r="D13" s="193" t="s">
        <v>3042</v>
      </c>
      <c r="E13" s="193" t="s">
        <v>3043</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632</v>
      </c>
      <c r="B14" s="190" t="s">
        <v>3009</v>
      </c>
      <c r="C14" s="191" t="s">
        <v>3044</v>
      </c>
      <c r="D14" s="193" t="s">
        <v>3045</v>
      </c>
      <c r="E14" s="193" t="s">
        <v>3046</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632</v>
      </c>
      <c r="B15" s="190" t="s">
        <v>3009</v>
      </c>
      <c r="C15" s="191" t="s">
        <v>3047</v>
      </c>
      <c r="D15" s="193" t="s">
        <v>3048</v>
      </c>
      <c r="E15" s="193" t="s">
        <v>3049</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632</v>
      </c>
      <c r="B16" s="190" t="s">
        <v>3009</v>
      </c>
      <c r="C16" s="191" t="s">
        <v>3050</v>
      </c>
      <c r="D16" s="193" t="s">
        <v>3051</v>
      </c>
      <c r="E16" s="193" t="s">
        <v>3052</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632</v>
      </c>
      <c r="B17" s="190" t="s">
        <v>3009</v>
      </c>
      <c r="C17" s="191" t="s">
        <v>3053</v>
      </c>
      <c r="D17" s="193" t="s">
        <v>3054</v>
      </c>
      <c r="E17" s="193" t="s">
        <v>3055</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632</v>
      </c>
      <c r="B18" s="190" t="s">
        <v>3009</v>
      </c>
      <c r="C18" s="191" t="s">
        <v>3056</v>
      </c>
      <c r="D18" s="193" t="s">
        <v>3057</v>
      </c>
      <c r="E18" s="193" t="s">
        <v>3058</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632</v>
      </c>
      <c r="B19" s="189" t="s">
        <v>3059</v>
      </c>
      <c r="C19" s="189"/>
      <c r="D19" s="192" t="s">
        <v>3060</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632</v>
      </c>
      <c r="B20" s="190" t="s">
        <v>3059</v>
      </c>
      <c r="C20" s="191" t="s">
        <v>3061</v>
      </c>
      <c r="D20" s="193" t="s">
        <v>3062</v>
      </c>
      <c r="E20" s="193" t="s">
        <v>3063</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632</v>
      </c>
      <c r="B21" s="190" t="s">
        <v>3059</v>
      </c>
      <c r="C21" s="191" t="s">
        <v>3064</v>
      </c>
      <c r="D21" s="193" t="s">
        <v>3065</v>
      </c>
      <c r="E21" s="193" t="s">
        <v>3066</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632</v>
      </c>
      <c r="B22" s="190" t="s">
        <v>3059</v>
      </c>
      <c r="C22" s="191" t="s">
        <v>3067</v>
      </c>
      <c r="D22" s="193" t="s">
        <v>3068</v>
      </c>
      <c r="E22" s="193" t="s">
        <v>3069</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632</v>
      </c>
      <c r="B23" s="190" t="s">
        <v>3059</v>
      </c>
      <c r="C23" s="191" t="s">
        <v>3070</v>
      </c>
      <c r="D23" s="193" t="s">
        <v>3071</v>
      </c>
      <c r="E23" s="193" t="s">
        <v>3072</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632</v>
      </c>
      <c r="B24" s="190" t="s">
        <v>3059</v>
      </c>
      <c r="C24" s="191" t="s">
        <v>3073</v>
      </c>
      <c r="D24" s="193" t="s">
        <v>3074</v>
      </c>
      <c r="E24" s="193" t="s">
        <v>3075</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632</v>
      </c>
      <c r="B25" s="190" t="s">
        <v>3059</v>
      </c>
      <c r="C25" s="191" t="s">
        <v>3076</v>
      </c>
      <c r="D25" s="193" t="s">
        <v>3077</v>
      </c>
      <c r="E25" s="193" t="s">
        <v>3078</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632</v>
      </c>
      <c r="B26" s="190" t="s">
        <v>3059</v>
      </c>
      <c r="C26" s="191" t="s">
        <v>3079</v>
      </c>
      <c r="D26" s="193" t="s">
        <v>3080</v>
      </c>
      <c r="E26" s="193" t="s">
        <v>3081</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632</v>
      </c>
      <c r="B27" s="190" t="s">
        <v>3059</v>
      </c>
      <c r="C27" s="191" t="s">
        <v>3082</v>
      </c>
      <c r="D27" s="193" t="s">
        <v>3083</v>
      </c>
      <c r="E27" s="193" t="s">
        <v>3084</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632</v>
      </c>
      <c r="B28" s="190" t="s">
        <v>3059</v>
      </c>
      <c r="C28" s="191" t="s">
        <v>3085</v>
      </c>
      <c r="D28" s="193" t="s">
        <v>3086</v>
      </c>
      <c r="E28" s="193" t="s">
        <v>3087</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632</v>
      </c>
      <c r="B29" s="190" t="s">
        <v>3059</v>
      </c>
      <c r="C29" s="191" t="s">
        <v>3088</v>
      </c>
      <c r="D29" s="193" t="s">
        <v>3089</v>
      </c>
      <c r="E29" s="193" t="s">
        <v>3090</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632</v>
      </c>
      <c r="B30" s="190" t="s">
        <v>3059</v>
      </c>
      <c r="C30" s="191" t="s">
        <v>3091</v>
      </c>
      <c r="D30" s="193" t="s">
        <v>3092</v>
      </c>
      <c r="E30" s="193" t="s">
        <v>3093</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632</v>
      </c>
      <c r="B31" s="190" t="s">
        <v>3059</v>
      </c>
      <c r="C31" s="191" t="s">
        <v>3094</v>
      </c>
      <c r="D31" s="193" t="s">
        <v>3095</v>
      </c>
      <c r="E31" s="193" t="s">
        <v>3096</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3097</v>
      </c>
      <c r="B32" s="189"/>
      <c r="C32" s="189"/>
      <c r="D32" s="192" t="s">
        <v>3098</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3097</v>
      </c>
      <c r="B33" s="190"/>
      <c r="C33" s="191" t="s">
        <v>3099</v>
      </c>
      <c r="D33" s="193" t="s">
        <v>3100</v>
      </c>
      <c r="E33" s="193" t="s">
        <v>3101</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3097</v>
      </c>
      <c r="B34" s="190"/>
      <c r="C34" s="191" t="s">
        <v>3102</v>
      </c>
      <c r="D34" s="193" t="s">
        <v>3103</v>
      </c>
      <c r="E34" s="193" t="s">
        <v>3104</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3097</v>
      </c>
      <c r="B35" s="190"/>
      <c r="C35" s="191" t="s">
        <v>3105</v>
      </c>
      <c r="D35" s="193" t="s">
        <v>3106</v>
      </c>
      <c r="E35" s="193" t="s">
        <v>3107</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3097</v>
      </c>
      <c r="B36" s="189" t="s">
        <v>3108</v>
      </c>
      <c r="C36" s="189"/>
      <c r="D36" s="192" t="s">
        <v>3109</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3097</v>
      </c>
      <c r="B37" s="190" t="s">
        <v>3108</v>
      </c>
      <c r="C37" s="191" t="s">
        <v>3110</v>
      </c>
      <c r="D37" s="193" t="s">
        <v>3111</v>
      </c>
      <c r="E37" s="193" t="s">
        <v>3112</v>
      </c>
      <c r="F37" s="195">
        <f>IF(COUNTIF(G37:AT37,"&lt;&gt;")=0,"",SUMPRODUCT(((Recommendations[ImplStatus]="Implemented")+(Recommendations[ImplStatus]="Compensated"))*ISNUMBER(MATCH(Recommendations[Id],G37:AT37,0)))/COUNTIF(G37:AT37,"&lt;&gt;"))</f>
        <v>0</v>
      </c>
      <c r="G37" s="197" t="s">
        <v>87</v>
      </c>
      <c r="H37" s="197" t="s">
        <v>92</v>
      </c>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3097</v>
      </c>
      <c r="B38" s="190" t="s">
        <v>3108</v>
      </c>
      <c r="C38" s="191" t="s">
        <v>3113</v>
      </c>
      <c r="D38" s="193" t="s">
        <v>3114</v>
      </c>
      <c r="E38" s="193" t="s">
        <v>3115</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3097</v>
      </c>
      <c r="B39" s="190" t="s">
        <v>3108</v>
      </c>
      <c r="C39" s="191" t="s">
        <v>3116</v>
      </c>
      <c r="D39" s="193" t="s">
        <v>3117</v>
      </c>
      <c r="E39" s="193" t="s">
        <v>3118</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3097</v>
      </c>
      <c r="B40" s="190" t="s">
        <v>3108</v>
      </c>
      <c r="C40" s="191" t="s">
        <v>3119</v>
      </c>
      <c r="D40" s="193" t="s">
        <v>3120</v>
      </c>
      <c r="E40" s="193" t="s">
        <v>3121</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3097</v>
      </c>
      <c r="B41" s="190" t="s">
        <v>3108</v>
      </c>
      <c r="C41" s="191" t="s">
        <v>3122</v>
      </c>
      <c r="D41" s="193" t="s">
        <v>3123</v>
      </c>
      <c r="E41" s="193" t="s">
        <v>3124</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3097</v>
      </c>
      <c r="B42" s="190" t="s">
        <v>3108</v>
      </c>
      <c r="C42" s="191" t="s">
        <v>3125</v>
      </c>
      <c r="D42" s="193" t="s">
        <v>3126</v>
      </c>
      <c r="E42" s="193" t="s">
        <v>3127</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3097</v>
      </c>
      <c r="B43" s="190" t="s">
        <v>3108</v>
      </c>
      <c r="C43" s="191" t="s">
        <v>3128</v>
      </c>
      <c r="D43" s="193" t="s">
        <v>3129</v>
      </c>
      <c r="E43" s="193" t="s">
        <v>3130</v>
      </c>
      <c r="F43" s="195">
        <f>IF(COUNTIF(G43:AT43,"&lt;&gt;")=0,"",SUMPRODUCT(((Recommendations[ImplStatus]="Implemented")+(Recommendations[ImplStatus]="Compensated"))*ISNUMBER(MATCH(Recommendations[Id],G43:AT43,0)))/COUNTIF(G43:AT43,"&lt;&gt;"))</f>
        <v>0</v>
      </c>
      <c r="G43" s="197" t="s">
        <v>168</v>
      </c>
      <c r="H43" s="197" t="s">
        <v>173</v>
      </c>
      <c r="I43" s="197" t="s">
        <v>178</v>
      </c>
      <c r="J43" s="197" t="s">
        <v>183</v>
      </c>
      <c r="K43" s="197" t="s">
        <v>187</v>
      </c>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3097</v>
      </c>
      <c r="B44" s="190" t="s">
        <v>3108</v>
      </c>
      <c r="C44" s="191" t="s">
        <v>3131</v>
      </c>
      <c r="D44" s="193" t="s">
        <v>3132</v>
      </c>
      <c r="E44" s="193" t="s">
        <v>3133</v>
      </c>
      <c r="F44" s="195">
        <f>IF(COUNTIF(G44:AT44,"&lt;&gt;")=0,"",SUMPRODUCT(((Recommendations[ImplStatus]="Implemented")+(Recommendations[ImplStatus]="Compensated"))*ISNUMBER(MATCH(Recommendations[Id],G44:AT44,0)))/COUNTIF(G44:AT44,"&lt;&gt;"))</f>
        <v>0</v>
      </c>
      <c r="G44" s="197" t="s">
        <v>168</v>
      </c>
      <c r="H44" s="197" t="s">
        <v>173</v>
      </c>
      <c r="I44" s="197" t="s">
        <v>178</v>
      </c>
      <c r="J44" s="197" t="s">
        <v>183</v>
      </c>
      <c r="K44" s="197" t="s">
        <v>187</v>
      </c>
      <c r="L44" s="197" t="s">
        <v>191</v>
      </c>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3097</v>
      </c>
      <c r="B45" s="190" t="s">
        <v>3108</v>
      </c>
      <c r="C45" s="191" t="s">
        <v>3134</v>
      </c>
      <c r="D45" s="193" t="s">
        <v>3135</v>
      </c>
      <c r="E45" s="193" t="s">
        <v>3136</v>
      </c>
      <c r="F45" s="195">
        <f>IF(COUNTIF(G45:AT45,"&lt;&gt;")=0,"",SUMPRODUCT(((Recommendations[ImplStatus]="Implemented")+(Recommendations[ImplStatus]="Compensated"))*ISNUMBER(MATCH(Recommendations[Id],G45:AT45,0)))/COUNTIF(G45:AT45,"&lt;&gt;"))</f>
        <v>0</v>
      </c>
      <c r="G45" s="197" t="s">
        <v>107</v>
      </c>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3097</v>
      </c>
      <c r="B46" s="190" t="s">
        <v>3108</v>
      </c>
      <c r="C46" s="191" t="s">
        <v>3137</v>
      </c>
      <c r="D46" s="193" t="s">
        <v>3138</v>
      </c>
      <c r="E46" s="193" t="s">
        <v>3139</v>
      </c>
      <c r="F46" s="195">
        <f>IF(COUNTIF(G46:AT46,"&lt;&gt;")=0,"",SUMPRODUCT(((Recommendations[ImplStatus]="Implemented")+(Recommendations[ImplStatus]="Compensated"))*ISNUMBER(MATCH(Recommendations[Id],G46:AT46,0)))/COUNTIF(G46:AT46,"&lt;&gt;"))</f>
        <v>0</v>
      </c>
      <c r="G46" s="197" t="s">
        <v>206</v>
      </c>
      <c r="H46" s="197" t="s">
        <v>310</v>
      </c>
      <c r="I46" s="197" t="s">
        <v>372</v>
      </c>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3097</v>
      </c>
      <c r="B47" s="190" t="s">
        <v>3108</v>
      </c>
      <c r="C47" s="191" t="s">
        <v>3140</v>
      </c>
      <c r="D47" s="193" t="s">
        <v>3141</v>
      </c>
      <c r="E47" s="193" t="s">
        <v>3142</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3097</v>
      </c>
      <c r="B48" s="190" t="s">
        <v>3108</v>
      </c>
      <c r="C48" s="191" t="s">
        <v>3143</v>
      </c>
      <c r="D48" s="193" t="s">
        <v>3144</v>
      </c>
      <c r="E48" s="193" t="s">
        <v>3145</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3097</v>
      </c>
      <c r="B49" s="190" t="s">
        <v>3108</v>
      </c>
      <c r="C49" s="191" t="s">
        <v>3146</v>
      </c>
      <c r="D49" s="193" t="s">
        <v>3147</v>
      </c>
      <c r="E49" s="193" t="s">
        <v>3148</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3097</v>
      </c>
      <c r="B50" s="190" t="s">
        <v>3108</v>
      </c>
      <c r="C50" s="191" t="s">
        <v>3149</v>
      </c>
      <c r="D50" s="193" t="s">
        <v>3150</v>
      </c>
      <c r="E50" s="193" t="s">
        <v>3151</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3097</v>
      </c>
      <c r="B51" s="189" t="s">
        <v>3152</v>
      </c>
      <c r="C51" s="189"/>
      <c r="D51" s="192" t="s">
        <v>3153</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3097</v>
      </c>
      <c r="B52" s="190" t="s">
        <v>3152</v>
      </c>
      <c r="C52" s="191" t="s">
        <v>3154</v>
      </c>
      <c r="D52" s="193" t="s">
        <v>3155</v>
      </c>
      <c r="E52" s="193" t="s">
        <v>3156</v>
      </c>
      <c r="F52" s="195">
        <f>IF(COUNTIF(G52:AT52,"&lt;&gt;")=0,"",SUMPRODUCT(((Recommendations[ImplStatus]="Implemented")+(Recommendations[ImplStatus]="Compensated"))*ISNUMBER(MATCH(Recommendations[Id],G52:AT52,0)))/COUNTIF(G52:AT52,"&lt;&gt;"))</f>
        <v>0</v>
      </c>
      <c r="G52" s="197" t="s">
        <v>97</v>
      </c>
      <c r="H52" s="197" t="s">
        <v>158</v>
      </c>
      <c r="I52" s="197" t="s">
        <v>256</v>
      </c>
      <c r="J52" s="197" t="s">
        <v>295</v>
      </c>
      <c r="K52" s="197"/>
      <c r="L52" s="197"/>
      <c r="M52" s="197"/>
      <c r="N52" s="197"/>
      <c r="O52" s="197"/>
      <c r="P52" s="197"/>
      <c r="Q52" s="197"/>
      <c r="R52" s="197"/>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207"/>
    </row>
    <row r="53" spans="1:46" ht="60" customHeight="1" x14ac:dyDescent="0.35">
      <c r="A53" s="204" t="s">
        <v>3097</v>
      </c>
      <c r="B53" s="190" t="s">
        <v>3152</v>
      </c>
      <c r="C53" s="191" t="s">
        <v>3157</v>
      </c>
      <c r="D53" s="193" t="s">
        <v>3158</v>
      </c>
      <c r="E53" s="193" t="s">
        <v>3159</v>
      </c>
      <c r="F53" s="195">
        <f>IF(COUNTIF(G53:AT53,"&lt;&gt;")=0,"",SUMPRODUCT(((Recommendations[ImplStatus]="Implemented")+(Recommendations[ImplStatus]="Compensated"))*ISNUMBER(MATCH(Recommendations[Id],G53:AT53,0)))/COUNTIF(G53:AT53,"&lt;&gt;"))</f>
        <v>0</v>
      </c>
      <c r="G53" s="197" t="s">
        <v>158</v>
      </c>
      <c r="H53" s="197" t="s">
        <v>295</v>
      </c>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3097</v>
      </c>
      <c r="B54" s="190" t="s">
        <v>3152</v>
      </c>
      <c r="C54" s="191" t="s">
        <v>3160</v>
      </c>
      <c r="D54" s="193" t="s">
        <v>3161</v>
      </c>
      <c r="E54" s="193" t="s">
        <v>3162</v>
      </c>
      <c r="F54" s="195" t="str">
        <f>IF(COUNTIF(G54:AT54,"&lt;&gt;")=0,"",SUMPRODUCT(((Recommendations[ImplStatus]="Implemented")+(Recommendations[ImplStatus]="Compensated"))*ISNUMBER(MATCH(Recommendations[Id],G54:AT54,0)))/COUNTIF(G54:AT54,"&lt;&gt;"))</f>
        <v/>
      </c>
      <c r="G54" s="197"/>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3097</v>
      </c>
      <c r="B55" s="190" t="s">
        <v>3152</v>
      </c>
      <c r="C55" s="191" t="s">
        <v>3163</v>
      </c>
      <c r="D55" s="193" t="s">
        <v>3164</v>
      </c>
      <c r="E55" s="193" t="s">
        <v>3165</v>
      </c>
      <c r="F55" s="195">
        <f>IF(COUNTIF(G55:AT55,"&lt;&gt;")=0,"",SUMPRODUCT(((Recommendations[ImplStatus]="Implemented")+(Recommendations[ImplStatus]="Compensated"))*ISNUMBER(MATCH(Recommendations[Id],G55:AT55,0)))/COUNTIF(G55:AT55,"&lt;&gt;"))</f>
        <v>0</v>
      </c>
      <c r="G55" s="197" t="s">
        <v>102</v>
      </c>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3097</v>
      </c>
      <c r="B56" s="190" t="s">
        <v>3152</v>
      </c>
      <c r="C56" s="191" t="s">
        <v>3166</v>
      </c>
      <c r="D56" s="193" t="s">
        <v>3167</v>
      </c>
      <c r="E56" s="193" t="s">
        <v>3168</v>
      </c>
      <c r="F56" s="195" t="str">
        <f>IF(COUNTIF(G56:AT56,"&lt;&gt;")=0,"",SUMPRODUCT(((Recommendations[ImplStatus]="Implemented")+(Recommendations[ImplStatus]="Compensated"))*ISNUMBER(MATCH(Recommendations[Id],G56:AT56,0)))/COUNTIF(G56:AT56,"&lt;&gt;"))</f>
        <v/>
      </c>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3097</v>
      </c>
      <c r="B57" s="190" t="s">
        <v>3152</v>
      </c>
      <c r="C57" s="191" t="s">
        <v>3169</v>
      </c>
      <c r="D57" s="193" t="s">
        <v>3170</v>
      </c>
      <c r="E57" s="193" t="s">
        <v>3171</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3097</v>
      </c>
      <c r="B58" s="190" t="s">
        <v>3152</v>
      </c>
      <c r="C58" s="191" t="s">
        <v>3172</v>
      </c>
      <c r="D58" s="193" t="s">
        <v>3173</v>
      </c>
      <c r="E58" s="193" t="s">
        <v>3174</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3097</v>
      </c>
      <c r="B59" s="190" t="s">
        <v>3152</v>
      </c>
      <c r="C59" s="191" t="s">
        <v>3175</v>
      </c>
      <c r="D59" s="193" t="s">
        <v>3176</v>
      </c>
      <c r="E59" s="193" t="s">
        <v>3177</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3097</v>
      </c>
      <c r="B60" s="190" t="s">
        <v>3178</v>
      </c>
      <c r="C60" s="191" t="s">
        <v>3179</v>
      </c>
      <c r="D60" s="193" t="s">
        <v>3180</v>
      </c>
      <c r="E60" s="193" t="s">
        <v>3181</v>
      </c>
      <c r="F60" s="195" t="str">
        <f>IF(COUNTIF(G60:AT60,"&lt;&gt;")=0,"",SUMPRODUCT(((Recommendations[ImplStatus]="Implemented")+(Recommendations[ImplStatus]="Compensated"))*ISNUMBER(MATCH(Recommendations[Id],G60:AT60,0)))/COUNTIF(G60:AT60,"&lt;&gt;"))</f>
        <v/>
      </c>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3097</v>
      </c>
      <c r="B61" s="190" t="s">
        <v>3178</v>
      </c>
      <c r="C61" s="191" t="s">
        <v>3182</v>
      </c>
      <c r="D61" s="193" t="s">
        <v>3183</v>
      </c>
      <c r="E61" s="193" t="s">
        <v>3184</v>
      </c>
      <c r="F61" s="195" t="str">
        <f>IF(COUNTIF(G61:AT61,"&lt;&gt;")=0,"",SUMPRODUCT(((Recommendations[ImplStatus]="Implemented")+(Recommendations[ImplStatus]="Compensated"))*ISNUMBER(MATCH(Recommendations[Id],G61:AT61,0)))/COUNTIF(G61:AT61,"&lt;&gt;"))</f>
        <v/>
      </c>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3097</v>
      </c>
      <c r="B62" s="189" t="s">
        <v>3185</v>
      </c>
      <c r="C62" s="189"/>
      <c r="D62" s="192" t="s">
        <v>3186</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3097</v>
      </c>
      <c r="B63" s="190" t="s">
        <v>3185</v>
      </c>
      <c r="C63" s="191" t="s">
        <v>3187</v>
      </c>
      <c r="D63" s="193" t="s">
        <v>3188</v>
      </c>
      <c r="E63" s="193" t="s">
        <v>3189</v>
      </c>
      <c r="F63" s="195">
        <f>IF(COUNTIF(G63:AT63,"&lt;&gt;")=0,"",SUMPRODUCT(((Recommendations[ImplStatus]="Implemented")+(Recommendations[ImplStatus]="Compensated"))*ISNUMBER(MATCH(Recommendations[Id],G63:AT63,0)))/COUNTIF(G63:AT63,"&lt;&gt;"))</f>
        <v>0</v>
      </c>
      <c r="G63" s="197" t="s">
        <v>143</v>
      </c>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3097</v>
      </c>
      <c r="B64" s="190" t="s">
        <v>3185</v>
      </c>
      <c r="C64" s="191" t="s">
        <v>3190</v>
      </c>
      <c r="D64" s="193" t="s">
        <v>3191</v>
      </c>
      <c r="E64" s="193" t="s">
        <v>3192</v>
      </c>
      <c r="F64" s="195">
        <f>IF(COUNTIF(G64:AT64,"&lt;&gt;")=0,"",SUMPRODUCT(((Recommendations[ImplStatus]="Implemented")+(Recommendations[ImplStatus]="Compensated"))*ISNUMBER(MATCH(Recommendations[Id],G64:AT64,0)))/COUNTIF(G64:AT64,"&lt;&gt;"))</f>
        <v>0</v>
      </c>
      <c r="G64" s="197" t="s">
        <v>153</v>
      </c>
      <c r="H64" s="197" t="s">
        <v>291</v>
      </c>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3097</v>
      </c>
      <c r="B65" s="190" t="s">
        <v>3185</v>
      </c>
      <c r="C65" s="191" t="s">
        <v>3193</v>
      </c>
      <c r="D65" s="193" t="s">
        <v>3194</v>
      </c>
      <c r="E65" s="193" t="s">
        <v>3195</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3097</v>
      </c>
      <c r="B66" s="190" t="s">
        <v>3185</v>
      </c>
      <c r="C66" s="191" t="s">
        <v>3196</v>
      </c>
      <c r="D66" s="193" t="s">
        <v>3197</v>
      </c>
      <c r="E66" s="193" t="s">
        <v>3198</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3097</v>
      </c>
      <c r="B67" s="190" t="s">
        <v>3185</v>
      </c>
      <c r="C67" s="191" t="s">
        <v>3199</v>
      </c>
      <c r="D67" s="193" t="s">
        <v>3200</v>
      </c>
      <c r="E67" s="193" t="s">
        <v>3201</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3097</v>
      </c>
      <c r="B68" s="190" t="s">
        <v>3185</v>
      </c>
      <c r="C68" s="191" t="s">
        <v>3202</v>
      </c>
      <c r="D68" s="193" t="s">
        <v>3203</v>
      </c>
      <c r="E68" s="193" t="s">
        <v>3204</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3097</v>
      </c>
      <c r="B69" s="190" t="s">
        <v>3185</v>
      </c>
      <c r="C69" s="191" t="s">
        <v>3205</v>
      </c>
      <c r="D69" s="193" t="s">
        <v>3206</v>
      </c>
      <c r="E69" s="193" t="s">
        <v>3207</v>
      </c>
      <c r="F69" s="195">
        <f>IF(COUNTIF(G69:AT69,"&lt;&gt;")=0,"",SUMPRODUCT(((Recommendations[ImplStatus]="Implemented")+(Recommendations[ImplStatus]="Compensated"))*ISNUMBER(MATCH(Recommendations[Id],G69:AT69,0)))/COUNTIF(G69:AT69,"&lt;&gt;"))</f>
        <v>0</v>
      </c>
      <c r="G69" s="197" t="s">
        <v>123</v>
      </c>
      <c r="H69" s="197" t="s">
        <v>128</v>
      </c>
      <c r="I69" s="197" t="s">
        <v>330</v>
      </c>
      <c r="J69" s="197" t="s">
        <v>335</v>
      </c>
      <c r="K69" s="197" t="s">
        <v>418</v>
      </c>
      <c r="L69" s="197" t="s">
        <v>423</v>
      </c>
      <c r="M69" s="197" t="s">
        <v>428</v>
      </c>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207"/>
    </row>
    <row r="70" spans="1:46" ht="60" customHeight="1" x14ac:dyDescent="0.35">
      <c r="A70" s="204" t="s">
        <v>3097</v>
      </c>
      <c r="B70" s="190" t="s">
        <v>3185</v>
      </c>
      <c r="C70" s="191" t="s">
        <v>3208</v>
      </c>
      <c r="D70" s="193" t="s">
        <v>3209</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3097</v>
      </c>
      <c r="B71" s="190" t="s">
        <v>3185</v>
      </c>
      <c r="C71" s="191" t="s">
        <v>3210</v>
      </c>
      <c r="D71" s="193" t="s">
        <v>3211</v>
      </c>
      <c r="E71" s="193" t="s">
        <v>3212</v>
      </c>
      <c r="F71" s="195" t="str">
        <f>IF(COUNTIF(G71:AT71,"&lt;&gt;")=0,"",SUMPRODUCT(((Recommendations[ImplStatus]="Implemented")+(Recommendations[ImplStatus]="Compensated"))*ISNUMBER(MATCH(Recommendations[Id],G71:AT71,0)))/COUNTIF(G71:AT71,"&lt;&gt;"))</f>
        <v/>
      </c>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3097</v>
      </c>
      <c r="B72" s="190" t="s">
        <v>3185</v>
      </c>
      <c r="C72" s="191" t="s">
        <v>3213</v>
      </c>
      <c r="D72" s="193" t="s">
        <v>3214</v>
      </c>
      <c r="E72" s="193" t="s">
        <v>3215</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3097</v>
      </c>
      <c r="B73" s="190" t="s">
        <v>3185</v>
      </c>
      <c r="C73" s="191" t="s">
        <v>3216</v>
      </c>
      <c r="D73" s="193" t="s">
        <v>3217</v>
      </c>
      <c r="E73" s="193" t="s">
        <v>3218</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3097</v>
      </c>
      <c r="B74" s="190" t="s">
        <v>3185</v>
      </c>
      <c r="C74" s="191" t="s">
        <v>3219</v>
      </c>
      <c r="D74" s="193" t="s">
        <v>3220</v>
      </c>
      <c r="E74" s="193" t="s">
        <v>3221</v>
      </c>
      <c r="F74" s="195">
        <f>IF(COUNTIF(G74:AT74,"&lt;&gt;")=0,"",SUMPRODUCT(((Recommendations[ImplStatus]="Implemented")+(Recommendations[ImplStatus]="Compensated"))*ISNUMBER(MATCH(Recommendations[Id],G74:AT74,0)))/COUNTIF(G74:AT74,"&lt;&gt;"))</f>
        <v>0</v>
      </c>
      <c r="G74" s="197" t="s">
        <v>315</v>
      </c>
      <c r="H74" s="197" t="s">
        <v>320</v>
      </c>
      <c r="I74" s="197" t="s">
        <v>407</v>
      </c>
      <c r="J74" s="197" t="s">
        <v>413</v>
      </c>
      <c r="K74" s="197" t="s">
        <v>438</v>
      </c>
      <c r="L74" s="197" t="s">
        <v>448</v>
      </c>
      <c r="M74" s="197" t="s">
        <v>453</v>
      </c>
      <c r="N74" s="197" t="s">
        <v>473</v>
      </c>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3097</v>
      </c>
      <c r="B75" s="190" t="s">
        <v>3185</v>
      </c>
      <c r="C75" s="191" t="s">
        <v>3222</v>
      </c>
      <c r="D75" s="193" t="s">
        <v>3223</v>
      </c>
      <c r="E75" s="193" t="s">
        <v>3224</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3097</v>
      </c>
      <c r="B76" s="190" t="s">
        <v>3185</v>
      </c>
      <c r="C76" s="191" t="s">
        <v>3225</v>
      </c>
      <c r="D76" s="193" t="s">
        <v>3226</v>
      </c>
      <c r="E76" s="193" t="s">
        <v>3227</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3097</v>
      </c>
      <c r="B77" s="190" t="s">
        <v>3185</v>
      </c>
      <c r="C77" s="191" t="s">
        <v>3228</v>
      </c>
      <c r="D77" s="193" t="s">
        <v>3229</v>
      </c>
      <c r="E77" s="193" t="s">
        <v>3230</v>
      </c>
      <c r="F77" s="195">
        <f>IF(COUNTIF(G77:AT77,"&lt;&gt;")=0,"",SUMPRODUCT(((Recommendations[ImplStatus]="Implemented")+(Recommendations[ImplStatus]="Compensated"))*ISNUMBER(MATCH(Recommendations[Id],G77:AT77,0)))/COUNTIF(G77:AT77,"&lt;&gt;"))</f>
        <v>0</v>
      </c>
      <c r="G77" s="197" t="s">
        <v>407</v>
      </c>
      <c r="H77" s="197" t="s">
        <v>413</v>
      </c>
      <c r="I77" s="197" t="s">
        <v>453</v>
      </c>
      <c r="J77" s="197" t="s">
        <v>473</v>
      </c>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3097</v>
      </c>
      <c r="B78" s="190" t="s">
        <v>3185</v>
      </c>
      <c r="C78" s="191" t="s">
        <v>3231</v>
      </c>
      <c r="D78" s="193" t="s">
        <v>3232</v>
      </c>
      <c r="E78" s="193" t="s">
        <v>3233</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3097</v>
      </c>
      <c r="B79" s="189" t="s">
        <v>3185</v>
      </c>
      <c r="C79" s="189"/>
      <c r="D79" s="192" t="s">
        <v>3234</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3235</v>
      </c>
      <c r="B80" s="190"/>
      <c r="C80" s="191" t="s">
        <v>3236</v>
      </c>
      <c r="D80" s="193" t="s">
        <v>3237</v>
      </c>
      <c r="E80" s="193" t="s">
        <v>3238</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3235</v>
      </c>
      <c r="B81" s="190"/>
      <c r="C81" s="191" t="s">
        <v>3239</v>
      </c>
      <c r="D81" s="193" t="s">
        <v>3240</v>
      </c>
      <c r="E81" s="193" t="s">
        <v>3241</v>
      </c>
      <c r="F81" s="195">
        <f>IF(COUNTIF(G81:AT81,"&lt;&gt;")=0,"",SUMPRODUCT(((Recommendations[ImplStatus]="Implemented")+(Recommendations[ImplStatus]="Compensated"))*ISNUMBER(MATCH(Recommendations[Id],G81:AT81,0)))/COUNTIF(G81:AT81,"&lt;&gt;"))</f>
        <v>0</v>
      </c>
      <c r="G81" s="197" t="s">
        <v>231</v>
      </c>
      <c r="H81" s="197"/>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3235</v>
      </c>
      <c r="B82" s="190"/>
      <c r="C82" s="191" t="s">
        <v>3242</v>
      </c>
      <c r="D82" s="193" t="s">
        <v>3243</v>
      </c>
      <c r="E82" s="193" t="s">
        <v>3244</v>
      </c>
      <c r="F82" s="195">
        <f>IF(COUNTIF(G82:AT82,"&lt;&gt;")=0,"",SUMPRODUCT(((Recommendations[ImplStatus]="Implemented")+(Recommendations[ImplStatus]="Compensated"))*ISNUMBER(MATCH(Recommendations[Id],G82:AT82,0)))/COUNTIF(G82:AT82,"&lt;&gt;"))</f>
        <v>0</v>
      </c>
      <c r="G82" s="197" t="s">
        <v>236</v>
      </c>
      <c r="H82" s="197" t="s">
        <v>377</v>
      </c>
      <c r="I82" s="197" t="s">
        <v>387</v>
      </c>
      <c r="J82" s="197" t="s">
        <v>392</v>
      </c>
      <c r="K82" s="197" t="s">
        <v>478</v>
      </c>
      <c r="L82" s="197" t="s">
        <v>484</v>
      </c>
      <c r="M82" s="197" t="s">
        <v>489</v>
      </c>
      <c r="N82" s="197" t="s">
        <v>494</v>
      </c>
      <c r="O82" s="197" t="s">
        <v>519</v>
      </c>
      <c r="P82" s="197" t="s">
        <v>524</v>
      </c>
      <c r="Q82" s="197" t="s">
        <v>529</v>
      </c>
      <c r="R82" s="197" t="s">
        <v>534</v>
      </c>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3235</v>
      </c>
      <c r="B83" s="190"/>
      <c r="C83" s="191" t="s">
        <v>3245</v>
      </c>
      <c r="D83" s="193" t="s">
        <v>3246</v>
      </c>
      <c r="E83" s="193" t="s">
        <v>3247</v>
      </c>
      <c r="F83" s="195" t="str">
        <f>IF(COUNTIF(G83:AT83,"&lt;&gt;")=0,"",SUMPRODUCT(((Recommendations[ImplStatus]="Implemented")+(Recommendations[ImplStatus]="Compensated"))*ISNUMBER(MATCH(Recommendations[Id],G83:AT83,0)))/COUNTIF(G83:AT83,"&lt;&gt;"))</f>
        <v/>
      </c>
      <c r="G83" s="197"/>
      <c r="H83" s="197"/>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3235</v>
      </c>
      <c r="B84" s="189"/>
      <c r="C84" s="189"/>
      <c r="D84" s="192" t="s">
        <v>3248</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3249</v>
      </c>
      <c r="B85" s="190"/>
      <c r="C85" s="191" t="s">
        <v>3250</v>
      </c>
      <c r="D85" s="193" t="s">
        <v>3251</v>
      </c>
      <c r="E85" s="193" t="s">
        <v>3252</v>
      </c>
      <c r="F85" s="195" t="str">
        <f>IF(COUNTIF(G85:AT85,"&lt;&gt;")=0,"",SUMPRODUCT(((Recommendations[ImplStatus]="Implemented")+(Recommendations[ImplStatus]="Compensated"))*ISNUMBER(MATCH(Recommendations[Id],G85:AT85,0)))/COUNTIF(G85:AT85,"&lt;&gt;"))</f>
        <v/>
      </c>
      <c r="G85" s="197"/>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3249</v>
      </c>
      <c r="B86" s="190"/>
      <c r="C86" s="191" t="s">
        <v>3253</v>
      </c>
      <c r="D86" s="193" t="s">
        <v>3254</v>
      </c>
      <c r="E86" s="193" t="s">
        <v>3255</v>
      </c>
      <c r="F86" s="195" t="str">
        <f>IF(COUNTIF(G86:AT86,"&lt;&gt;")=0,"",SUMPRODUCT(((Recommendations[ImplStatus]="Implemented")+(Recommendations[ImplStatus]="Compensated"))*ISNUMBER(MATCH(Recommendations[Id],G86:AT86,0)))/COUNTIF(G86:AT86,"&lt;&gt;"))</f>
        <v/>
      </c>
      <c r="G86" s="197"/>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3249</v>
      </c>
      <c r="B87" s="190"/>
      <c r="C87" s="191" t="s">
        <v>3256</v>
      </c>
      <c r="D87" s="193" t="s">
        <v>3257</v>
      </c>
      <c r="E87" s="193" t="s">
        <v>3258</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3249</v>
      </c>
      <c r="B88" s="190"/>
      <c r="C88" s="191" t="s">
        <v>3259</v>
      </c>
      <c r="D88" s="193" t="s">
        <v>3260</v>
      </c>
      <c r="E88" s="193" t="s">
        <v>3261</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3249</v>
      </c>
      <c r="B89" s="190"/>
      <c r="C89" s="191" t="s">
        <v>3262</v>
      </c>
      <c r="D89" s="193" t="s">
        <v>3263</v>
      </c>
      <c r="E89" s="193" t="s">
        <v>3264</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3249</v>
      </c>
      <c r="B90" s="189" t="s">
        <v>3265</v>
      </c>
      <c r="C90" s="189"/>
      <c r="D90" s="192" t="s">
        <v>3266</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3249</v>
      </c>
      <c r="B91" s="190" t="s">
        <v>3265</v>
      </c>
      <c r="C91" s="191" t="s">
        <v>3267</v>
      </c>
      <c r="D91" s="193" t="s">
        <v>3268</v>
      </c>
      <c r="E91" s="193" t="s">
        <v>3269</v>
      </c>
      <c r="F91" s="195" t="str">
        <f>IF(COUNTIF(G91:AT91,"&lt;&gt;")=0,"",SUMPRODUCT(((Recommendations[ImplStatus]="Implemented")+(Recommendations[ImplStatus]="Compensated"))*ISNUMBER(MATCH(Recommendations[Id],G91:AT91,0)))/COUNTIF(G91:AT91,"&lt;&gt;"))</f>
        <v/>
      </c>
      <c r="G91" s="197"/>
      <c r="H91" s="197"/>
      <c r="I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3249</v>
      </c>
      <c r="B92" s="190" t="s">
        <v>3265</v>
      </c>
      <c r="C92" s="191" t="s">
        <v>3270</v>
      </c>
      <c r="D92" s="193" t="s">
        <v>3271</v>
      </c>
      <c r="E92" s="193" t="s">
        <v>3272</v>
      </c>
      <c r="F92" s="195" t="str">
        <f>IF(COUNTIF(G92:AT92,"&lt;&gt;")=0,"",SUMPRODUCT(((Recommendations[ImplStatus]="Implemented")+(Recommendations[ImplStatus]="Compensated"))*ISNUMBER(MATCH(Recommendations[Id],G92:AT92,0)))/COUNTIF(G92:AT92,"&lt;&gt;"))</f>
        <v/>
      </c>
      <c r="G92" s="197"/>
      <c r="H92" s="197"/>
      <c r="I92" s="197"/>
      <c r="J92" s="197"/>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3265</v>
      </c>
      <c r="C93" s="191" t="s">
        <v>3273</v>
      </c>
      <c r="D93" s="193" t="s">
        <v>3274</v>
      </c>
      <c r="E93" s="193" t="s">
        <v>3275</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3265</v>
      </c>
      <c r="C94" s="191" t="s">
        <v>3276</v>
      </c>
      <c r="D94" s="193" t="s">
        <v>3277</v>
      </c>
      <c r="E94" s="193" t="s">
        <v>3278</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3265</v>
      </c>
      <c r="C95" s="191" t="s">
        <v>3279</v>
      </c>
      <c r="D95" s="193" t="s">
        <v>3280</v>
      </c>
      <c r="E95" s="193" t="s">
        <v>3281</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3265</v>
      </c>
      <c r="C96" s="191" t="s">
        <v>3282</v>
      </c>
      <c r="D96" s="193" t="s">
        <v>3283</v>
      </c>
      <c r="E96" s="193" t="s">
        <v>3284</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3265</v>
      </c>
      <c r="C97" s="191" t="s">
        <v>3285</v>
      </c>
      <c r="D97" s="193" t="s">
        <v>3286</v>
      </c>
      <c r="E97" s="193" t="s">
        <v>3287</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3265</v>
      </c>
      <c r="C98" s="191" t="s">
        <v>3288</v>
      </c>
      <c r="D98" s="193" t="s">
        <v>3289</v>
      </c>
      <c r="E98" s="193" t="s">
        <v>3290</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3291</v>
      </c>
      <c r="C99" s="189"/>
      <c r="D99" s="192" t="s">
        <v>3292</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3291</v>
      </c>
      <c r="C100" s="191" t="s">
        <v>3293</v>
      </c>
      <c r="D100" s="193" t="s">
        <v>3294</v>
      </c>
      <c r="E100" s="193" t="s">
        <v>3295</v>
      </c>
      <c r="F100" s="195" t="str">
        <f>IF(COUNTIF(G100:AT100,"&lt;&gt;")=0,"",SUMPRODUCT(((Recommendations[ImplStatus]="Implemented")+(Recommendations[ImplStatus]="Compensated"))*ISNUMBER(MATCH(Recommendations[Id],G100:AT100,0)))/COUNTIF(G100:AT100,"&lt;&gt;"))</f>
        <v/>
      </c>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3291</v>
      </c>
      <c r="C101" s="191" t="s">
        <v>3296</v>
      </c>
      <c r="D101" s="193" t="s">
        <v>3297</v>
      </c>
      <c r="E101" s="193" t="s">
        <v>3298</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3291</v>
      </c>
      <c r="C102" s="191" t="s">
        <v>3299</v>
      </c>
      <c r="D102" s="193" t="s">
        <v>3300</v>
      </c>
      <c r="E102" s="193" t="s">
        <v>3301</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3291</v>
      </c>
      <c r="C103" s="191" t="s">
        <v>3302</v>
      </c>
      <c r="D103" s="193" t="s">
        <v>3303</v>
      </c>
      <c r="E103" s="193" t="s">
        <v>3304</v>
      </c>
      <c r="F103" s="195" t="str">
        <f>IF(COUNTIF(G103:AT103,"&lt;&gt;")=0,"",SUMPRODUCT(((Recommendations[ImplStatus]="Implemented")+(Recommendations[ImplStatus]="Compensated"))*ISNUMBER(MATCH(Recommendations[Id],G103:AT103,0)))/COUNTIF(G103:AT103,"&lt;&gt;"))</f>
        <v/>
      </c>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3291</v>
      </c>
      <c r="C104" s="199" t="s">
        <v>3305</v>
      </c>
      <c r="D104" s="200" t="s">
        <v>3306</v>
      </c>
      <c r="E104" s="200" t="s">
        <v>3307</v>
      </c>
      <c r="F104" s="201" t="str">
        <f>IF(COUNTIF(G104:AT104,"&lt;&gt;")=0,"",SUMPRODUCT(((Recommendations[ImplStatus]="Implemented")+(Recommendations[ImplStatus]="Compensated"))*ISNUMBER(MATCH(Recommendations[Id],G104:AT104,0)))/COUNTIF(G104:AT104,"&lt;&gt;"))</f>
        <v/>
      </c>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539</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IFERROR(INDEX('Recommendations'!$H$2:$H$105, MATCH(G2,'Recommendations'!$A$2:$A$105,0))="Implemented", FALSE))</xm:f>
            <x14:dxf>
              <font>
                <color rgb="FF000000"/>
              </font>
              <fill>
                <patternFill>
                  <bgColor rgb="FF3C7D22"/>
                </patternFill>
              </fill>
            </x14:dxf>
          </x14:cfRule>
          <x14:cfRule type="expression" priority="2" id="{00000000-000E-0000-0800-000002000000}">
            <xm:f>AND(G2&lt;&gt;"", IFERROR(INDEX('Recommendations'!$H$2:$H$105, MATCH(G2,'Recommendations'!$A$2:$A$105,0))="Compensated", FALSE))</xm:f>
            <x14:dxf>
              <font>
                <color rgb="FF000000"/>
              </font>
              <fill>
                <patternFill>
                  <bgColor rgb="FFC6E0B4"/>
                </patternFill>
              </fill>
            </x14:dxf>
          </x14:cfRule>
          <x14:cfRule type="expression" priority="3" id="{00000000-000E-0000-0800-000003000000}">
            <xm:f>AND(G2&lt;&gt;"", IFERROR(INDEX('Recommendations'!$H$2:$H$105, MATCH(G2,'Recommendations'!$A$2:$A$105,0))="Testing", FALSE))</xm:f>
            <x14:dxf>
              <font>
                <color rgb="FF000000"/>
              </font>
              <fill>
                <patternFill>
                  <bgColor rgb="FFFFC000"/>
                </patternFill>
              </fill>
            </x14:dxf>
          </x14:cfRule>
          <x14:cfRule type="expression" priority="4" id="{00000000-000E-0000-0800-000004000000}">
            <xm:f>AND(G2&lt;&gt;"", IFERROR(INDEX('Recommendations'!$H$2:$H$105, MATCH(G2,'Recommendations'!$A$2:$A$105,0))="Failed", FALSE))</xm:f>
            <x14:dxf>
              <font>
                <color rgb="FF000000"/>
              </font>
              <fill>
                <patternFill>
                  <bgColor rgb="FFD82891"/>
                </patternFill>
              </fill>
            </x14:dxf>
          </x14:cfRule>
          <x14:cfRule type="expression" priority="5" id="{00000000-000E-0000-0800-000005000000}">
            <xm:f>AND(G2&lt;&gt;"", IFERROR(INDEX('Recommendations'!$H$2:$H$105, MATCH(G2,'Recommendations'!$A$2:$A$105,0))="Risk Accepted", FALSE))</xm:f>
            <x14:dxf>
              <font>
                <color rgb="FF000000"/>
              </font>
              <fill>
                <patternFill>
                  <bgColor rgb="FFD9D9D9"/>
                </patternFill>
              </fill>
            </x14:dxf>
          </x14:cfRule>
          <x14:cfRule type="expression" priority="6" id="{00000000-000E-0000-0800-000006000000}">
            <xm:f>AND(G2&lt;&gt;"", IFERROR(INDEX('Recommendations'!$H$2:$H$105, MATCH(G2,'Recommendations'!$A$2:$A$105,0))="N/A",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F5 BIG-IP TMOS Security Technical Implementation Guide - SHGIR</dc:title>
  <dc:subject>Generated on: 2026-06-08 13:01:32</dc:subject>
  <dc:creator>Anicet Fopa Tchoffo</dc:creator>
  <cp:keywords>Baseline;Hardening;DISA;STIG</cp:keywords>
  <dc:description>Baseline Developed By: F5 and Defense Information Systems Agency (DISA) for the US DoD</dc:description>
  <cp:lastModifiedBy>Anicet Fopa Tchoffo</cp:lastModifiedBy>
  <dcterms:modified xsi:type="dcterms:W3CDTF">2026-06-08T12:01:47Z</dcterms:modified>
  <cp:category>DISA-STIG</cp:category>
  <cp:contentStatus>Draft</cp:contentStatus>
</cp:coreProperties>
</file>