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77FE399EF393B17BB168266213D5C46513139C54" xr6:coauthVersionLast="47" xr6:coauthVersionMax="47" xr10:uidLastSave="{EE45F26D-A460-462C-B6B1-028AAD1BECED}"/>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22" i="1"/>
  <c r="M21" i="1"/>
  <c r="M20" i="1"/>
  <c r="M19" i="1"/>
  <c r="M18" i="1"/>
  <c r="M17" i="1"/>
  <c r="M16" i="1"/>
  <c r="M15" i="1"/>
  <c r="M14" i="1"/>
  <c r="M13" i="1"/>
  <c r="M12" i="1"/>
  <c r="M11" i="1"/>
  <c r="M10" i="1"/>
  <c r="M9" i="1"/>
  <c r="M8" i="1"/>
  <c r="M7" i="1"/>
  <c r="M6" i="1"/>
  <c r="M5" i="1"/>
  <c r="M4" i="1"/>
  <c r="M3" i="1"/>
  <c r="M2" i="1"/>
  <c r="F133" i="3" s="1"/>
  <c r="R208" i="3"/>
  <c r="R207" i="3"/>
  <c r="R206" i="3"/>
  <c r="R205" i="3"/>
  <c r="R204" i="3"/>
  <c r="R203" i="3"/>
  <c r="R202" i="3"/>
  <c r="R201" i="3"/>
  <c r="R200" i="3"/>
  <c r="R199" i="3"/>
  <c r="R198" i="3"/>
  <c r="R197" i="3"/>
  <c r="R196" i="3"/>
  <c r="R195" i="3"/>
  <c r="R194" i="3"/>
  <c r="R193" i="3"/>
  <c r="R192" i="3"/>
  <c r="R191" i="3"/>
  <c r="R190" i="3"/>
  <c r="R189" i="3"/>
  <c r="O133" i="3"/>
  <c r="N133" i="3"/>
  <c r="M133" i="3"/>
  <c r="L133" i="3"/>
  <c r="K133" i="3"/>
  <c r="E133" i="3"/>
  <c r="O132" i="3"/>
  <c r="N132" i="3"/>
  <c r="M132" i="3"/>
  <c r="L132" i="3"/>
  <c r="K132" i="3"/>
  <c r="F132" i="3"/>
  <c r="E132" i="3"/>
  <c r="G132" i="3" s="1"/>
  <c r="O131" i="3"/>
  <c r="N131" i="3"/>
  <c r="M131" i="3"/>
  <c r="L131" i="3"/>
  <c r="K131" i="3"/>
  <c r="F131" i="3"/>
  <c r="E131" i="3"/>
  <c r="G131" i="3" s="1"/>
  <c r="O130" i="3"/>
  <c r="N130" i="3"/>
  <c r="M130" i="3"/>
  <c r="L130" i="3"/>
  <c r="K130" i="3"/>
  <c r="F130" i="3"/>
  <c r="E130" i="3"/>
  <c r="G130" i="3" s="1"/>
  <c r="O129" i="3"/>
  <c r="N129" i="3"/>
  <c r="M129" i="3"/>
  <c r="L129" i="3"/>
  <c r="K129" i="3"/>
  <c r="F129" i="3"/>
  <c r="E129" i="3"/>
  <c r="G129" i="3" s="1"/>
  <c r="O128" i="3"/>
  <c r="N128" i="3"/>
  <c r="M128" i="3"/>
  <c r="L128" i="3"/>
  <c r="K128" i="3"/>
  <c r="F128" i="3"/>
  <c r="E128" i="3"/>
  <c r="G128" i="3" s="1"/>
  <c r="E114" i="3"/>
  <c r="D114" i="3"/>
  <c r="C114" i="3"/>
  <c r="F114" i="3" s="1"/>
  <c r="E113" i="3"/>
  <c r="D113" i="3"/>
  <c r="C113" i="3"/>
  <c r="F113" i="3" s="1"/>
  <c r="E112" i="3"/>
  <c r="D112" i="3"/>
  <c r="C112" i="3"/>
  <c r="F112" i="3" s="1"/>
  <c r="E111" i="3"/>
  <c r="D111" i="3"/>
  <c r="C111" i="3"/>
  <c r="F111" i="3" s="1"/>
  <c r="F94" i="3"/>
  <c r="E102" i="3" s="1"/>
  <c r="E94" i="3"/>
  <c r="D94" i="3"/>
  <c r="C94" i="3"/>
  <c r="F93" i="3"/>
  <c r="E101" i="3" s="1"/>
  <c r="E93" i="3"/>
  <c r="D93" i="3"/>
  <c r="C93" i="3"/>
  <c r="E92" i="3"/>
  <c r="D92" i="3"/>
  <c r="C92" i="3"/>
  <c r="W144" i="3" s="1"/>
  <c r="E91" i="3"/>
  <c r="D91" i="3"/>
  <c r="C91" i="3"/>
  <c r="F91" i="3" s="1"/>
  <c r="F90" i="3"/>
  <c r="T174" i="3" s="1"/>
  <c r="E90" i="3"/>
  <c r="D90" i="3"/>
  <c r="C90" i="3"/>
  <c r="S144" i="3" s="1"/>
  <c r="E76" i="3"/>
  <c r="D76" i="3"/>
  <c r="C76" i="3"/>
  <c r="F76" i="3" s="1"/>
  <c r="E75" i="3"/>
  <c r="D75" i="3"/>
  <c r="C75" i="3"/>
  <c r="F75" i="3" s="1"/>
  <c r="E57" i="3"/>
  <c r="D57" i="3"/>
  <c r="C57" i="3"/>
  <c r="F57" i="3" s="1"/>
  <c r="F56" i="3"/>
  <c r="E65" i="3" s="1"/>
  <c r="E56" i="3"/>
  <c r="D56" i="3"/>
  <c r="C56" i="3"/>
  <c r="E55" i="3"/>
  <c r="F55" i="3" s="1"/>
  <c r="D55" i="3"/>
  <c r="C55" i="3"/>
  <c r="E54" i="3"/>
  <c r="D54" i="3"/>
  <c r="C54" i="3"/>
  <c r="F54" i="3" s="1"/>
  <c r="E53" i="3"/>
  <c r="D53" i="3"/>
  <c r="C53" i="3"/>
  <c r="F53" i="3" s="1"/>
  <c r="E52" i="3"/>
  <c r="D52" i="3"/>
  <c r="C52" i="3"/>
  <c r="F52" i="3" s="1"/>
  <c r="E34" i="3"/>
  <c r="D34" i="3"/>
  <c r="C34" i="3"/>
  <c r="F34" i="3" s="1"/>
  <c r="E33" i="3"/>
  <c r="D33" i="3"/>
  <c r="C33" i="3"/>
  <c r="F33" i="3" s="1"/>
  <c r="E32" i="3"/>
  <c r="D32" i="3"/>
  <c r="C32" i="3"/>
  <c r="F32" i="3" s="1"/>
  <c r="E31" i="3"/>
  <c r="D31" i="3"/>
  <c r="C31" i="3"/>
  <c r="F31" i="3" s="1"/>
  <c r="E30" i="3"/>
  <c r="D30" i="3"/>
  <c r="C30" i="3"/>
  <c r="F30" i="3" s="1"/>
  <c r="E29" i="3"/>
  <c r="D29" i="3"/>
  <c r="C29" i="3"/>
  <c r="F29" i="3" s="1"/>
  <c r="F16" i="3"/>
  <c r="R174" i="3" s="1"/>
  <c r="E16" i="3"/>
  <c r="D16" i="3"/>
  <c r="C16" i="3"/>
  <c r="Q144" i="3" s="1"/>
  <c r="D9" i="3"/>
  <c r="C9" i="3"/>
  <c r="D8" i="3"/>
  <c r="C8" i="3"/>
  <c r="C7" i="3"/>
  <c r="D7" i="3" s="1"/>
  <c r="E119" i="3" l="1"/>
  <c r="D119" i="3"/>
  <c r="C119" i="3"/>
  <c r="E120" i="3"/>
  <c r="D120" i="3"/>
  <c r="C120" i="3"/>
  <c r="E40" i="3"/>
  <c r="D40" i="3"/>
  <c r="C40" i="3"/>
  <c r="V173" i="3"/>
  <c r="V168" i="3"/>
  <c r="V163" i="3"/>
  <c r="V158" i="3"/>
  <c r="V153" i="3"/>
  <c r="V148" i="3"/>
  <c r="E99" i="3"/>
  <c r="D99" i="3"/>
  <c r="C99" i="3"/>
  <c r="V172" i="3"/>
  <c r="V167" i="3"/>
  <c r="V162" i="3"/>
  <c r="V157" i="3"/>
  <c r="V152" i="3"/>
  <c r="V147" i="3"/>
  <c r="V176" i="3"/>
  <c r="V171" i="3"/>
  <c r="V166" i="3"/>
  <c r="V161" i="3"/>
  <c r="V156" i="3"/>
  <c r="V151" i="3"/>
  <c r="V146" i="3"/>
  <c r="V175" i="3"/>
  <c r="V170" i="3"/>
  <c r="V165" i="3"/>
  <c r="V160" i="3"/>
  <c r="V155" i="3"/>
  <c r="V150" i="3"/>
  <c r="V174" i="3"/>
  <c r="V169" i="3"/>
  <c r="V164" i="3"/>
  <c r="V159" i="3"/>
  <c r="V154" i="3"/>
  <c r="V149" i="3"/>
  <c r="G133" i="3"/>
  <c r="D63" i="3"/>
  <c r="E63" i="3"/>
  <c r="C63" i="3"/>
  <c r="E42" i="3"/>
  <c r="D42" i="3"/>
  <c r="C42" i="3"/>
  <c r="D61" i="3"/>
  <c r="E61" i="3"/>
  <c r="C61" i="3"/>
  <c r="E41" i="3"/>
  <c r="D41" i="3"/>
  <c r="C41" i="3"/>
  <c r="D38" i="3"/>
  <c r="E38" i="3"/>
  <c r="C38" i="3"/>
  <c r="E62" i="3"/>
  <c r="D62" i="3"/>
  <c r="C62" i="3"/>
  <c r="E64" i="3"/>
  <c r="D64" i="3"/>
  <c r="C64" i="3"/>
  <c r="E121" i="3"/>
  <c r="D121" i="3"/>
  <c r="C121" i="3"/>
  <c r="E66" i="3"/>
  <c r="D66" i="3"/>
  <c r="C66" i="3"/>
  <c r="E43" i="3"/>
  <c r="D43" i="3"/>
  <c r="C43" i="3"/>
  <c r="D80" i="3"/>
  <c r="E80" i="3"/>
  <c r="C80" i="3"/>
  <c r="E81" i="3"/>
  <c r="D81" i="3"/>
  <c r="C81" i="3"/>
  <c r="E118" i="3"/>
  <c r="D118" i="3"/>
  <c r="C118" i="3"/>
  <c r="C39" i="3"/>
  <c r="D39" i="3"/>
  <c r="E39" i="3"/>
  <c r="C101" i="3"/>
  <c r="D101" i="3"/>
  <c r="F92" i="3"/>
  <c r="R150" i="3"/>
  <c r="R155" i="3"/>
  <c r="R160" i="3"/>
  <c r="R165" i="3"/>
  <c r="R170" i="3"/>
  <c r="R175" i="3"/>
  <c r="C102" i="3"/>
  <c r="T150" i="3"/>
  <c r="T155" i="3"/>
  <c r="T160" i="3"/>
  <c r="T165" i="3"/>
  <c r="T170" i="3"/>
  <c r="T175" i="3"/>
  <c r="D102" i="3"/>
  <c r="U144" i="3"/>
  <c r="R146" i="3"/>
  <c r="R151" i="3"/>
  <c r="R156" i="3"/>
  <c r="R161" i="3"/>
  <c r="R166" i="3"/>
  <c r="R171" i="3"/>
  <c r="R176" i="3"/>
  <c r="T146" i="3"/>
  <c r="T151" i="3"/>
  <c r="T156" i="3"/>
  <c r="T161" i="3"/>
  <c r="T166" i="3"/>
  <c r="T171" i="3"/>
  <c r="T176" i="3"/>
  <c r="R147" i="3"/>
  <c r="R152" i="3"/>
  <c r="R157" i="3"/>
  <c r="R162" i="3"/>
  <c r="R167" i="3"/>
  <c r="R172" i="3"/>
  <c r="C20" i="3"/>
  <c r="D20" i="3"/>
  <c r="C65" i="3"/>
  <c r="C98" i="3"/>
  <c r="T147" i="3"/>
  <c r="T152" i="3"/>
  <c r="T157" i="3"/>
  <c r="T162" i="3"/>
  <c r="T167" i="3"/>
  <c r="T172" i="3"/>
  <c r="E20" i="3"/>
  <c r="D65" i="3"/>
  <c r="D98" i="3"/>
  <c r="E98" i="3"/>
  <c r="R148" i="3"/>
  <c r="R153" i="3"/>
  <c r="R158" i="3"/>
  <c r="R163" i="3"/>
  <c r="R168" i="3"/>
  <c r="R173" i="3"/>
  <c r="T148" i="3"/>
  <c r="T153" i="3"/>
  <c r="T158" i="3"/>
  <c r="T163" i="3"/>
  <c r="T168" i="3"/>
  <c r="T173" i="3"/>
  <c r="R149" i="3"/>
  <c r="R154" i="3"/>
  <c r="R159" i="3"/>
  <c r="R164" i="3"/>
  <c r="R169" i="3"/>
  <c r="T149" i="3"/>
  <c r="T154" i="3"/>
  <c r="T159" i="3"/>
  <c r="T164" i="3"/>
  <c r="T169" i="3"/>
  <c r="E100" i="3" l="1"/>
  <c r="D100" i="3"/>
  <c r="X173" i="3"/>
  <c r="X168" i="3"/>
  <c r="X163" i="3"/>
  <c r="X158" i="3"/>
  <c r="X153" i="3"/>
  <c r="X148" i="3"/>
  <c r="C100" i="3"/>
  <c r="X172" i="3"/>
  <c r="X167" i="3"/>
  <c r="X162" i="3"/>
  <c r="X157" i="3"/>
  <c r="X152" i="3"/>
  <c r="X147" i="3"/>
  <c r="X176" i="3"/>
  <c r="X171" i="3"/>
  <c r="X166" i="3"/>
  <c r="X161" i="3"/>
  <c r="X156" i="3"/>
  <c r="X151" i="3"/>
  <c r="X146" i="3"/>
  <c r="X175" i="3"/>
  <c r="X170" i="3"/>
  <c r="X165" i="3"/>
  <c r="X160" i="3"/>
  <c r="X155" i="3"/>
  <c r="X150" i="3"/>
  <c r="X174" i="3"/>
  <c r="X169" i="3"/>
  <c r="X164" i="3"/>
  <c r="X159" i="3"/>
  <c r="X154" i="3"/>
  <c r="X14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26" authorId="0" shapeId="0" xr:uid="{00000000-0006-0000-0400-000001000000}">
      <text>
        <r>
          <rPr>
            <sz val="11"/>
            <rFont val="Calibri"/>
          </rPr>
          <t>Citrix License Server must implement DoD-approved encryption to protect the confidentiality of remote access sessions.</t>
        </r>
      </text>
    </comment>
    <comment ref="K26" authorId="0" shapeId="0" xr:uid="{00000000-0006-0000-0400-000009000000}">
      <text>
        <r>
          <rPr>
            <sz val="11"/>
            <rFont val="Calibri"/>
          </rPr>
          <t>Citrix License Server must protect the authenticity of communications sessions.</t>
        </r>
      </text>
    </comment>
    <comment ref="L26" authorId="0" shapeId="0" xr:uid="{00000000-0006-0000-0400-000002000000}">
      <text>
        <r>
          <rPr>
            <sz val="11"/>
            <rFont val="Calibri"/>
          </rPr>
          <t>Citrix License Server must protect the confidentiality and integrity of transmitted information.</t>
        </r>
      </text>
    </comment>
    <comment ref="M26" authorId="0" shapeId="0" xr:uid="{00000000-0006-0000-0400-000003000000}">
      <text>
        <r>
          <rPr>
            <sz val="11"/>
            <rFont val="Calibri"/>
          </rPr>
          <t>Citrix License Server must implement cryptographic mechanisms to prevent unauthorized disclosure of information and/or detect changes to information during transmission unless otherwise protected by alternative physical safeguards, such as, at a minimum, a Protected Distribution Systems (PDS).</t>
        </r>
      </text>
    </comment>
    <comment ref="N26" authorId="0" shapeId="0" xr:uid="{00000000-0006-0000-0400-000004000000}">
      <text>
        <r>
          <rPr>
            <sz val="11"/>
            <rFont val="Calibri"/>
          </rPr>
          <t>Citrix License Server must maintain the confidentiality and integrity of information during reception.</t>
        </r>
      </text>
    </comment>
    <comment ref="O26" authorId="0" shapeId="0" xr:uid="{00000000-0006-0000-0400-000005000000}">
      <text>
        <r>
          <rPr>
            <sz val="11"/>
            <rFont val="Calibri"/>
          </rPr>
          <t>The Citrix Storefront server must implement DoD-approved encryption to protect the confidentiality of remote access sessions.</t>
        </r>
      </text>
    </comment>
    <comment ref="P26" authorId="0" shapeId="0" xr:uid="{00000000-0006-0000-0400-000006000000}">
      <text>
        <r>
          <rPr>
            <sz val="11"/>
            <rFont val="Calibri"/>
          </rPr>
          <t>Citrix Windows Virtual Delivery Agent must implement DoD-approved encryption.</t>
        </r>
      </text>
    </comment>
    <comment ref="Q26" authorId="0" shapeId="0" xr:uid="{00000000-0006-0000-0400-000007000000}">
      <text>
        <r>
          <rPr>
            <sz val="11"/>
            <rFont val="Calibri"/>
          </rPr>
          <t>Citrix Linux Virtual Delivery Agent must implement DoD-approved encryption.</t>
        </r>
      </text>
    </comment>
    <comment ref="R26" authorId="0" shapeId="0" xr:uid="{00000000-0006-0000-0400-000008000000}">
      <text>
        <r>
          <rPr>
            <sz val="11"/>
            <rFont val="Calibri"/>
          </rPr>
          <t>Citrix Delivery Controller must implement DoD-approved encryption.</t>
        </r>
      </text>
    </comment>
    <comment ref="J32" authorId="0" shapeId="0" xr:uid="{00000000-0006-0000-0400-00000A000000}">
      <text>
        <r>
          <rPr>
            <sz val="11"/>
            <rFont val="Calibri"/>
          </rPr>
          <t>Citrix Delivery Controller must be configured in accordance with the security configuration settings based on DoD security configuration or implementation guidance, including STIGs, NSA configuration guides, CTOs, and DTMs.</t>
        </r>
      </text>
    </comment>
    <comment ref="J39" authorId="0" shapeId="0" xr:uid="{00000000-0006-0000-0400-00000B000000}">
      <text>
        <r>
          <rPr>
            <sz val="11"/>
            <rFont val="Calibri"/>
          </rPr>
          <t>Citrix Windows Virtual Delivery Agent must be configured to prohibit or restrict the use of ports, as defined in the PPSM CAL and vulnerability assessments.</t>
        </r>
      </text>
    </comment>
    <comment ref="K39" authorId="0" shapeId="0" xr:uid="{00000000-0006-0000-0400-00000C000000}">
      <text>
        <r>
          <rPr>
            <sz val="11"/>
            <rFont val="Calibri"/>
          </rPr>
          <t>The application must be configured to disable non-essential capabilities.</t>
        </r>
      </text>
    </comment>
    <comment ref="L39" authorId="0" shapeId="0" xr:uid="{00000000-0006-0000-0400-00000D000000}">
      <text>
        <r>
          <rPr>
            <sz val="11"/>
            <rFont val="Calibri"/>
          </rPr>
          <t>Citrix Linux Virtual Delivery Agent (LVDA) must be configured to prohibit or restrict the use of ports, as defined in the PPSM CAL and vulnerability assessments.</t>
        </r>
      </text>
    </comment>
    <comment ref="M39" authorId="0" shapeId="0" xr:uid="{00000000-0006-0000-0400-00000E000000}">
      <text>
        <r>
          <rPr>
            <sz val="11"/>
            <rFont val="Calibri"/>
          </rPr>
          <t>Citrix Delivery Controller must be configured to disable non-essential capabilities.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Citrix License Server must prohibit the use of cached authenticators after an organization-defined time period.</t>
        </r>
      </text>
    </comment>
    <comment ref="I2" authorId="0" shapeId="0" xr:uid="{00000000-0006-0000-0500-000003000000}">
      <text>
        <r>
          <rPr>
            <sz val="11"/>
            <rFont val="Calibri"/>
          </rPr>
          <t>The application must limit the number of concurrent sessions to three.</t>
        </r>
      </text>
    </comment>
    <comment ref="J2" authorId="0" shapeId="0" xr:uid="{00000000-0006-0000-0500-000002000000}">
      <text>
        <r>
          <rPr>
            <sz val="11"/>
            <rFont val="Calibri"/>
          </rPr>
          <t>The application must initiate a session lock after a 15-minute period of inactivity.</t>
        </r>
      </text>
    </comment>
    <comment ref="H14" authorId="0" shapeId="0" xr:uid="{00000000-0006-0000-0500-000004000000}">
      <text>
        <r>
          <rPr>
            <sz val="11"/>
            <rFont val="Calibri"/>
          </rPr>
          <t>Citrix Windows Virtual Delivery Agent must be configured to prohibit or restrict the use of ports, as defined in the PPSM CAL and vulnerability assessments.</t>
        </r>
      </text>
    </comment>
    <comment ref="I14" authorId="0" shapeId="0" xr:uid="{00000000-0006-0000-0500-000006000000}">
      <text>
        <r>
          <rPr>
            <sz val="11"/>
            <rFont val="Calibri"/>
          </rPr>
          <t>The application must be configured to disable non-essential capabilities.</t>
        </r>
      </text>
    </comment>
    <comment ref="J14" authorId="0" shapeId="0" xr:uid="{00000000-0006-0000-0500-000007000000}">
      <text>
        <r>
          <rPr>
            <sz val="11"/>
            <rFont val="Calibri"/>
          </rPr>
          <t>Citrix Linux Virtual Delivery Agent (LVDA) must be configured to prohibit or restrict the use of ports, as defined in the PPSM CAL and vulnerability assessments.</t>
        </r>
      </text>
    </comment>
    <comment ref="K14" authorId="0" shapeId="0" xr:uid="{00000000-0006-0000-0500-000005000000}">
      <text>
        <r>
          <rPr>
            <sz val="11"/>
            <rFont val="Calibri"/>
          </rPr>
          <t>Citrix Delivery Controller must be configured to disable non-essential capabilities.</t>
        </r>
      </text>
    </comment>
    <comment ref="H16" authorId="0" shapeId="0" xr:uid="{00000000-0006-0000-0500-000008000000}">
      <text>
        <r>
          <rPr>
            <sz val="11"/>
            <rFont val="Calibri"/>
          </rPr>
          <t>Citrix License Server must implement DoD-approved encryption to protect the confidentiality of remote access sessions.</t>
        </r>
      </text>
    </comment>
    <comment ref="I16" authorId="0" shapeId="0" xr:uid="{00000000-0006-0000-0500-00000E000000}">
      <text>
        <r>
          <rPr>
            <sz val="11"/>
            <rFont val="Calibri"/>
          </rPr>
          <t>Citrix License Server must protect the authenticity of communications sessions.</t>
        </r>
      </text>
    </comment>
    <comment ref="J16" authorId="0" shapeId="0" xr:uid="{00000000-0006-0000-0500-00000F000000}">
      <text>
        <r>
          <rPr>
            <sz val="11"/>
            <rFont val="Calibri"/>
          </rPr>
          <t>Citrix License Server must protect the confidentiality and integrity of transmitted information.</t>
        </r>
      </text>
    </comment>
    <comment ref="K16" authorId="0" shapeId="0" xr:uid="{00000000-0006-0000-0500-000010000000}">
      <text>
        <r>
          <rPr>
            <sz val="11"/>
            <rFont val="Calibri"/>
          </rPr>
          <t>Citrix License Server must implement cryptographic mechanisms to prevent unauthorized disclosure of information and/or detect changes to information during transmission unless otherwise protected by alternative physical safeguards, such as, at a minimum, a Protected Distribution Systems (PDS).</t>
        </r>
      </text>
    </comment>
    <comment ref="L16" authorId="0" shapeId="0" xr:uid="{00000000-0006-0000-0500-000009000000}">
      <text>
        <r>
          <rPr>
            <sz val="11"/>
            <rFont val="Calibri"/>
          </rPr>
          <t>Citrix License Server must maintain the confidentiality and integrity of information during reception.</t>
        </r>
      </text>
    </comment>
    <comment ref="M16" authorId="0" shapeId="0" xr:uid="{00000000-0006-0000-0500-00000A000000}">
      <text>
        <r>
          <rPr>
            <sz val="11"/>
            <rFont val="Calibri"/>
          </rPr>
          <t>The Citrix Storefront server must implement DoD-approved encryption to protect the confidentiality of remote access sessions.</t>
        </r>
      </text>
    </comment>
    <comment ref="N16" authorId="0" shapeId="0" xr:uid="{00000000-0006-0000-0500-00000B000000}">
      <text>
        <r>
          <rPr>
            <sz val="11"/>
            <rFont val="Calibri"/>
          </rPr>
          <t>Citrix Windows Virtual Delivery Agent must implement DoD-approved encryption.</t>
        </r>
      </text>
    </comment>
    <comment ref="O16" authorId="0" shapeId="0" xr:uid="{00000000-0006-0000-0500-00000C000000}">
      <text>
        <r>
          <rPr>
            <sz val="11"/>
            <rFont val="Calibri"/>
          </rPr>
          <t>Citrix Linux Virtual Delivery Agent must implement DoD-approved encryption.</t>
        </r>
      </text>
    </comment>
    <comment ref="P16" authorId="0" shapeId="0" xr:uid="{00000000-0006-0000-0500-00000D000000}">
      <text>
        <r>
          <rPr>
            <sz val="11"/>
            <rFont val="Calibri"/>
          </rPr>
          <t>Citrix Delivery Controller must implement DoD-approved encryption.</t>
        </r>
      </text>
    </comment>
    <comment ref="H24" authorId="0" shapeId="0" xr:uid="{00000000-0006-0000-0500-000011000000}">
      <text>
        <r>
          <rPr>
            <sz val="11"/>
            <rFont val="Calibri"/>
          </rPr>
          <t>Citrix StoreFront server must accept Personal Identity Verification (PIV) credentials.</t>
        </r>
      </text>
    </comment>
    <comment ref="I24" authorId="0" shapeId="0" xr:uid="{00000000-0006-0000-0500-000012000000}">
      <text>
        <r>
          <rPr>
            <sz val="11"/>
            <rFont val="Calibri"/>
          </rPr>
          <t>Citrix Workspace must accept Personal Identity Verification (PIV) credentials.</t>
        </r>
      </text>
    </comment>
    <comment ref="H31" authorId="0" shapeId="0" xr:uid="{00000000-0006-0000-0500-000013000000}">
      <text>
        <r>
          <rPr>
            <sz val="11"/>
            <rFont val="Calibri"/>
          </rPr>
          <t>Citrix License Server must allow only the ISSM (or individuals or roles appointed by the ISSM) to select which auditable events are to be audited.</t>
        </r>
      </text>
    </comment>
    <comment ref="H38" authorId="0" shapeId="0" xr:uid="{00000000-0006-0000-0500-000014000000}">
      <text>
        <r>
          <rPr>
            <sz val="11"/>
            <rFont val="Calibri"/>
          </rPr>
          <t>Citrix Linux Virtual Delivery Agent must only allow the use of DoD PKI established certificate authorities for verification of the establishment of protected sessions.</t>
        </r>
      </text>
    </comment>
    <comment ref="I38" authorId="0" shapeId="0" xr:uid="{00000000-0006-0000-0500-000015000000}">
      <text>
        <r>
          <rPr>
            <sz val="11"/>
            <rFont val="Calibri"/>
          </rPr>
          <t>Citrix Delivery Controller must be configured in accordance with the security configuration settings based on DoD security configuration or implementation guidance, including STIGs, NSA configuration guides, CTOs, and DTMs.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2" authorId="0" shapeId="0" xr:uid="{00000000-0006-0000-0600-000001000000}">
      <text>
        <r>
          <rPr>
            <sz val="11"/>
            <rFont val="Calibri"/>
          </rPr>
          <t>The application must initiate a session lock after a 15-minute period of inactivity.</t>
        </r>
      </text>
    </comment>
    <comment ref="J23" authorId="0" shapeId="0" xr:uid="{00000000-0006-0000-0600-000002000000}">
      <text>
        <r>
          <rPr>
            <sz val="11"/>
            <rFont val="Calibri"/>
          </rPr>
          <t>Citrix License Server must allow only the ISSM (or individuals or roles appointed by the ISSM) to select which auditable events are to be audited.</t>
        </r>
      </text>
    </comment>
    <comment ref="J32" authorId="0" shapeId="0" xr:uid="{00000000-0006-0000-0600-000003000000}">
      <text>
        <r>
          <rPr>
            <sz val="11"/>
            <rFont val="Calibri"/>
          </rPr>
          <t>Citrix Delivery Controller must be configured in accordance with the security configuration settings based on DoD security configuration or implementation guidance, including STIGs, NSA configuration guides, CTOs, and DTMs.</t>
        </r>
      </text>
    </comment>
    <comment ref="J37" authorId="0" shapeId="0" xr:uid="{00000000-0006-0000-0600-000004000000}">
      <text>
        <r>
          <rPr>
            <sz val="11"/>
            <rFont val="Calibri"/>
          </rPr>
          <t>Citrix Windows Virtual Delivery Agent must be configured to prohibit or restrict the use of ports, as defined in the PPSM CAL and vulnerability assessments.</t>
        </r>
      </text>
    </comment>
    <comment ref="K37" authorId="0" shapeId="0" xr:uid="{00000000-0006-0000-0600-000007000000}">
      <text>
        <r>
          <rPr>
            <sz val="11"/>
            <rFont val="Calibri"/>
          </rPr>
          <t>The application must be configured to disable non-essential capabilities.</t>
        </r>
      </text>
    </comment>
    <comment ref="L37" authorId="0" shapeId="0" xr:uid="{00000000-0006-0000-0600-000005000000}">
      <text>
        <r>
          <rPr>
            <sz val="11"/>
            <rFont val="Calibri"/>
          </rPr>
          <t>Citrix Linux Virtual Delivery Agent (LVDA) must be configured to prohibit or restrict the use of ports, as defined in the PPSM CAL and vulnerability assessments.</t>
        </r>
      </text>
    </comment>
    <comment ref="M37" authorId="0" shapeId="0" xr:uid="{00000000-0006-0000-0600-000006000000}">
      <text>
        <r>
          <rPr>
            <sz val="11"/>
            <rFont val="Calibri"/>
          </rPr>
          <t>Citrix Delivery Controller must be configured to disable non-essential capabilities.</t>
        </r>
      </text>
    </comment>
    <comment ref="J43" authorId="0" shapeId="0" xr:uid="{00000000-0006-0000-0600-000008000000}">
      <text>
        <r>
          <rPr>
            <sz val="11"/>
            <rFont val="Calibri"/>
          </rPr>
          <t>Citrix License Server must prohibit the use of cached authenticators after an organization-defined time period.</t>
        </r>
      </text>
    </comment>
    <comment ref="J45" authorId="0" shapeId="0" xr:uid="{00000000-0006-0000-0600-000009000000}">
      <text>
        <r>
          <rPr>
            <sz val="11"/>
            <rFont val="Calibri"/>
          </rPr>
          <t>Citrix StoreFront server must accept Personal Identity Verification (PIV) credentials.</t>
        </r>
      </text>
    </comment>
    <comment ref="K45" authorId="0" shapeId="0" xr:uid="{00000000-0006-0000-0600-00000A000000}">
      <text>
        <r>
          <rPr>
            <sz val="11"/>
            <rFont val="Calibri"/>
          </rPr>
          <t>Citrix Workspace must accept Personal Identity Verification (PIV) credentials.</t>
        </r>
      </text>
    </comment>
    <comment ref="J46" authorId="0" shapeId="0" xr:uid="{00000000-0006-0000-0600-00000B000000}">
      <text>
        <r>
          <rPr>
            <sz val="11"/>
            <rFont val="Calibri"/>
          </rPr>
          <t>Citrix License Server must prohibit the use of cached authenticators after an organization-defined time period.</t>
        </r>
      </text>
    </comment>
    <comment ref="J91" authorId="0" shapeId="0" xr:uid="{00000000-0006-0000-0600-00000C000000}">
      <text>
        <r>
          <rPr>
            <sz val="11"/>
            <rFont val="Calibri"/>
          </rPr>
          <t>Citrix License Server must implement DoD-approved encryption to protect the confidentiality of remote access sessions.</t>
        </r>
      </text>
    </comment>
    <comment ref="K91" authorId="0" shapeId="0" xr:uid="{00000000-0006-0000-0600-000011000000}">
      <text>
        <r>
          <rPr>
            <sz val="11"/>
            <rFont val="Calibri"/>
          </rPr>
          <t>Citrix License Server must protect the confidentiality and integrity of transmitted information.</t>
        </r>
      </text>
    </comment>
    <comment ref="L91" authorId="0" shapeId="0" xr:uid="{00000000-0006-0000-0600-000012000000}">
      <text>
        <r>
          <rPr>
            <sz val="11"/>
            <rFont val="Calibri"/>
          </rPr>
          <t>Citrix License Server must implement cryptographic mechanisms to prevent unauthorized disclosure of information and/or detect changes to information during transmission unless otherwise protected by alternative physical safeguards, such as, at a minimum, a Protected Distribution Systems (PDS).</t>
        </r>
      </text>
    </comment>
    <comment ref="M91" authorId="0" shapeId="0" xr:uid="{00000000-0006-0000-0600-000013000000}">
      <text>
        <r>
          <rPr>
            <sz val="11"/>
            <rFont val="Calibri"/>
          </rPr>
          <t>Citrix License Server must maintain the confidentiality and integrity of information during reception.</t>
        </r>
      </text>
    </comment>
    <comment ref="N91" authorId="0" shapeId="0" xr:uid="{00000000-0006-0000-0600-00000D000000}">
      <text>
        <r>
          <rPr>
            <sz val="11"/>
            <rFont val="Calibri"/>
          </rPr>
          <t>The Citrix Storefront server must implement DoD-approved encryption to protect the confidentiality of remote access sessions.</t>
        </r>
      </text>
    </comment>
    <comment ref="O91" authorId="0" shapeId="0" xr:uid="{00000000-0006-0000-0600-00000E000000}">
      <text>
        <r>
          <rPr>
            <sz val="11"/>
            <rFont val="Calibri"/>
          </rPr>
          <t>Citrix Windows Virtual Delivery Agent must implement DoD-approved encryption.</t>
        </r>
      </text>
    </comment>
    <comment ref="P91" authorId="0" shapeId="0" xr:uid="{00000000-0006-0000-0600-00000F000000}">
      <text>
        <r>
          <rPr>
            <sz val="11"/>
            <rFont val="Calibri"/>
          </rPr>
          <t>Citrix Linux Virtual Delivery Agent must implement DoD-approved encryption.</t>
        </r>
      </text>
    </comment>
    <comment ref="Q91" authorId="0" shapeId="0" xr:uid="{00000000-0006-0000-0600-000010000000}">
      <text>
        <r>
          <rPr>
            <sz val="11"/>
            <rFont val="Calibri"/>
          </rPr>
          <t>Citrix Delivery Controller must implement DoD-approved encryption.</t>
        </r>
      </text>
    </comment>
    <comment ref="J93" authorId="0" shapeId="0" xr:uid="{00000000-0006-0000-0600-000014000000}">
      <text>
        <r>
          <rPr>
            <sz val="11"/>
            <rFont val="Calibri"/>
          </rPr>
          <t>Citrix Linux Virtual Delivery Agent must only allow the use of DoD PKI established certificate authorities for verification of the establishment of protected sessions.</t>
        </r>
      </text>
    </comment>
    <comment ref="J94" authorId="0" shapeId="0" xr:uid="{00000000-0006-0000-0600-000015000000}">
      <text>
        <r>
          <rPr>
            <sz val="11"/>
            <rFont val="Calibri"/>
          </rPr>
          <t>Citrix License Server must implement cryptographic mechanisms to prevent unauthorized disclosure of information and/or detect changes to information during transmission unless otherwise protected by alternative physical safeguards, such as, at a minimum, a Protected Distribution Systems (PDS).</t>
        </r>
      </text>
    </comment>
    <comment ref="J97" authorId="0" shapeId="0" xr:uid="{00000000-0006-0000-0600-000016000000}">
      <text>
        <r>
          <rPr>
            <sz val="11"/>
            <rFont val="Calibri"/>
          </rPr>
          <t>Citrix License Server must implement DoD-approved encryption to protect the confidentiality of remote access sessions.</t>
        </r>
      </text>
    </comment>
    <comment ref="K97" authorId="0" shapeId="0" xr:uid="{00000000-0006-0000-0600-000017000000}">
      <text>
        <r>
          <rPr>
            <sz val="11"/>
            <rFont val="Calibri"/>
          </rPr>
          <t>Citrix License Server must protect the authenticity of communications sessions.</t>
        </r>
      </text>
    </comment>
    <comment ref="L97" authorId="0" shapeId="0" xr:uid="{00000000-0006-0000-0600-000018000000}">
      <text>
        <r>
          <rPr>
            <sz val="11"/>
            <rFont val="Calibri"/>
          </rPr>
          <t>The Citrix Storefront server must implement DoD-approved encryption to protect the confidentiality of remote access sessions.</t>
        </r>
      </text>
    </comment>
    <comment ref="M97" authorId="0" shapeId="0" xr:uid="{00000000-0006-0000-0600-000019000000}">
      <text>
        <r>
          <rPr>
            <sz val="11"/>
            <rFont val="Calibri"/>
          </rPr>
          <t>Citrix Windows Virtual Delivery Agent must implement DoD-approved encryption.</t>
        </r>
      </text>
    </comment>
    <comment ref="N97" authorId="0" shapeId="0" xr:uid="{00000000-0006-0000-0600-00001A000000}">
      <text>
        <r>
          <rPr>
            <sz val="11"/>
            <rFont val="Calibri"/>
          </rPr>
          <t>Citrix Linux Virtual Delivery Agent must implement DoD-approved encryption.</t>
        </r>
      </text>
    </comment>
    <comment ref="O97" authorId="0" shapeId="0" xr:uid="{00000000-0006-0000-0600-00001B000000}">
      <text>
        <r>
          <rPr>
            <sz val="11"/>
            <rFont val="Calibri"/>
          </rPr>
          <t>Citrix Delivery Controller must implement DoD-approved encryption.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Citrix License Server must prohibit the use of cached authenticators after an organization-defined time period.</t>
        </r>
      </text>
    </comment>
    <comment ref="H90" authorId="0" shapeId="0" xr:uid="{00000000-0006-0000-0700-000002000000}">
      <text>
        <r>
          <rPr>
            <sz val="11"/>
            <rFont val="Calibri"/>
          </rPr>
          <t>Citrix Linux Virtual Delivery Agent must only allow the use of DoD PKI established certificate authorities for verification of the establishment of protected sessions.</t>
        </r>
      </text>
    </comment>
    <comment ref="H91" authorId="0" shapeId="0" xr:uid="{00000000-0006-0000-0700-000003000000}">
      <text>
        <r>
          <rPr>
            <sz val="11"/>
            <rFont val="Calibri"/>
          </rPr>
          <t>Citrix StoreFront server must accept Personal Identity Verification (PIV) credentials.</t>
        </r>
      </text>
    </comment>
    <comment ref="I91" authorId="0" shapeId="0" xr:uid="{00000000-0006-0000-0700-000004000000}">
      <text>
        <r>
          <rPr>
            <sz val="11"/>
            <rFont val="Calibri"/>
          </rPr>
          <t>Citrix Workspace must accept Personal Identity Verification (PIV) credentials.</t>
        </r>
      </text>
    </comment>
    <comment ref="H111" authorId="0" shapeId="0" xr:uid="{00000000-0006-0000-0700-000005000000}">
      <text>
        <r>
          <rPr>
            <sz val="11"/>
            <rFont val="Calibri"/>
          </rPr>
          <t>Citrix License Server must implement DoD-approved encryption to protect the confidentiality of remote access sessions.</t>
        </r>
      </text>
    </comment>
    <comment ref="I111" authorId="0" shapeId="0" xr:uid="{00000000-0006-0000-0700-00000E000000}">
      <text>
        <r>
          <rPr>
            <sz val="11"/>
            <rFont val="Calibri"/>
          </rPr>
          <t>Citrix License Server must protect the authenticity of communications sessions.</t>
        </r>
      </text>
    </comment>
    <comment ref="J111" authorId="0" shapeId="0" xr:uid="{00000000-0006-0000-0700-000006000000}">
      <text>
        <r>
          <rPr>
            <sz val="11"/>
            <rFont val="Calibri"/>
          </rPr>
          <t>Citrix License Server must protect the confidentiality and integrity of transmitted information.</t>
        </r>
      </text>
    </comment>
    <comment ref="K111" authorId="0" shapeId="0" xr:uid="{00000000-0006-0000-0700-000007000000}">
      <text>
        <r>
          <rPr>
            <sz val="11"/>
            <rFont val="Calibri"/>
          </rPr>
          <t>Citrix License Server must implement cryptographic mechanisms to prevent unauthorized disclosure of information and/or detect changes to information during transmission unless otherwise protected by alternative physical safeguards, such as, at a minimum, a Protected Distribution Systems (PDS).</t>
        </r>
      </text>
    </comment>
    <comment ref="L111" authorId="0" shapeId="0" xr:uid="{00000000-0006-0000-0700-000008000000}">
      <text>
        <r>
          <rPr>
            <sz val="11"/>
            <rFont val="Calibri"/>
          </rPr>
          <t>Citrix License Server must maintain the confidentiality and integrity of information during reception.</t>
        </r>
      </text>
    </comment>
    <comment ref="M111" authorId="0" shapeId="0" xr:uid="{00000000-0006-0000-0700-000009000000}">
      <text>
        <r>
          <rPr>
            <sz val="11"/>
            <rFont val="Calibri"/>
          </rPr>
          <t>The Citrix Storefront server must implement DoD-approved encryption to protect the confidentiality of remote access sessions.</t>
        </r>
      </text>
    </comment>
    <comment ref="N111" authorId="0" shapeId="0" xr:uid="{00000000-0006-0000-0700-00000A000000}">
      <text>
        <r>
          <rPr>
            <sz val="11"/>
            <rFont val="Calibri"/>
          </rPr>
          <t>Citrix Windows Virtual Delivery Agent must implement DoD-approved encryption.</t>
        </r>
      </text>
    </comment>
    <comment ref="O111" authorId="0" shapeId="0" xr:uid="{00000000-0006-0000-0700-00000B000000}">
      <text>
        <r>
          <rPr>
            <sz val="11"/>
            <rFont val="Calibri"/>
          </rPr>
          <t>Citrix Linux Virtual Delivery Agent must implement DoD-approved encryption.</t>
        </r>
      </text>
    </comment>
    <comment ref="P111" authorId="0" shapeId="0" xr:uid="{00000000-0006-0000-0700-00000C000000}">
      <text>
        <r>
          <rPr>
            <sz val="11"/>
            <rFont val="Calibri"/>
          </rPr>
          <t>Citrix Linux Virtual Delivery Agent must only allow the use of DoD PKI established certificate authorities for verification of the establishment of protected sessions.</t>
        </r>
      </text>
    </comment>
    <comment ref="Q111" authorId="0" shapeId="0" xr:uid="{00000000-0006-0000-0700-00000D000000}">
      <text>
        <r>
          <rPr>
            <sz val="11"/>
            <rFont val="Calibri"/>
          </rPr>
          <t>Citrix Delivery Controller must implement DoD-approved encryption.</t>
        </r>
      </text>
    </comment>
    <comment ref="H149" authorId="0" shapeId="0" xr:uid="{00000000-0006-0000-0700-00000F000000}">
      <text>
        <r>
          <rPr>
            <sz val="11"/>
            <rFont val="Calibri"/>
          </rPr>
          <t>Citrix License Server must allow only the ISSM (or individuals or roles appointed by the ISSM) to select which auditable events are to be audited.</t>
        </r>
      </text>
    </comment>
    <comment ref="H151" authorId="0" shapeId="0" xr:uid="{00000000-0006-0000-0700-000010000000}">
      <text>
        <r>
          <rPr>
            <sz val="11"/>
            <rFont val="Calibri"/>
          </rPr>
          <t>Citrix Windows Virtual Delivery Agent must be configured to prohibit or restrict the use of ports, as defined in the PPSM CAL and vulnerability assessments.</t>
        </r>
      </text>
    </comment>
    <comment ref="I151" authorId="0" shapeId="0" xr:uid="{00000000-0006-0000-0700-000011000000}">
      <text>
        <r>
          <rPr>
            <sz val="11"/>
            <rFont val="Calibri"/>
          </rPr>
          <t>The application must be configured to disable non-essential capabilities.</t>
        </r>
      </text>
    </comment>
    <comment ref="J151" authorId="0" shapeId="0" xr:uid="{00000000-0006-0000-0700-000012000000}">
      <text>
        <r>
          <rPr>
            <sz val="11"/>
            <rFont val="Calibri"/>
          </rPr>
          <t>Citrix Linux Virtual Delivery Agent (LVDA) must be configured to prohibit or restrict the use of ports, as defined in the PPSM CAL and vulnerability assessments.</t>
        </r>
      </text>
    </comment>
    <comment ref="K151" authorId="0" shapeId="0" xr:uid="{00000000-0006-0000-0700-000013000000}">
      <text>
        <r>
          <rPr>
            <sz val="11"/>
            <rFont val="Calibri"/>
          </rPr>
          <t>Citrix Delivery Controller must be configured to disable non-essential capabilities.</t>
        </r>
      </text>
    </comment>
    <comment ref="L151" authorId="0" shapeId="0" xr:uid="{00000000-0006-0000-0700-000014000000}">
      <text>
        <r>
          <rPr>
            <sz val="11"/>
            <rFont val="Calibri"/>
          </rPr>
          <t>Citrix Delivery Controller must be configured in accordance with the security configuration settings based on DoD security configuration or implementation guidance, including STIGs, NSA configuration guides, CTOs, and DTMs.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Citrix Windows Virtual Delivery Agent must be configured to prohibit or restrict the use of ports, as defined in the PPSM CAL and vulnerability assessments.</t>
        </r>
      </text>
    </comment>
    <comment ref="H52" authorId="0" shapeId="0" xr:uid="{00000000-0006-0000-0800-000004000000}">
      <text>
        <r>
          <rPr>
            <sz val="11"/>
            <rFont val="Calibri"/>
          </rPr>
          <t>The application must be configured to disable non-essential capabilities.</t>
        </r>
      </text>
    </comment>
    <comment ref="I52" authorId="0" shapeId="0" xr:uid="{00000000-0006-0000-0800-000002000000}">
      <text>
        <r>
          <rPr>
            <sz val="11"/>
            <rFont val="Calibri"/>
          </rPr>
          <t>Citrix Linux Virtual Delivery Agent (LVDA) must be configured to prohibit or restrict the use of ports, as defined in the PPSM CAL and vulnerability assessments.</t>
        </r>
      </text>
    </comment>
    <comment ref="J52" authorId="0" shapeId="0" xr:uid="{00000000-0006-0000-0800-000003000000}">
      <text>
        <r>
          <rPr>
            <sz val="11"/>
            <rFont val="Calibri"/>
          </rPr>
          <t>Citrix Delivery Controller must be configured to disable non-essential capabilities.</t>
        </r>
      </text>
    </comment>
    <comment ref="G56" authorId="0" shapeId="0" xr:uid="{00000000-0006-0000-0800-000005000000}">
      <text>
        <r>
          <rPr>
            <sz val="11"/>
            <rFont val="Calibri"/>
          </rPr>
          <t>Citrix StoreFront server must accept Personal Identity Verification (PIV) credentials.</t>
        </r>
      </text>
    </comment>
    <comment ref="H56" authorId="0" shapeId="0" xr:uid="{00000000-0006-0000-0800-000006000000}">
      <text>
        <r>
          <rPr>
            <sz val="11"/>
            <rFont val="Calibri"/>
          </rPr>
          <t>Citrix Workspace must accept Personal Identity Verification (PIV) credentials.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1" authorId="0" shapeId="0" xr:uid="{00000000-0006-0000-0A00-000001000000}">
      <text>
        <r>
          <rPr>
            <sz val="11"/>
            <rFont val="Calibri"/>
          </rPr>
          <t>Citrix Windows Virtual Delivery Agent must be configured to prohibit or restrict the use of ports, as defined in the PPSM CAL and vulnerability assessments.</t>
        </r>
      </text>
    </comment>
    <comment ref="M11" authorId="0" shapeId="0" xr:uid="{00000000-0006-0000-0A00-000002000000}">
      <text>
        <r>
          <rPr>
            <sz val="11"/>
            <rFont val="Calibri"/>
          </rPr>
          <t>Citrix Linux Virtual Delivery Agent (LVDA) must be configured to prohibit or restrict the use of ports, as defined in the PPSM CAL and vulnerability assessments.</t>
        </r>
      </text>
    </comment>
    <comment ref="L32" authorId="0" shapeId="0" xr:uid="{00000000-0006-0000-0A00-000003000000}">
      <text>
        <r>
          <rPr>
            <sz val="11"/>
            <rFont val="Calibri"/>
          </rPr>
          <t>Citrix Delivery Controller must be configured in accordance with the security configuration settings based on DoD security configuration or implementation guidance, including STIGs, NSA configuration guides, CTOs, and DTMs.</t>
        </r>
      </text>
    </comment>
    <comment ref="L35" authorId="0" shapeId="0" xr:uid="{00000000-0006-0000-0A00-000004000000}">
      <text>
        <r>
          <rPr>
            <sz val="11"/>
            <rFont val="Calibri"/>
          </rPr>
          <t>The application must be configured to disable non-essential capabilities.</t>
        </r>
      </text>
    </comment>
    <comment ref="M35" authorId="0" shapeId="0" xr:uid="{00000000-0006-0000-0A00-000005000000}">
      <text>
        <r>
          <rPr>
            <sz val="11"/>
            <rFont val="Calibri"/>
          </rPr>
          <t>Citrix Delivery Controller must be configured to disable non-essential capabilities.</t>
        </r>
      </text>
    </comment>
    <comment ref="L84" authorId="0" shapeId="0" xr:uid="{00000000-0006-0000-0A00-000006000000}">
      <text>
        <r>
          <rPr>
            <sz val="11"/>
            <rFont val="Calibri"/>
          </rPr>
          <t>Citrix License Server must implement DoD-approved encryption to protect the confidentiality of remote access sessions.</t>
        </r>
      </text>
    </comment>
    <comment ref="M84" authorId="0" shapeId="0" xr:uid="{00000000-0006-0000-0A00-00000F000000}">
      <text>
        <r>
          <rPr>
            <sz val="11"/>
            <rFont val="Calibri"/>
          </rPr>
          <t>Citrix License Server must protect the authenticity of communications sessions.</t>
        </r>
      </text>
    </comment>
    <comment ref="N84" authorId="0" shapeId="0" xr:uid="{00000000-0006-0000-0A00-000007000000}">
      <text>
        <r>
          <rPr>
            <sz val="11"/>
            <rFont val="Calibri"/>
          </rPr>
          <t>Citrix License Server must protect the confidentiality and integrity of transmitted information.</t>
        </r>
      </text>
    </comment>
    <comment ref="O84" authorId="0" shapeId="0" xr:uid="{00000000-0006-0000-0A00-000008000000}">
      <text>
        <r>
          <rPr>
            <sz val="11"/>
            <rFont val="Calibri"/>
          </rPr>
          <t>Citrix License Server must implement cryptographic mechanisms to prevent unauthorized disclosure of information and/or detect changes to information during transmission unless otherwise protected by alternative physical safeguards, such as, at a minimum, a Protected Distribution Systems (PDS).</t>
        </r>
      </text>
    </comment>
    <comment ref="P84" authorId="0" shapeId="0" xr:uid="{00000000-0006-0000-0A00-000009000000}">
      <text>
        <r>
          <rPr>
            <sz val="11"/>
            <rFont val="Calibri"/>
          </rPr>
          <t>Citrix License Server must maintain the confidentiality and integrity of information during reception.</t>
        </r>
      </text>
    </comment>
    <comment ref="Q84" authorId="0" shapeId="0" xr:uid="{00000000-0006-0000-0A00-00000A000000}">
      <text>
        <r>
          <rPr>
            <sz val="11"/>
            <rFont val="Calibri"/>
          </rPr>
          <t>The Citrix Storefront server must implement DoD-approved encryption to protect the confidentiality of remote access sessions.</t>
        </r>
      </text>
    </comment>
    <comment ref="R84" authorId="0" shapeId="0" xr:uid="{00000000-0006-0000-0A00-00000B000000}">
      <text>
        <r>
          <rPr>
            <sz val="11"/>
            <rFont val="Calibri"/>
          </rPr>
          <t>Citrix Windows Virtual Delivery Agent must implement DoD-approved encryption.</t>
        </r>
      </text>
    </comment>
    <comment ref="S84" authorId="0" shapeId="0" xr:uid="{00000000-0006-0000-0A00-00000C000000}">
      <text>
        <r>
          <rPr>
            <sz val="11"/>
            <rFont val="Calibri"/>
          </rPr>
          <t>Citrix Linux Virtual Delivery Agent must implement DoD-approved encryption.</t>
        </r>
      </text>
    </comment>
    <comment ref="T84" authorId="0" shapeId="0" xr:uid="{00000000-0006-0000-0A00-00000D000000}">
      <text>
        <r>
          <rPr>
            <sz val="11"/>
            <rFont val="Calibri"/>
          </rPr>
          <t>Citrix Linux Virtual Delivery Agent must only allow the use of DoD PKI established certificate authorities for verification of the establishment of protected sessions.</t>
        </r>
      </text>
    </comment>
    <comment ref="U84" authorId="0" shapeId="0" xr:uid="{00000000-0006-0000-0A00-00000E000000}">
      <text>
        <r>
          <rPr>
            <sz val="11"/>
            <rFont val="Calibri"/>
          </rPr>
          <t>Citrix Delivery Controller must implement DoD-approved encryption.</t>
        </r>
      </text>
    </comment>
    <comment ref="L159" authorId="0" shapeId="0" xr:uid="{00000000-0006-0000-0A00-000010000000}">
      <text>
        <r>
          <rPr>
            <sz val="11"/>
            <rFont val="Calibri"/>
          </rPr>
          <t>The application must initiate a session lock after a 15-minute period of inactivity.</t>
        </r>
      </text>
    </comment>
    <comment ref="L175" authorId="0" shapeId="0" xr:uid="{00000000-0006-0000-0A00-000011000000}">
      <text>
        <r>
          <rPr>
            <sz val="11"/>
            <rFont val="Calibri"/>
          </rPr>
          <t>Citrix StoreFront server must accept Personal Identity Verification (PIV) credentials.</t>
        </r>
      </text>
    </comment>
    <comment ref="M175" authorId="0" shapeId="0" xr:uid="{00000000-0006-0000-0A00-000012000000}">
      <text>
        <r>
          <rPr>
            <sz val="11"/>
            <rFont val="Calibri"/>
          </rPr>
          <t>Citrix Workspace must accept Personal Identity Verification (PIV) credentials.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41" authorId="0" shapeId="0" xr:uid="{00000000-0006-0000-0B00-000001000000}">
      <text>
        <r>
          <rPr>
            <sz val="11"/>
            <rFont val="Calibri"/>
          </rPr>
          <t>The application must be configured to disable non-essential capabilities.</t>
        </r>
      </text>
    </comment>
    <comment ref="I241" authorId="0" shapeId="0" xr:uid="{00000000-0006-0000-0B00-000002000000}">
      <text>
        <r>
          <rPr>
            <sz val="11"/>
            <rFont val="Calibri"/>
          </rPr>
          <t>Citrix Delivery Controller must be configured to disable non-essential capabilities.</t>
        </r>
      </text>
    </comment>
    <comment ref="H247" authorId="0" shapeId="0" xr:uid="{00000000-0006-0000-0B00-000003000000}">
      <text>
        <r>
          <rPr>
            <sz val="11"/>
            <rFont val="Calibri"/>
          </rPr>
          <t>Citrix Windows Virtual Delivery Agent must be configured to prohibit or restrict the use of ports, as defined in the PPSM CAL and vulnerability assessments.</t>
        </r>
      </text>
    </comment>
    <comment ref="I247" authorId="0" shapeId="0" xr:uid="{00000000-0006-0000-0B00-000004000000}">
      <text>
        <r>
          <rPr>
            <sz val="11"/>
            <rFont val="Calibri"/>
          </rPr>
          <t>Citrix Linux Virtual Delivery Agent (LVDA) must be configured to prohibit or restrict the use of ports, as defined in the PPSM CAL and vulnerability assessments.</t>
        </r>
      </text>
    </comment>
    <comment ref="H248" authorId="0" shapeId="0" xr:uid="{00000000-0006-0000-0B00-000005000000}">
      <text>
        <r>
          <rPr>
            <sz val="11"/>
            <rFont val="Calibri"/>
          </rPr>
          <t>Citrix Delivery Controller must be configured in accordance with the security configuration settings based on DoD security configuration or implementation guidance, including STIGs, NSA configuration guides, CTOs, and DTMs.</t>
        </r>
      </text>
    </comment>
    <comment ref="H288" authorId="0" shapeId="0" xr:uid="{00000000-0006-0000-0B00-000006000000}">
      <text>
        <r>
          <rPr>
            <sz val="11"/>
            <rFont val="Calibri"/>
          </rPr>
          <t>The application must limit the number of concurrent sessions to three.</t>
        </r>
      </text>
    </comment>
    <comment ref="H298" authorId="0" shapeId="0" xr:uid="{00000000-0006-0000-0B00-000007000000}">
      <text>
        <r>
          <rPr>
            <sz val="11"/>
            <rFont val="Calibri"/>
          </rPr>
          <t>Citrix StoreFront server must accept Personal Identity Verification (PIV) credentials.</t>
        </r>
      </text>
    </comment>
    <comment ref="I298" authorId="0" shapeId="0" xr:uid="{00000000-0006-0000-0B00-000008000000}">
      <text>
        <r>
          <rPr>
            <sz val="11"/>
            <rFont val="Calibri"/>
          </rPr>
          <t>Citrix Workspace must accept Personal Identity Verification (PIV) credentials.</t>
        </r>
      </text>
    </comment>
    <comment ref="H349" authorId="0" shapeId="0" xr:uid="{00000000-0006-0000-0B00-000009000000}">
      <text>
        <r>
          <rPr>
            <sz val="11"/>
            <rFont val="Calibri"/>
          </rPr>
          <t>Citrix License Server must implement DoD-approved encryption to protect the confidentiality of remote access sessions.</t>
        </r>
      </text>
    </comment>
    <comment ref="I349" authorId="0" shapeId="0" xr:uid="{00000000-0006-0000-0B00-000011000000}">
      <text>
        <r>
          <rPr>
            <sz val="11"/>
            <rFont val="Calibri"/>
          </rPr>
          <t>Citrix License Server must protect the authenticity of communications sessions.</t>
        </r>
      </text>
    </comment>
    <comment ref="J349" authorId="0" shapeId="0" xr:uid="{00000000-0006-0000-0B00-00000A000000}">
      <text>
        <r>
          <rPr>
            <sz val="11"/>
            <rFont val="Calibri"/>
          </rPr>
          <t>Citrix License Server must protect the confidentiality and integrity of transmitted information.</t>
        </r>
      </text>
    </comment>
    <comment ref="K349" authorId="0" shapeId="0" xr:uid="{00000000-0006-0000-0B00-00000B000000}">
      <text>
        <r>
          <rPr>
            <sz val="11"/>
            <rFont val="Calibri"/>
          </rPr>
          <t>Citrix License Server must implement cryptographic mechanisms to prevent unauthorized disclosure of information and/or detect changes to information during transmission unless otherwise protected by alternative physical safeguards, such as, at a minimum, a Protected Distribution Systems (PDS).</t>
        </r>
      </text>
    </comment>
    <comment ref="L349" authorId="0" shapeId="0" xr:uid="{00000000-0006-0000-0B00-00000C000000}">
      <text>
        <r>
          <rPr>
            <sz val="11"/>
            <rFont val="Calibri"/>
          </rPr>
          <t>Citrix License Server must maintain the confidentiality and integrity of information during reception.</t>
        </r>
      </text>
    </comment>
    <comment ref="M349" authorId="0" shapeId="0" xr:uid="{00000000-0006-0000-0B00-00000D000000}">
      <text>
        <r>
          <rPr>
            <sz val="11"/>
            <rFont val="Calibri"/>
          </rPr>
          <t>The Citrix Storefront server must implement DoD-approved encryption to protect the confidentiality of remote access sessions.</t>
        </r>
      </text>
    </comment>
    <comment ref="N349" authorId="0" shapeId="0" xr:uid="{00000000-0006-0000-0B00-00000E000000}">
      <text>
        <r>
          <rPr>
            <sz val="11"/>
            <rFont val="Calibri"/>
          </rPr>
          <t>Citrix Windows Virtual Delivery Agent must implement DoD-approved encryption.</t>
        </r>
      </text>
    </comment>
    <comment ref="O349" authorId="0" shapeId="0" xr:uid="{00000000-0006-0000-0B00-00000F000000}">
      <text>
        <r>
          <rPr>
            <sz val="11"/>
            <rFont val="Calibri"/>
          </rPr>
          <t>Citrix Linux Virtual Delivery Agent must implement DoD-approved encryption.</t>
        </r>
      </text>
    </comment>
    <comment ref="P349" authorId="0" shapeId="0" xr:uid="{00000000-0006-0000-0B00-000010000000}">
      <text>
        <r>
          <rPr>
            <sz val="11"/>
            <rFont val="Calibri"/>
          </rPr>
          <t>Citrix Delivery Controller must implement DoD-approved encryption.</t>
        </r>
      </text>
    </comment>
  </commentList>
</comments>
</file>

<file path=xl/sharedStrings.xml><?xml version="1.0" encoding="utf-8"?>
<sst xmlns="http://schemas.openxmlformats.org/spreadsheetml/2006/main" count="11086" uniqueCount="5833">
  <si>
    <t>Id</t>
  </si>
  <si>
    <t>Title</t>
  </si>
  <si>
    <t>Severity</t>
  </si>
  <si>
    <t>Component</t>
  </si>
  <si>
    <t>MoSCoW</t>
  </si>
  <si>
    <t>OpsImpact</t>
  </si>
  <si>
    <t>Phase</t>
  </si>
  <si>
    <t>ImplStatus</t>
  </si>
  <si>
    <t>Notes</t>
  </si>
  <si>
    <t>Remediation</t>
  </si>
  <si>
    <t>Description</t>
  </si>
  <si>
    <t>Audit</t>
  </si>
  <si>
    <t>Status</t>
  </si>
  <si>
    <t>LogID</t>
  </si>
  <si>
    <t>V-234222</t>
  </si>
  <si>
    <r>
      <rPr>
        <sz val="11"/>
        <rFont val="Calibri"/>
      </rPr>
      <t>Citrix License Server must implement DoD-approved encryption to protect the confidentiality of remote access sessions.</t>
    </r>
  </si>
  <si>
    <t>CAT I (High)</t>
  </si>
  <si>
    <t>License Server</t>
  </si>
  <si>
    <t>Unassigned</t>
  </si>
  <si>
    <t>Unassessed</t>
  </si>
  <si>
    <t>Pending</t>
  </si>
  <si>
    <t/>
  </si>
  <si>
    <r>
      <rPr>
        <sz val="11"/>
        <color rgb="FF000000"/>
        <rFont val="Calibri"/>
      </rPr>
      <t>1. Copy a valid server certificate file and server certificate key file to the \\Citrix\Licensing\LS\conf\ folder of the License Server installation directory.</t>
    </r>
    <r>
      <rPr>
        <sz val="11"/>
        <color rgb="FF000000"/>
        <rFont val="Calibri"/>
      </rPr>
      <t xml:space="preserve">
</t>
    </r>
    <r>
      <rPr>
        <sz val="11"/>
        <color rgb="FF000000"/>
        <rFont val="Calibri"/>
      </rPr>
      <t>2. Click “Administration” and select the "Server Configuration" tab.</t>
    </r>
    <r>
      <rPr>
        <sz val="11"/>
        <color rgb="FF000000"/>
        <rFont val="Calibri"/>
      </rPr>
      <t xml:space="preserve">
</t>
    </r>
    <r>
      <rPr>
        <sz val="11"/>
        <color rgb="FF000000"/>
        <rFont val="Calibri"/>
      </rPr>
      <t>3. Click the "Secure Web Server Configuration" bar.</t>
    </r>
    <r>
      <rPr>
        <sz val="11"/>
        <color rgb="FF000000"/>
        <rFont val="Calibri"/>
      </rPr>
      <t xml:space="preserve">
</t>
    </r>
    <r>
      <rPr>
        <sz val="11"/>
        <color rgb="FF000000"/>
        <rFont val="Calibri"/>
      </rPr>
      <t>4. Select "Enable HTTPS (Default 443)".</t>
    </r>
    <r>
      <rPr>
        <sz val="11"/>
        <color rgb="FF000000"/>
        <rFont val="Calibri"/>
      </rPr>
      <t xml:space="preserve">
</t>
    </r>
    <r>
      <rPr>
        <sz val="11"/>
        <color rgb="FF000000"/>
        <rFont val="Calibri"/>
      </rPr>
      <t>5. Enter a port for the HTTPS communication.</t>
    </r>
    <r>
      <rPr>
        <sz val="11"/>
        <color rgb="FF000000"/>
        <rFont val="Calibri"/>
      </rPr>
      <t xml:space="preserve">
</t>
    </r>
    <r>
      <rPr>
        <sz val="11"/>
        <color rgb="FF000000"/>
        <rFont val="Calibri"/>
      </rPr>
      <t>6. Enter the location of the server certificate file and the server certificate key file.</t>
    </r>
    <r>
      <rPr>
        <sz val="11"/>
        <color rgb="FF000000"/>
        <rFont val="Calibri"/>
      </rPr>
      <t xml:space="preserve">
</t>
    </r>
    <r>
      <rPr>
        <sz val="11"/>
        <color rgb="FF000000"/>
        <rFont val="Calibri"/>
      </rPr>
      <t>7. Stop and restart the Citrix Licensing service from the services control panel of the machine running the license server.</t>
    </r>
    <r>
      <rPr>
        <sz val="11"/>
        <color rgb="FF000000"/>
        <rFont val="Calibri"/>
      </rPr>
      <t xml:space="preserve">
</t>
    </r>
    <r>
      <rPr>
        <sz val="11"/>
        <color rgb="FF000000"/>
        <rFont val="Calibri"/>
      </rPr>
      <t>NOTE: The user may be prompted to log in after "Administration".</t>
    </r>
    <r>
      <rPr>
        <sz val="11"/>
        <color rgb="FF000000"/>
        <rFont val="Calibri"/>
      </rPr>
      <t xml:space="preserve">
</t>
    </r>
    <r>
      <rPr>
        <sz val="11"/>
        <color rgb="FF000000"/>
        <rFont val="Calibri"/>
      </rPr>
      <t>Port must be 8082 (or desired port from PPSM group).</t>
    </r>
  </si>
  <si>
    <r>
      <rPr>
        <sz val="11"/>
        <color rgb="FF000000"/>
        <rFont val="Calibri"/>
      </rPr>
      <t xml:space="preserve">Without confidentiality protection mechanisms, unauthorized individuals may gain access to sensitive information via a remote access session. </t>
    </r>
    <r>
      <rPr>
        <sz val="11"/>
        <color rgb="FF000000"/>
        <rFont val="Calibri"/>
      </rPr>
      <t xml:space="preserve">
</t>
    </r>
    <r>
      <rPr>
        <sz val="11"/>
        <color rgb="FF000000"/>
        <rFont val="Calibri"/>
      </rPr>
      <t xml:space="preserve">Remote access is access to DoD nonpublic information systems by an authorized user (or an information system) communicating through an external, non-organization-controlled network. Remote access methods include, for example, dial-up, broadband, and wireless.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Encryption provides a means to secure the remote connection to prevent unauthorized access to the data traversing the remote access connection, thereby providing a degree of confidentiality. The encryption strength of the mechanism is selected based on the security categorization of the information.</t>
    </r>
  </si>
  <si>
    <r>
      <rPr>
        <sz val="11"/>
        <color rgb="FF000000"/>
        <rFont val="Calibri"/>
      </rPr>
      <t>Open the License Management Console, click "Administration", and select the "Server Configuration" tab.</t>
    </r>
    <r>
      <rPr>
        <sz val="11"/>
        <color rgb="FF000000"/>
        <rFont val="Calibri"/>
      </rPr>
      <t xml:space="preserve">
</t>
    </r>
    <r>
      <rPr>
        <sz val="11"/>
        <color rgb="FF000000"/>
        <rFont val="Calibri"/>
      </rPr>
      <t>Click the "Secure Web Server Configuration" bar and verify "Select Enable HTTPS (Default 443)" is selected.</t>
    </r>
    <r>
      <rPr>
        <sz val="11"/>
        <color rgb="FF000000"/>
        <rFont val="Calibri"/>
      </rPr>
      <t xml:space="preserve">
</t>
    </r>
    <r>
      <rPr>
        <sz val="11"/>
        <color rgb="FF000000"/>
        <rFont val="Calibri"/>
      </rPr>
      <t>If "Select Enable HTTPS (Default 443)" is not selected, this is a finding.</t>
    </r>
  </si>
  <si>
    <t>V-234223</t>
  </si>
  <si>
    <r>
      <rPr>
        <sz val="11"/>
        <rFont val="Calibri"/>
      </rPr>
      <t>Citrix License Server must allow only the ISSM (or individuals or roles appointed by the ISSM) to select which auditable events are to be audited.</t>
    </r>
  </si>
  <si>
    <t>CAT II (Medium)</t>
  </si>
  <si>
    <r>
      <rPr>
        <sz val="11"/>
        <color rgb="FF000000"/>
        <rFont val="Calibri"/>
      </rPr>
      <t>A default administrator account is created during the installation of the License Administration Console. Use the administrator account to first log on to the console and then configure more users. For Active Directory installations, domain\InstallUser** and BUILTIN\Administrators are added.</t>
    </r>
    <r>
      <rPr>
        <sz val="11"/>
        <color rgb="FF000000"/>
        <rFont val="Calibri"/>
      </rPr>
      <t xml:space="preserve">
</t>
    </r>
    <r>
      <rPr>
        <sz val="11"/>
        <color rgb="FF000000"/>
        <rFont val="Calibri"/>
      </rPr>
      <t>1. In the top right corner of the console, select Administration.</t>
    </r>
    <r>
      <rPr>
        <sz val="11"/>
        <color rgb="FF000000"/>
        <rFont val="Calibri"/>
      </rPr>
      <t xml:space="preserve">
</t>
    </r>
    <r>
      <rPr>
        <sz val="11"/>
        <color rgb="FF000000"/>
        <rFont val="Calibri"/>
      </rPr>
      <t>2. Select &gt;&gt; Settings &gt;&gt; Accounts.</t>
    </r>
    <r>
      <rPr>
        <sz val="11"/>
        <color rgb="FF000000"/>
        <rFont val="Calibri"/>
      </rPr>
      <t xml:space="preserve">
</t>
    </r>
    <r>
      <rPr>
        <sz val="11"/>
        <color rgb="FF000000"/>
        <rFont val="Calibri"/>
      </rPr>
      <t>3. Under User Administration, select Add to add appropriate domain users and groups.</t>
    </r>
    <r>
      <rPr>
        <sz val="11"/>
        <color rgb="FF000000"/>
        <rFont val="Calibri"/>
      </rPr>
      <t xml:space="preserve">
</t>
    </r>
    <r>
      <rPr>
        <sz val="11"/>
        <color rgb="FF000000"/>
        <rFont val="Calibri"/>
      </rPr>
      <t>4. Check the box to the left of the default accounts created during installation and any other necessary accounts, select Remove.</t>
    </r>
    <r>
      <rPr>
        <sz val="11"/>
        <color rgb="FF000000"/>
        <rFont val="Calibri"/>
      </rPr>
      <t xml:space="preserve">
</t>
    </r>
    <r>
      <rPr>
        <sz val="11"/>
        <color rgb="FF000000"/>
        <rFont val="Calibri"/>
      </rPr>
      <t>5. Click Vendor Daemon Configuration and select Administer in the Citrix vendor daemon line. Select Stop, wait 10 seconds. Select Start.</t>
    </r>
    <r>
      <rPr>
        <sz val="11"/>
        <color rgb="FF000000"/>
        <rFont val="Calibri"/>
      </rPr>
      <t xml:space="preserve">
</t>
    </r>
    <r>
      <rPr>
        <sz val="11"/>
        <color rgb="FF000000"/>
        <rFont val="Calibri"/>
      </rPr>
      <t>6. Log on to the License Management Console using the specified account.</t>
    </r>
  </si>
  <si>
    <r>
      <rPr>
        <sz val="11"/>
        <color rgb="FF000000"/>
        <rFont val="Calibri"/>
      </rPr>
      <t>Without the capability to restrict the roles and individuals that can select which events are audited, unauthorized personnel may be able to prevent the auditing of critical events. Misconfigured audits may degrade the system's performance by overwhelming the audit log. Misconfigured audits may also make it more difficult to establish, correlate, and investigate the events relating to an incident, or identify those responsible for one.</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t>
    </r>
  </si>
  <si>
    <r>
      <rPr>
        <sz val="11"/>
        <color rgb="FF000000"/>
        <rFont val="Calibri"/>
      </rPr>
      <t>Identify all License Server administrators as the appropriate Active Directory domain/user or domain/group account.</t>
    </r>
    <r>
      <rPr>
        <sz val="11"/>
        <color rgb="FF000000"/>
        <rFont val="Calibri"/>
      </rPr>
      <t xml:space="preserve">
</t>
    </r>
    <r>
      <rPr>
        <sz val="11"/>
        <color rgb="FF000000"/>
        <rFont val="Calibri"/>
      </rPr>
      <t>1. Log on to the License Server with an administrator account.</t>
    </r>
    <r>
      <rPr>
        <sz val="11"/>
        <color rgb="FF000000"/>
        <rFont val="Calibri"/>
      </rPr>
      <t xml:space="preserve">
</t>
    </r>
    <r>
      <rPr>
        <sz val="11"/>
        <color rgb="FF000000"/>
        <rFont val="Calibri"/>
      </rPr>
      <t>2. To open the License Administration Console on the computer on which it is installed: Start menu, choose All Programs &gt;&gt; Citrix &gt;&gt; License Administration Console.</t>
    </r>
    <r>
      <rPr>
        <sz val="11"/>
        <color rgb="FF000000"/>
        <rFont val="Calibri"/>
      </rPr>
      <t xml:space="preserve">
</t>
    </r>
    <r>
      <rPr>
        <sz val="11"/>
        <color rgb="FF000000"/>
        <rFont val="Calibri"/>
      </rPr>
      <t>3. To open the console on a remote server or cluster, navigate the browser to one of the following URL options:</t>
    </r>
    <r>
      <rPr>
        <sz val="11"/>
        <color rgb="FF000000"/>
        <rFont val="Calibri"/>
      </rPr>
      <t xml:space="preserve">
</t>
    </r>
    <r>
      <rPr>
        <sz val="11"/>
        <color rgb="FF000000"/>
        <rFont val="Calibri"/>
      </rPr>
      <t>a. Caution-https://License server name:Web service port</t>
    </r>
    <r>
      <rPr>
        <sz val="11"/>
        <color rgb="FF000000"/>
        <rFont val="Calibri"/>
      </rPr>
      <t xml:space="preserve">
</t>
    </r>
    <r>
      <rPr>
        <sz val="11"/>
        <color rgb="FF000000"/>
        <rFont val="Calibri"/>
      </rPr>
      <t>b. Caution-https://Client access point name:Web service port</t>
    </r>
    <r>
      <rPr>
        <sz val="11"/>
        <color rgb="FF000000"/>
        <rFont val="Calibri"/>
      </rPr>
      <t xml:space="preserve">
</t>
    </r>
    <r>
      <rPr>
        <sz val="11"/>
        <color rgb="FF000000"/>
        <rFont val="Calibri"/>
      </rPr>
      <t>c. Caution-https://IP:Web service port</t>
    </r>
    <r>
      <rPr>
        <sz val="11"/>
        <color rgb="FF000000"/>
        <rFont val="Calibri"/>
      </rPr>
      <t xml:space="preserve">
</t>
    </r>
    <r>
      <rPr>
        <sz val="11"/>
        <color rgb="FF000000"/>
        <rFont val="Calibri"/>
      </rPr>
      <t>4. In the top right corner of the console, select Administration.</t>
    </r>
    <r>
      <rPr>
        <sz val="11"/>
        <color rgb="FF000000"/>
        <rFont val="Calibri"/>
      </rPr>
      <t xml:space="preserve">
</t>
    </r>
    <r>
      <rPr>
        <sz val="11"/>
        <color rgb="FF000000"/>
        <rFont val="Calibri"/>
      </rPr>
      <t>5. Select &gt;&gt; Settings &gt;&gt; Accounts.</t>
    </r>
    <r>
      <rPr>
        <sz val="11"/>
        <color rgb="FF000000"/>
        <rFont val="Calibri"/>
      </rPr>
      <t xml:space="preserve">
</t>
    </r>
    <r>
      <rPr>
        <sz val="11"/>
        <color rgb="FF000000"/>
        <rFont val="Calibri"/>
      </rPr>
      <t>6. Identify all License Server administrators as the appropriate Active Directory domain/user or domain/group account.</t>
    </r>
    <r>
      <rPr>
        <sz val="11"/>
        <color rgb="FF000000"/>
        <rFont val="Calibri"/>
      </rPr>
      <t xml:space="preserve">
</t>
    </r>
    <r>
      <rPr>
        <sz val="11"/>
        <color rgb="FF000000"/>
        <rFont val="Calibri"/>
      </rPr>
      <t>If the desired License Server administrator account is not returned, this is a finding.</t>
    </r>
  </si>
  <si>
    <t>V-234224</t>
  </si>
  <si>
    <r>
      <rPr>
        <sz val="11"/>
        <rFont val="Calibri"/>
      </rPr>
      <t>Citrix License Server must protect the authenticity of communications sessions.</t>
    </r>
  </si>
  <si>
    <r>
      <rPr>
        <sz val="11"/>
        <color rgb="FF000000"/>
        <rFont val="Calibri"/>
      </rPr>
      <t>1. Copy a valid server certificate file and server certificate key file into the \\Citrix\Licensing\LS\conf\ folder of the License Server installation directory.</t>
    </r>
    <r>
      <rPr>
        <sz val="11"/>
        <color rgb="FF000000"/>
        <rFont val="Calibri"/>
      </rPr>
      <t xml:space="preserve">
</t>
    </r>
    <r>
      <rPr>
        <sz val="11"/>
        <color rgb="FF000000"/>
        <rFont val="Calibri"/>
      </rPr>
      <t>2. Click "Administration" and select the "Server Configuration" tab.</t>
    </r>
    <r>
      <rPr>
        <sz val="11"/>
        <color rgb="FF000000"/>
        <rFont val="Calibri"/>
      </rPr>
      <t xml:space="preserve">
</t>
    </r>
    <r>
      <rPr>
        <sz val="11"/>
        <color rgb="FF000000"/>
        <rFont val="Calibri"/>
      </rPr>
      <t>3. Click the "Secure Web Server Configuration" bar.</t>
    </r>
    <r>
      <rPr>
        <sz val="11"/>
        <color rgb="FF000000"/>
        <rFont val="Calibri"/>
      </rPr>
      <t xml:space="preserve">
</t>
    </r>
    <r>
      <rPr>
        <sz val="11"/>
        <color rgb="FF000000"/>
        <rFont val="Calibri"/>
      </rPr>
      <t>4. Select "Enable HTTPS (Default 443)".</t>
    </r>
    <r>
      <rPr>
        <sz val="11"/>
        <color rgb="FF000000"/>
        <rFont val="Calibri"/>
      </rPr>
      <t xml:space="preserve">
</t>
    </r>
    <r>
      <rPr>
        <sz val="11"/>
        <color rgb="FF000000"/>
        <rFont val="Calibri"/>
      </rPr>
      <t>5. Enter a port for the HTTPS communication.</t>
    </r>
    <r>
      <rPr>
        <sz val="11"/>
        <color rgb="FF000000"/>
        <rFont val="Calibri"/>
      </rPr>
      <t xml:space="preserve">
</t>
    </r>
    <r>
      <rPr>
        <sz val="11"/>
        <color rgb="FF000000"/>
        <rFont val="Calibri"/>
      </rPr>
      <t>6. Enter the location of the server certificate file and the server certificate key file.</t>
    </r>
    <r>
      <rPr>
        <sz val="11"/>
        <color rgb="FF000000"/>
        <rFont val="Calibri"/>
      </rPr>
      <t xml:space="preserve">
</t>
    </r>
    <r>
      <rPr>
        <sz val="11"/>
        <color rgb="FF000000"/>
        <rFont val="Calibri"/>
      </rPr>
      <t>7. Stop and restart the Citrix Licensing service from the services control panel of the machine running the license server.</t>
    </r>
  </si>
  <si>
    <r>
      <rPr>
        <sz val="11"/>
        <color rgb="FF000000"/>
        <rFont val="Calibri"/>
      </rPr>
      <t>Authenticity protection provides protection against man-in-the-middle attacks/session hijacking and the insertion of false information into sessions.</t>
    </r>
    <r>
      <rPr>
        <sz val="11"/>
        <color rgb="FF000000"/>
        <rFont val="Calibri"/>
      </rPr>
      <t xml:space="preserve">
</t>
    </r>
    <r>
      <rPr>
        <sz val="11"/>
        <color rgb="FF000000"/>
        <rFont val="Calibri"/>
      </rPr>
      <t xml:space="preserve">Application communication sessions are protected using transport encryption protocols, such as SSL or TLS. SSL/TLS provide web applications with a way to authenticate user sessions and encrypt application traffic. Session authentication can be single (one-way) or mutual (two-way) in nature. Single authentication authenticates the server for the client, whereas mutual authentication provides a means for both the client and the server to authenticate each other. </t>
    </r>
    <r>
      <rPr>
        <sz val="11"/>
        <color rgb="FF000000"/>
        <rFont val="Calibri"/>
      </rPr>
      <t xml:space="preserve">
</t>
    </r>
    <r>
      <rPr>
        <sz val="11"/>
        <color rgb="FF000000"/>
        <rFont val="Calibri"/>
      </rPr>
      <t xml:space="preserve">This requirement applies to applications that use communications sessions. This includes but is not limited to web-based applications and Service-Oriented Architectures (SOA). </t>
    </r>
    <r>
      <rPr>
        <sz val="11"/>
        <color rgb="FF000000"/>
        <rFont val="Calibri"/>
      </rPr>
      <t xml:space="preserve">
</t>
    </r>
    <r>
      <rPr>
        <sz val="11"/>
        <color rgb="FF000000"/>
        <rFont val="Calibri"/>
      </rPr>
      <t>This requirement addresses communications protection at the application session, versus the network packet, and establishes grounds for confidence at both ends of communications sessions in ongoing identities of other parties and in the validity of information transmitted. Depending on the required degree of confidentiality and integrity, web services/SOA will require the use of SSL/TLS mutual authentication (two-way/bidirectional).</t>
    </r>
  </si>
  <si>
    <r>
      <rPr>
        <sz val="11"/>
        <color rgb="FF000000"/>
        <rFont val="Calibri"/>
      </rPr>
      <t>Look in \\Citrix\Licensing\LS\conf\ folder of the License Server installation directory for cert file/cert key file.</t>
    </r>
    <r>
      <rPr>
        <sz val="11"/>
        <color rgb="FF000000"/>
        <rFont val="Calibri"/>
      </rPr>
      <t xml:space="preserve">
</t>
    </r>
    <r>
      <rPr>
        <sz val="11"/>
        <color rgb="FF000000"/>
        <rFont val="Calibri"/>
      </rPr>
      <t>Open the License Management Console, click "Administration", and select the "Server Configuration" tab.</t>
    </r>
    <r>
      <rPr>
        <sz val="11"/>
        <color rgb="FF000000"/>
        <rFont val="Calibri"/>
      </rPr>
      <t xml:space="preserve">
</t>
    </r>
    <r>
      <rPr>
        <sz val="11"/>
        <color rgb="FF000000"/>
        <rFont val="Calibri"/>
      </rPr>
      <t>Click the "Secure Web Server Configuration" bar and verify "Select Enable HTTPS (Default 443)" is selected.</t>
    </r>
    <r>
      <rPr>
        <sz val="11"/>
        <color rgb="FF000000"/>
        <rFont val="Calibri"/>
      </rPr>
      <t xml:space="preserve">
</t>
    </r>
    <r>
      <rPr>
        <sz val="11"/>
        <color rgb="FF000000"/>
        <rFont val="Calibri"/>
      </rPr>
      <t>If "Select Enable HTTPS (Default 443)" is not selected, this is a finding.</t>
    </r>
    <r>
      <rPr>
        <sz val="11"/>
        <color rgb="FF000000"/>
        <rFont val="Calibri"/>
      </rPr>
      <t xml:space="preserve">
</t>
    </r>
    <r>
      <rPr>
        <sz val="11"/>
        <color rgb="FF000000"/>
        <rFont val="Calibri"/>
      </rPr>
      <t>NOTE: The user may be prompted to log in after "Administration".</t>
    </r>
  </si>
  <si>
    <t>V-234225</t>
  </si>
  <si>
    <r>
      <rPr>
        <sz val="11"/>
        <rFont val="Calibri"/>
      </rPr>
      <t>Citrix License Server must prohibit the use of cached authenticators after an organization-defined time period.</t>
    </r>
  </si>
  <si>
    <r>
      <rPr>
        <sz val="11"/>
        <color rgb="FF000000"/>
        <rFont val="Calibri"/>
      </rPr>
      <t>1. Click "Administration" and select the "Server Configuration" tab.</t>
    </r>
    <r>
      <rPr>
        <sz val="11"/>
        <color rgb="FF000000"/>
        <rFont val="Calibri"/>
      </rPr>
      <t xml:space="preserve">
</t>
    </r>
    <r>
      <rPr>
        <sz val="11"/>
        <color rgb="FF000000"/>
        <rFont val="Calibri"/>
      </rPr>
      <t>2. Click the Web Server Configuration bar.</t>
    </r>
    <r>
      <rPr>
        <sz val="11"/>
        <color rgb="FF000000"/>
        <rFont val="Calibri"/>
      </rPr>
      <t xml:space="preserve">
</t>
    </r>
    <r>
      <rPr>
        <sz val="11"/>
        <color rgb="FF000000"/>
        <rFont val="Calibri"/>
      </rPr>
      <t>3. For Session Timeout, enter the value of “10” (minutes).</t>
    </r>
  </si>
  <si>
    <r>
      <rPr>
        <sz val="11"/>
        <color rgb="FF000000"/>
        <rFont val="Calibri"/>
      </rPr>
      <t>If cached authentication information is out of date, the validity of the authentication information may be questionable.</t>
    </r>
  </si>
  <si>
    <r>
      <rPr>
        <sz val="11"/>
        <color rgb="FF000000"/>
        <rFont val="Calibri"/>
      </rPr>
      <t>1. Click "Administration" and select the "Server Configuration" tab.</t>
    </r>
    <r>
      <rPr>
        <sz val="11"/>
        <color rgb="FF000000"/>
        <rFont val="Calibri"/>
      </rPr>
      <t xml:space="preserve">
</t>
    </r>
    <r>
      <rPr>
        <sz val="11"/>
        <color rgb="FF000000"/>
        <rFont val="Calibri"/>
      </rPr>
      <t>2. Click the "Web Server Configuration" bar and "Session Timeout".</t>
    </r>
    <r>
      <rPr>
        <sz val="11"/>
        <color rgb="FF000000"/>
        <rFont val="Calibri"/>
      </rPr>
      <t xml:space="preserve">
</t>
    </r>
    <r>
      <rPr>
        <sz val="11"/>
        <color rgb="FF000000"/>
        <rFont val="Calibri"/>
      </rPr>
      <t xml:space="preserve">3. Verify Session Timeout is set to “10”. </t>
    </r>
    <r>
      <rPr>
        <sz val="11"/>
        <color rgb="FF000000"/>
        <rFont val="Calibri"/>
      </rPr>
      <t xml:space="preserve">
</t>
    </r>
    <r>
      <rPr>
        <sz val="11"/>
        <color rgb="FF000000"/>
        <rFont val="Calibri"/>
      </rPr>
      <t>If Session Timeout is not set to “10”, this is a finding.</t>
    </r>
  </si>
  <si>
    <t>V-234226</t>
  </si>
  <si>
    <r>
      <rPr>
        <sz val="11"/>
        <rFont val="Calibri"/>
      </rPr>
      <t>Citrix License Server must protect the confidentiality and integrity of transmitted information.</t>
    </r>
  </si>
  <si>
    <r>
      <rPr>
        <sz val="11"/>
        <color rgb="FF000000"/>
        <rFont val="Calibri"/>
      </rPr>
      <t xml:space="preserve">Without protection of the transmitted information, confidentiality and integrity may be compromised since unprotected communications can be intercepted and read or altered. </t>
    </r>
    <r>
      <rPr>
        <sz val="11"/>
        <color rgb="FF000000"/>
        <rFont val="Calibri"/>
      </rPr>
      <t xml:space="preserve">
</t>
    </r>
    <r>
      <rPr>
        <sz val="11"/>
        <color rgb="FF000000"/>
        <rFont val="Calibri"/>
      </rPr>
      <t>This requirement applies only to applications that are distributed or can allow access to data non-locally. Use of this requirement will be limited to situations where the data owner has a strict requirement for ensuring data integrity and confidentiality is maintained at every step of the data transfer and handling process. When transmitting data, applications need to leverage transmission protection mechanisms, such as TLS, SSL VPNs, or IPsec.</t>
    </r>
    <r>
      <rPr>
        <sz val="11"/>
        <color rgb="FF000000"/>
        <rFont val="Calibri"/>
      </rPr>
      <t xml:space="preserve">
</t>
    </r>
    <r>
      <rPr>
        <sz val="11"/>
        <color rgb="FF000000"/>
        <rFont val="Calibri"/>
      </rPr>
      <t>Communication paths outside the physical protection of a controlled boundary are exposed to the possibility of interception and modification. Protecting the confidentiality and integrity of organizational information can be accomplished by physical means (e.g., employing physical distribution systems) or by logical means (e.g., employing cryptographic techniques). If physical means of protection are employed, logical means (cryptography) do not have to be employed, and vice versa.</t>
    </r>
  </si>
  <si>
    <t>V-234227</t>
  </si>
  <si>
    <r>
      <rPr>
        <sz val="11"/>
        <rFont val="Calibri"/>
      </rPr>
      <t>Citrix License Server must implement cryptographic mechanisms to prevent unauthorized disclosure of information and/or detect changes to information during transmission unless otherwise protected by alternative physical safeguards, such as, at a minimum, a Protected Distribution Systems (PDS).</t>
    </r>
  </si>
  <si>
    <r>
      <rPr>
        <sz val="11"/>
        <color rgb="FF000000"/>
        <rFont val="Calibri"/>
      </rPr>
      <t xml:space="preserve">Encrypting information for transmission protects information from unauthorized disclosure and modification. Cryptographic mechanisms implemented to protect information integrity include, for example, cryptographic hash functions that have common application in digital signatures, checksums, and message authentication codes. </t>
    </r>
    <r>
      <rPr>
        <sz val="11"/>
        <color rgb="FF000000"/>
        <rFont val="Calibri"/>
      </rPr>
      <t xml:space="preserve">
</t>
    </r>
    <r>
      <rPr>
        <sz val="11"/>
        <color rgb="FF000000"/>
        <rFont val="Calibri"/>
      </rPr>
      <t>This requirement applies only to applications that are distributed or can allow access to data non-locally. Use of this requirement will be limited to situations where the data owner has a strict requirement for ensuring data integrity and confidentiality is maintained at every step of the data transfer and handling process. When transmitting data, applications need to leverage transmission protection mechanisms, such as TLS, SSL VPNs, or IPsec.</t>
    </r>
    <r>
      <rPr>
        <sz val="11"/>
        <color rgb="FF000000"/>
        <rFont val="Calibri"/>
      </rPr>
      <t xml:space="preserve">
</t>
    </r>
    <r>
      <rPr>
        <sz val="11"/>
        <color rgb="FF000000"/>
        <rFont val="Calibri"/>
      </rPr>
      <t>Alternative physical protection measures include PDS. PDSs are used to transmit unencrypted classified National Security Information (NSI) through an area of lesser classification or control. Since the classified NSI is unencrypted, the PDS must provide adequate electrical, electromagnetic, and physical safeguards to deter exploitation.</t>
    </r>
  </si>
  <si>
    <t>V-234228</t>
  </si>
  <si>
    <r>
      <rPr>
        <sz val="11"/>
        <rFont val="Calibri"/>
      </rPr>
      <t>Citrix License Server must maintain the confidentiality and integrity of information during reception.</t>
    </r>
  </si>
  <si>
    <r>
      <rPr>
        <sz val="11"/>
        <color rgb="FF000000"/>
        <rFont val="Calibri"/>
      </rPr>
      <t>Information can be unintentionally or maliciously disclosed or modified during reception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This requirement applies only to applications that are distributed or can allow access to data non-locally. Use of this requirement will be limited to situations where the data owner has a strict requirement for ensuring data integrity and confidentiality is maintained at every step of the data transfer and handling process. When receiving data, applications need to leverage protection mechanisms, such as TLS, SSL VPNs, or IPsec.</t>
    </r>
  </si>
  <si>
    <t>V-234251</t>
  </si>
  <si>
    <r>
      <rPr>
        <sz val="11"/>
        <rFont val="Calibri"/>
      </rPr>
      <t>The Citrix Storefront server must implement DoD-approved encryption to protect the confidentiality of remote access sessions.</t>
    </r>
  </si>
  <si>
    <t>StoreFront</t>
  </si>
  <si>
    <r>
      <rPr>
        <sz val="11"/>
        <color rgb="FF000000"/>
        <rFont val="Calibri"/>
      </rPr>
      <t>Implement a DoD approved VPN, or gateway/proxy, that will authenticate user access and tunnel/proxy traffic to StoreFront. Ensure the VPN, or gateway/proxy, is configured to authenticate the user before accessing the environment, and meets the DoD encryption requirements, such as FIPS 140-2, for the environment.</t>
    </r>
  </si>
  <si>
    <r>
      <rPr>
        <sz val="11"/>
        <color rgb="FF000000"/>
        <rFont val="Calibri"/>
      </rPr>
      <t xml:space="preserve">Without confidentiality protection mechanisms, unauthorized individuals may gain access to sensitive information via a remote access session. </t>
    </r>
    <r>
      <rPr>
        <sz val="11"/>
        <color rgb="FF000000"/>
        <rFont val="Calibri"/>
      </rPr>
      <t xml:space="preserve">
</t>
    </r>
    <r>
      <rPr>
        <sz val="11"/>
        <color rgb="FF000000"/>
        <rFont val="Calibri"/>
      </rPr>
      <t xml:space="preserve">Remote access is access to DoD nonpublic information systems by an authorized user (or an information system) communicating through an external, non-organization-controlled network. Remote access methods include, for example, dial-up, broadband, and wireless.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Encryption provides a means to secure the remote connection to prevent unauthorized access to the data traversing the remote access connection thereby providing a degree of confidentiality. The encryption strength of mechanism is selected based on the security categorization of the information.</t>
    </r>
  </si>
  <si>
    <r>
      <rPr>
        <sz val="11"/>
        <color rgb="FF000000"/>
        <rFont val="Calibri"/>
      </rPr>
      <t>A DoD approved VPN, or gateway/proxy, must be leveraged to access StoreFront from a remote network. This VPN, or gateway, must handle user authentication and tunneling of StoreFront traffic. The VPN, or gateway, must meet the DoD encryption requirements, such as FIPS 140-2, for the environment.</t>
    </r>
    <r>
      <rPr>
        <sz val="11"/>
        <color rgb="FF000000"/>
        <rFont val="Calibri"/>
      </rPr>
      <t xml:space="preserve">
</t>
    </r>
    <r>
      <rPr>
        <sz val="11"/>
        <color rgb="FF000000"/>
        <rFont val="Calibri"/>
      </rPr>
      <t>If no VPN, or gateway/proxy, is used for remote access to StoreFront, this is a finding.</t>
    </r>
    <r>
      <rPr>
        <sz val="11"/>
        <color rgb="FF000000"/>
        <rFont val="Calibri"/>
      </rPr>
      <t xml:space="preserve">
</t>
    </r>
    <r>
      <rPr>
        <sz val="11"/>
        <color rgb="FF000000"/>
        <rFont val="Calibri"/>
      </rPr>
      <t>If the VPN, or gateway/proxy, does not authenticate the remote user before providing access to StoreFront, this is a finding.</t>
    </r>
    <r>
      <rPr>
        <sz val="11"/>
        <color rgb="FF000000"/>
        <rFont val="Calibri"/>
      </rPr>
      <t xml:space="preserve">
</t>
    </r>
    <r>
      <rPr>
        <sz val="11"/>
        <color rgb="FF000000"/>
        <rFont val="Calibri"/>
      </rPr>
      <t>If the VPN, or gateway/proxy, fails to meet the DoD encryption requirements for the environment, this is a finding.</t>
    </r>
  </si>
  <si>
    <t>V-234252</t>
  </si>
  <si>
    <r>
      <rPr>
        <sz val="11"/>
        <rFont val="Calibri"/>
      </rPr>
      <t>Citrix StoreFront server must accept Personal Identity Verification (PIV) credentials.</t>
    </r>
  </si>
  <si>
    <r>
      <rPr>
        <sz val="11"/>
        <color rgb="FF000000"/>
        <rFont val="Calibri"/>
      </rPr>
      <t>Open the Citrix StoreFront management console and select the "Store" node in the left pane.</t>
    </r>
    <r>
      <rPr>
        <sz val="11"/>
        <color rgb="FF000000"/>
        <rFont val="Calibri"/>
      </rPr>
      <t xml:space="preserve">
</t>
    </r>
    <r>
      <rPr>
        <sz val="11"/>
        <color rgb="FF000000"/>
        <rFont val="Calibri"/>
      </rPr>
      <t>For each Store listed, select the store and perform the following:</t>
    </r>
    <r>
      <rPr>
        <sz val="11"/>
        <color rgb="FF000000"/>
        <rFont val="Calibri"/>
      </rPr>
      <t xml:space="preserve">
</t>
    </r>
    <r>
      <rPr>
        <sz val="11"/>
        <color rgb="FF000000"/>
        <rFont val="Calibri"/>
      </rPr>
      <t>1) From the Actions menu item, click "Manage Authentication Methods".</t>
    </r>
    <r>
      <rPr>
        <sz val="11"/>
        <color rgb="FF000000"/>
        <rFont val="Calibri"/>
      </rPr>
      <t xml:space="preserve">
</t>
    </r>
    <r>
      <rPr>
        <sz val="11"/>
        <color rgb="FF000000"/>
        <rFont val="Calibri"/>
      </rPr>
      <t>2) Check "Smart card" and uncheck any other authentication methods. If using remote access, select "Pass-through from NetScaler Gateway".</t>
    </r>
  </si>
  <si>
    <r>
      <rPr>
        <sz val="11"/>
        <color rgb="FF000000"/>
        <rFont val="Calibri"/>
      </rPr>
      <t>The use of PIV credentials facilitates standardization and reduces the risk of unauthorized access.</t>
    </r>
    <r>
      <rPr>
        <sz val="11"/>
        <color rgb="FF000000"/>
        <rFont val="Calibri"/>
      </rPr>
      <t xml:space="preserve">
</t>
    </r>
    <r>
      <rPr>
        <sz val="11"/>
        <color rgb="FF000000"/>
        <rFont val="Calibri"/>
      </rPr>
      <t>DoD has mandated the use of the Common Access Card (CAC) to support identity management and personal authentication for systems covered under HSPD 12, as well as a primary component of layered protection for national security systems.</t>
    </r>
    <r>
      <rPr>
        <sz val="11"/>
        <color rgb="FF000000"/>
        <rFont val="Calibri"/>
      </rPr>
      <t xml:space="preserve">
</t>
    </r>
    <r>
      <rPr>
        <sz val="11"/>
        <color rgb="FF000000"/>
        <rFont val="Calibri"/>
      </rPr>
      <t>Satisfies: SRG-APP-000391, SRG-APP-000033, SRG-APP-000392, SRG-APP-000439, SRG-APP-000440, SRG-APP-000442</t>
    </r>
  </si>
  <si>
    <r>
      <rPr>
        <sz val="11"/>
        <color rgb="FF000000"/>
        <rFont val="Calibri"/>
      </rPr>
      <t>Open the Citrix StoreFront management console and select the "Store" node in the left pane.</t>
    </r>
    <r>
      <rPr>
        <sz val="11"/>
        <color rgb="FF000000"/>
        <rFont val="Calibri"/>
      </rPr>
      <t xml:space="preserve">
</t>
    </r>
    <r>
      <rPr>
        <sz val="11"/>
        <color rgb="FF000000"/>
        <rFont val="Calibri"/>
      </rPr>
      <t>For each Store listed, select the store and perform the following:</t>
    </r>
    <r>
      <rPr>
        <sz val="11"/>
        <color rgb="FF000000"/>
        <rFont val="Calibri"/>
      </rPr>
      <t xml:space="preserve">
</t>
    </r>
    <r>
      <rPr>
        <sz val="11"/>
        <color rgb="FF000000"/>
        <rFont val="Calibri"/>
      </rPr>
      <t>1) From the Actions menu item, click "Manage Authentication Methods".</t>
    </r>
    <r>
      <rPr>
        <sz val="11"/>
        <color rgb="FF000000"/>
        <rFont val="Calibri"/>
      </rPr>
      <t xml:space="preserve">
</t>
    </r>
    <r>
      <rPr>
        <sz val="11"/>
        <color rgb="FF000000"/>
        <rFont val="Calibri"/>
      </rPr>
      <t>2) Ensure only "Smart card" is selected. If using remote access "Pass-through from NetScaler Gateway" may also be selected.</t>
    </r>
    <r>
      <rPr>
        <sz val="11"/>
        <color rgb="FF000000"/>
        <rFont val="Calibri"/>
      </rPr>
      <t xml:space="preserve">
</t>
    </r>
    <r>
      <rPr>
        <sz val="11"/>
        <color rgb="FF000000"/>
        <rFont val="Calibri"/>
      </rPr>
      <t>If the "Smart Card" method is not selected, or if other methods are selected, this is a finding.</t>
    </r>
    <r>
      <rPr>
        <sz val="11"/>
        <color rgb="FF000000"/>
        <rFont val="Calibri"/>
      </rPr>
      <t xml:space="preserve">
</t>
    </r>
    <r>
      <rPr>
        <sz val="11"/>
        <color rgb="FF000000"/>
        <rFont val="Calibri"/>
      </rPr>
      <t>If "Pass-through from NetScaler Gateway" is selected, this is not a finding.</t>
    </r>
  </si>
  <si>
    <t>V-234253</t>
  </si>
  <si>
    <r>
      <rPr>
        <sz val="11"/>
        <rFont val="Calibri"/>
      </rPr>
      <t>Citrix Windows Virtual Delivery Agent must implement DoD-approved encryption.</t>
    </r>
  </si>
  <si>
    <t>Windows Virtual Delivery Agent</t>
  </si>
  <si>
    <r>
      <rPr>
        <sz val="11"/>
        <color rgb="FF000000"/>
        <rFont val="Calibri"/>
      </rPr>
      <t>Implement a DoD-approved VPN or gateway/proxy that will authenticate user access and tunnel/proxy traffic to the Windows VDA. Ensure the VPN or gateway/proxy is configured to authenticate the user before accessing the environment, and meets the DoD encryption requirements, such as FIPS 140-2, for the environment.</t>
    </r>
  </si>
  <si>
    <r>
      <rPr>
        <sz val="11"/>
        <color rgb="FF000000"/>
        <rFont val="Calibri"/>
      </rPr>
      <t xml:space="preserve">Without confidentiality protection mechanisms, unauthorized individuals may gain access to sensitive information via a remote access session. </t>
    </r>
    <r>
      <rPr>
        <sz val="11"/>
        <color rgb="FF000000"/>
        <rFont val="Calibri"/>
      </rPr>
      <t xml:space="preserve">
</t>
    </r>
    <r>
      <rPr>
        <sz val="11"/>
        <color rgb="FF000000"/>
        <rFont val="Calibri"/>
      </rPr>
      <t xml:space="preserve">Remote access is access to DoD nonpublic information systems by an authorized user (or an information system) communicating through an external, non-organization-controlled network. Remote access methods include, for example, dial-up, broadband, and wireless.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Encryption provides a means to secure the remote connection to prevent unauthorized access to the data traversing the remote access connection thereby providing a degree of confidentiality. The encryption strength of mechanism is selected based on the security categorization of the information.</t>
    </r>
    <r>
      <rPr>
        <sz val="11"/>
        <color rgb="FF000000"/>
        <rFont val="Calibri"/>
      </rPr>
      <t xml:space="preserve">
</t>
    </r>
    <r>
      <rPr>
        <sz val="11"/>
        <color rgb="FF000000"/>
        <rFont val="Calibri"/>
      </rPr>
      <t>Satisfies: SRG-APP-000014, SRG-APP-000015, SRG-APP-000039, SRG-APP-000219, SRG-APP-000439, SRG-APP-000440, SRG-APP-000441, SRG-APP-000442</t>
    </r>
  </si>
  <si>
    <r>
      <rPr>
        <sz val="11"/>
        <color rgb="FF000000"/>
        <rFont val="Calibri"/>
      </rPr>
      <t>A DoD approved VPN, or gateway/proxy, must be leveraged to access the Windows VDA from a remote network. This VPN, or gateway, must handle user authentication and tunneling of Citrix traffic. The VPN, or gateway, must meet the DoD encryption requirements, such as FIPS 140-2, for the environment.</t>
    </r>
    <r>
      <rPr>
        <sz val="11"/>
        <color rgb="FF000000"/>
        <rFont val="Calibri"/>
      </rPr>
      <t xml:space="preserve">
</t>
    </r>
    <r>
      <rPr>
        <sz val="11"/>
        <color rgb="FF000000"/>
        <rFont val="Calibri"/>
      </rPr>
      <t>If no VPN, or gateway/proxy, is used for remote access to the VDA, this is a finding.</t>
    </r>
    <r>
      <rPr>
        <sz val="11"/>
        <color rgb="FF000000"/>
        <rFont val="Calibri"/>
      </rPr>
      <t xml:space="preserve">
</t>
    </r>
    <r>
      <rPr>
        <sz val="11"/>
        <color rgb="FF000000"/>
        <rFont val="Calibri"/>
      </rPr>
      <t>If the VPN, or gateway/proxy, does not authenticate the remote user before providing access to the VDA, this is a finding.</t>
    </r>
    <r>
      <rPr>
        <sz val="11"/>
        <color rgb="FF000000"/>
        <rFont val="Calibri"/>
      </rPr>
      <t xml:space="preserve">
</t>
    </r>
    <r>
      <rPr>
        <sz val="11"/>
        <color rgb="FF000000"/>
        <rFont val="Calibri"/>
      </rPr>
      <t>If the VPN, or gateway/proxy, fails to meet the DoD encryption requirements for the environment, this is a finding.</t>
    </r>
  </si>
  <si>
    <t>V-234254</t>
  </si>
  <si>
    <r>
      <rPr>
        <sz val="11"/>
        <rFont val="Calibri"/>
      </rPr>
      <t>Citrix Windows Virtual Delivery Agent must be configured to prohibit or restrict the use of ports, as defined in the PPSM CAL and vulnerability assessments.</t>
    </r>
  </si>
  <si>
    <r>
      <rPr>
        <sz val="11"/>
        <color rgb="FF000000"/>
        <rFont val="Calibri"/>
      </rPr>
      <t>Some organizations consider port 80 to be a non-secure port regardless of the protocol. It is necessary to set the Delivery Controller and VDAs to use an approved port for registration traffic.</t>
    </r>
    <r>
      <rPr>
        <sz val="11"/>
        <color rgb="FF000000"/>
        <rFont val="Calibri"/>
      </rPr>
      <t xml:space="preserve">
</t>
    </r>
    <r>
      <rPr>
        <sz val="11"/>
        <color rgb="FF000000"/>
        <rFont val="Calibri"/>
      </rPr>
      <t>To set the registration port on the broker to an approved port (e.g., 8080) perform the following:</t>
    </r>
    <r>
      <rPr>
        <sz val="11"/>
        <color rgb="FF000000"/>
        <rFont val="Calibri"/>
      </rPr>
      <t xml:space="preserve">
</t>
    </r>
    <r>
      <rPr>
        <sz val="11"/>
        <color rgb="FF000000"/>
        <rFont val="Calibri"/>
      </rPr>
      <t>1. On each the Delivery Controller, open a command prompt.</t>
    </r>
    <r>
      <rPr>
        <sz val="11"/>
        <color rgb="FF000000"/>
        <rFont val="Calibri"/>
      </rPr>
      <t xml:space="preserve">
</t>
    </r>
    <r>
      <rPr>
        <sz val="11"/>
        <color rgb="FF000000"/>
        <rFont val="Calibri"/>
      </rPr>
      <t>2. Navigate to the Citrix install directory Program Files\Citrix\Broker\Service.</t>
    </r>
    <r>
      <rPr>
        <sz val="11"/>
        <color rgb="FF000000"/>
        <rFont val="Calibri"/>
      </rPr>
      <t xml:space="preserve">
</t>
    </r>
    <r>
      <rPr>
        <sz val="11"/>
        <color rgb="FF000000"/>
        <rFont val="Calibri"/>
      </rPr>
      <t>3. Run the command "BrokerService.exe -VDAPort 8080" to set the registration port to 8080. Replace 8080 with an approved port in the organization.</t>
    </r>
    <r>
      <rPr>
        <sz val="11"/>
        <color rgb="FF000000"/>
        <rFont val="Calibri"/>
      </rPr>
      <t xml:space="preserve">
</t>
    </r>
    <r>
      <rPr>
        <sz val="11"/>
        <color rgb="FF000000"/>
        <rFont val="Calibri"/>
      </rPr>
      <t>4. Run the command "BrokerService.exe /Show" to verify the VDA Port is changed.</t>
    </r>
    <r>
      <rPr>
        <sz val="11"/>
        <color rgb="FF000000"/>
        <rFont val="Calibri"/>
      </rPr>
      <t xml:space="preserve">
</t>
    </r>
    <r>
      <rPr>
        <sz val="11"/>
        <color rgb="FF000000"/>
        <rFont val="Calibri"/>
      </rPr>
      <t>To configure the Windows VDA to use the approved port set on the Delivery Controller, perform the following:</t>
    </r>
    <r>
      <rPr>
        <sz val="11"/>
        <color rgb="FF000000"/>
        <rFont val="Calibri"/>
      </rPr>
      <t xml:space="preserve">
</t>
    </r>
    <r>
      <rPr>
        <sz val="11"/>
        <color rgb="FF000000"/>
        <rFont val="Calibri"/>
      </rPr>
      <t>1. In Active Directory, open the Group Policy object used to apply VDA settings to the Windows VDA. If this GPO does not yet exist, create it.</t>
    </r>
    <r>
      <rPr>
        <sz val="11"/>
        <color rgb="FF000000"/>
        <rFont val="Calibri"/>
      </rPr>
      <t xml:space="preserve">
</t>
    </r>
    <r>
      <rPr>
        <sz val="11"/>
        <color rgb="FF000000"/>
        <rFont val="Calibri"/>
      </rPr>
      <t>2. Navigate to Computer Configuration &gt;&gt; Policies &gt;&gt; Citrix Policies.</t>
    </r>
    <r>
      <rPr>
        <sz val="11"/>
        <color rgb="FF000000"/>
        <rFont val="Calibri"/>
      </rPr>
      <t xml:space="preserve">
</t>
    </r>
    <r>
      <rPr>
        <sz val="11"/>
        <color rgb="FF000000"/>
        <rFont val="Calibri"/>
      </rPr>
      <t>3. Edit the "Unfiltered Policy” or create a custom Citrix policy to apply Delivery Controller settings in the GPO.</t>
    </r>
    <r>
      <rPr>
        <sz val="11"/>
        <color rgb="FF000000"/>
        <rFont val="Calibri"/>
      </rPr>
      <t xml:space="preserve">
</t>
    </r>
    <r>
      <rPr>
        <sz val="11"/>
        <color rgb="FF000000"/>
        <rFont val="Calibri"/>
      </rPr>
      <t>4. Under the "Settings" tab, find the Virtual Delivery Agent Setting called "Controller registration port".</t>
    </r>
    <r>
      <rPr>
        <sz val="11"/>
        <color rgb="FF000000"/>
        <rFont val="Calibri"/>
      </rPr>
      <t xml:space="preserve">
</t>
    </r>
    <r>
      <rPr>
        <sz val="11"/>
        <color rgb="FF000000"/>
        <rFont val="Calibri"/>
      </rPr>
      <t>5. Click "Add" to enable the setting and specify the approved port set on the Delivery Controller.</t>
    </r>
    <r>
      <rPr>
        <sz val="11"/>
        <color rgb="FF000000"/>
        <rFont val="Calibri"/>
      </rPr>
      <t xml:space="preserve">
</t>
    </r>
    <r>
      <rPr>
        <sz val="11"/>
        <color rgb="FF000000"/>
        <rFont val="Calibri"/>
      </rPr>
      <t>6. Ensure this GPO is linked to the OUs with the relevant Windows VDAs.</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</si>
  <si>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 xml:space="preserve">Applications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application must support the organizational requirements providing only essential capabilities and limiting the use of ports, protocols, and/or services to only those required, authorized, and approved to conduct official business or to address authorized quality of life issues.</t>
    </r>
  </si>
  <si>
    <r>
      <rPr>
        <sz val="11"/>
        <color rgb="FF000000"/>
        <rFont val="Calibri"/>
      </rPr>
      <t>Some organizations consider port 80 to be a non-secure port regardless of the protocol. Ensure VDA registration traffic to the Delivery Controller is occurring on an approved port.</t>
    </r>
    <r>
      <rPr>
        <sz val="11"/>
        <color rgb="FF000000"/>
        <rFont val="Calibri"/>
      </rPr>
      <t xml:space="preserve">
</t>
    </r>
    <r>
      <rPr>
        <sz val="11"/>
        <color rgb="FF000000"/>
        <rFont val="Calibri"/>
      </rPr>
      <t>To verify the Delivery Controller is using an approved port, perform the following:</t>
    </r>
    <r>
      <rPr>
        <sz val="11"/>
        <color rgb="FF000000"/>
        <rFont val="Calibri"/>
      </rPr>
      <t xml:space="preserve">
</t>
    </r>
    <r>
      <rPr>
        <sz val="11"/>
        <color rgb="FF000000"/>
        <rFont val="Calibri"/>
      </rPr>
      <t>1. On each the Delivery Controller, open a command prompt.</t>
    </r>
    <r>
      <rPr>
        <sz val="11"/>
        <color rgb="FF000000"/>
        <rFont val="Calibri"/>
      </rPr>
      <t xml:space="preserve">
</t>
    </r>
    <r>
      <rPr>
        <sz val="11"/>
        <color rgb="FF000000"/>
        <rFont val="Calibri"/>
      </rPr>
      <t>2. Navigate to the Citrix install directory Program Files\Citrix\Broker\Service.</t>
    </r>
    <r>
      <rPr>
        <sz val="11"/>
        <color rgb="FF000000"/>
        <rFont val="Calibri"/>
      </rPr>
      <t xml:space="preserve">
</t>
    </r>
    <r>
      <rPr>
        <sz val="11"/>
        <color rgb="FF000000"/>
        <rFont val="Calibri"/>
      </rPr>
      <t>3. Run the command "BrokerService.exe /Show" to display the currently used "VDA Port".</t>
    </r>
    <r>
      <rPr>
        <sz val="11"/>
        <color rgb="FF000000"/>
        <rFont val="Calibri"/>
      </rPr>
      <t xml:space="preserve">
</t>
    </r>
    <r>
      <rPr>
        <sz val="11"/>
        <color rgb="FF000000"/>
        <rFont val="Calibri"/>
      </rPr>
      <t>4. Ensure the port in use on each Delivery Controller matches and is approved by the DoD organization.</t>
    </r>
    <r>
      <rPr>
        <sz val="11"/>
        <color rgb="FF000000"/>
        <rFont val="Calibri"/>
      </rPr>
      <t xml:space="preserve">
</t>
    </r>
    <r>
      <rPr>
        <sz val="11"/>
        <color rgb="FF000000"/>
        <rFont val="Calibri"/>
      </rPr>
      <t>To verify the Windows VDA is using the approved port for registration, perform the following:</t>
    </r>
    <r>
      <rPr>
        <sz val="11"/>
        <color rgb="FF000000"/>
        <rFont val="Calibri"/>
      </rPr>
      <t xml:space="preserve">
</t>
    </r>
    <r>
      <rPr>
        <sz val="11"/>
        <color rgb="FF000000"/>
        <rFont val="Calibri"/>
      </rPr>
      <t>1. In Active Directory, open the Group Policy object used to apply VDA settings to the Windows VDA.</t>
    </r>
    <r>
      <rPr>
        <sz val="11"/>
        <color rgb="FF000000"/>
        <rFont val="Calibri"/>
      </rPr>
      <t xml:space="preserve">
</t>
    </r>
    <r>
      <rPr>
        <sz val="11"/>
        <color rgb="FF000000"/>
        <rFont val="Calibri"/>
      </rPr>
      <t>2. Navigate to Computer Configuration &gt;&gt; Policies &gt;&gt; Citrix Policies.</t>
    </r>
    <r>
      <rPr>
        <sz val="11"/>
        <color rgb="FF000000"/>
        <rFont val="Calibri"/>
      </rPr>
      <t xml:space="preserve">
</t>
    </r>
    <r>
      <rPr>
        <sz val="11"/>
        <color rgb="FF000000"/>
        <rFont val="Calibri"/>
      </rPr>
      <t>3. Edit the "Unfiltered Policy", or the custom policy used to apply Delivery Controller settings in the GPO.</t>
    </r>
    <r>
      <rPr>
        <sz val="11"/>
        <color rgb="FF000000"/>
        <rFont val="Calibri"/>
      </rPr>
      <t xml:space="preserve">
</t>
    </r>
    <r>
      <rPr>
        <sz val="11"/>
        <color rgb="FF000000"/>
        <rFont val="Calibri"/>
      </rPr>
      <t>4. Under the "Settings" tab, find the Virtual Delivery Agent Setting called "Controller registration port".</t>
    </r>
    <r>
      <rPr>
        <sz val="11"/>
        <color rgb="FF000000"/>
        <rFont val="Calibri"/>
      </rPr>
      <t xml:space="preserve">
</t>
    </r>
    <r>
      <rPr>
        <sz val="11"/>
        <color rgb="FF000000"/>
        <rFont val="Calibri"/>
      </rPr>
      <t>5. Ensure the port number matches the approved port set on the Delivery Controller.</t>
    </r>
    <r>
      <rPr>
        <sz val="11"/>
        <color rgb="FF000000"/>
        <rFont val="Calibri"/>
      </rPr>
      <t xml:space="preserve">
</t>
    </r>
    <r>
      <rPr>
        <sz val="11"/>
        <color rgb="FF000000"/>
        <rFont val="Calibri"/>
      </rPr>
      <t>If an unapproved port is used, this is a finding.</t>
    </r>
  </si>
  <si>
    <t>V-234255</t>
  </si>
  <si>
    <r>
      <rPr>
        <sz val="11"/>
        <rFont val="Calibri"/>
      </rPr>
      <t>The application must limit the number of concurrent sessions to three.</t>
    </r>
  </si>
  <si>
    <t>Linux Virtual Delivery Agent</t>
  </si>
  <si>
    <r>
      <rPr>
        <sz val="11"/>
        <color rgb="FF000000"/>
        <rFont val="Calibri"/>
      </rPr>
      <t>Open Citrix Studio, select "Policy Panel", check for Computer Policies.</t>
    </r>
    <r>
      <rPr>
        <sz val="11"/>
        <color rgb="FF000000"/>
        <rFont val="Calibri"/>
      </rPr>
      <t xml:space="preserve">
</t>
    </r>
    <r>
      <rPr>
        <sz val="11"/>
        <color rgb="FF000000"/>
        <rFont val="Calibri"/>
      </rPr>
      <t>Maximum number of sessions (MaximumNumberOfSessions) policy set to "ENABLED" and limit set to "3".</t>
    </r>
  </si>
  <si>
    <r>
      <rPr>
        <sz val="11"/>
        <color rgb="FF000000"/>
        <rFont val="Calibri"/>
      </rPr>
      <t>Application management includes the ability to control the number of users and user sessions that utilize an application. Limiting the number of allowed users and sessions per user is helpful in limiting risks related to DoS attacks.</t>
    </r>
    <r>
      <rPr>
        <sz val="11"/>
        <color rgb="FF000000"/>
        <rFont val="Calibri"/>
      </rPr>
      <t xml:space="preserve">
</t>
    </r>
    <r>
      <rPr>
        <sz val="11"/>
        <color rgb="FF000000"/>
        <rFont val="Calibri"/>
      </rPr>
      <t xml:space="preserve">This requirement may be met via the application or by utilizing information system session control provided by a web server with specialized session management capabilities. If it has been specified that this requirement will be handled by the application, the capability to limit the maximum number of concurrent single user sessions must be designed and built into the application. </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should be defined based upon mission needs and the operational environment for each system.</t>
    </r>
  </si>
  <si>
    <r>
      <rPr>
        <sz val="11"/>
        <color rgb="FF000000"/>
        <rFont val="Calibri"/>
      </rPr>
      <t xml:space="preserve">Open Citrix Studio, select "Policy Panel", check for Computer Policies. </t>
    </r>
    <r>
      <rPr>
        <sz val="11"/>
        <color rgb="FF000000"/>
        <rFont val="Calibri"/>
      </rPr>
      <t xml:space="preserve">
</t>
    </r>
    <r>
      <rPr>
        <sz val="11"/>
        <color rgb="FF000000"/>
        <rFont val="Calibri"/>
      </rPr>
      <t>Maximum number of sessions (MaximumNumberOfSessions) policy is "ENABLED" and explicitly applied to Linux Desktop/Application Delivery Groups.</t>
    </r>
    <r>
      <rPr>
        <sz val="11"/>
        <color rgb="FF000000"/>
        <rFont val="Calibri"/>
      </rPr>
      <t xml:space="preserve">
</t>
    </r>
    <r>
      <rPr>
        <sz val="11"/>
        <color rgb="FF000000"/>
        <rFont val="Calibri"/>
      </rPr>
      <t>If Maximum Number of Sessions policy is "DISABLED" or limit not set to "3", this is a finding.</t>
    </r>
  </si>
  <si>
    <t>V-234256</t>
  </si>
  <si>
    <r>
      <rPr>
        <sz val="11"/>
        <rFont val="Calibri"/>
      </rPr>
      <t>The application must initiate a session lock after a 15-minute period of inactivity.</t>
    </r>
  </si>
  <si>
    <r>
      <rPr>
        <sz val="11"/>
        <color rgb="FF000000"/>
        <rFont val="Calibri"/>
      </rPr>
      <t>Set value for Idle Timer</t>
    </r>
    <r>
      <rPr>
        <sz val="11"/>
        <color rgb="FF000000"/>
        <rFont val="Calibri"/>
      </rPr>
      <t xml:space="preserve">
</t>
    </r>
    <r>
      <rPr>
        <sz val="11"/>
        <color rgb="FF000000"/>
        <rFont val="Calibri"/>
      </rPr>
      <t xml:space="preserve">/opt/Citrix/VDA/bin/ctxreg update -k "HKLM\System\CurrentControlSet\Control\Citrix\WinStations\cgp" -v "MaxIdleTime" -d "0x0000000F" </t>
    </r>
    <r>
      <rPr>
        <sz val="11"/>
        <color rgb="FF000000"/>
        <rFont val="Calibri"/>
      </rPr>
      <t xml:space="preserve">
</t>
    </r>
    <r>
      <rPr>
        <sz val="11"/>
        <color rgb="FF000000"/>
        <rFont val="Calibri"/>
      </rPr>
      <t xml:space="preserve">/opt/Citrix/VDA/bin/ctxreg update -k "HKLM\System\CurrentControlSet\Control\Citrix\WinStations\tcp" -v "MaxIdleTime" -d "0x0000000F" </t>
    </r>
    <r>
      <rPr>
        <sz val="11"/>
        <color rgb="FF000000"/>
        <rFont val="Calibri"/>
      </rPr>
      <t xml:space="preserve">
</t>
    </r>
    <r>
      <rPr>
        <sz val="11"/>
        <color rgb="FF000000"/>
        <rFont val="Calibri"/>
      </rPr>
      <t xml:space="preserve">/opt/Citrix/VDA/bin/ctxreg update -k "HKLM\System\CurrentControlSet\Control\Citrix\WinStations\ssl" -v "MaxIdleTime" -d "0x0000000F" </t>
    </r>
    <r>
      <rPr>
        <sz val="11"/>
        <color rgb="FF000000"/>
        <rFont val="Calibri"/>
      </rPr>
      <t xml:space="preserve">
</t>
    </r>
    <r>
      <rPr>
        <sz val="11"/>
        <color rgb="FF000000"/>
        <rFont val="Calibri"/>
      </rPr>
      <t>where "0x0000000F" is hexadecimal for 15</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</si>
  <si>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application session prior to vacating the vicinity, applications need to be able to identify when a user's application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 This is typically at the operating system-level and results in a system lock, but may be at the application-level where the application interface window is secured instead.</t>
    </r>
  </si>
  <si>
    <r>
      <rPr>
        <sz val="11"/>
        <color rgb="FF000000"/>
        <rFont val="Calibri"/>
      </rPr>
      <t>All timer values are defined in the registration table. Retrieve current value using the following command:</t>
    </r>
    <r>
      <rPr>
        <sz val="11"/>
        <color rgb="FF000000"/>
        <rFont val="Calibri"/>
      </rPr>
      <t xml:space="preserve">
</t>
    </r>
    <r>
      <rPr>
        <sz val="11"/>
        <color rgb="FF000000"/>
        <rFont val="Calibri"/>
      </rPr>
      <t>/opt/Citrix/VDA/bin/ctxreg,</t>
    </r>
    <r>
      <rPr>
        <sz val="11"/>
        <color rgb="FF000000"/>
        <rFont val="Calibri"/>
      </rPr>
      <t xml:space="preserve">
</t>
    </r>
    <r>
      <rPr>
        <sz val="11"/>
        <color rgb="FF000000"/>
        <rFont val="Calibri"/>
      </rPr>
      <t>/opt/Citrix/VDA/bin/ctxreg dump |grep MaxIdleTime</t>
    </r>
    <r>
      <rPr>
        <sz val="11"/>
        <color rgb="FF000000"/>
        <rFont val="Calibri"/>
      </rPr>
      <t xml:space="preserve">
</t>
    </r>
    <r>
      <rPr>
        <sz val="11"/>
        <color rgb="FF000000"/>
        <rFont val="Calibri"/>
      </rPr>
      <t>If MaxIdleTime is not set to "15 minutes" or less, this is a finding.</t>
    </r>
  </si>
  <si>
    <t>V-234257</t>
  </si>
  <si>
    <r>
      <rPr>
        <sz val="11"/>
        <rFont val="Calibri"/>
      </rPr>
      <t>Citrix Linux Virtual Delivery Agent must implement DoD-approved encryption.</t>
    </r>
  </si>
  <si>
    <r>
      <rPr>
        <sz val="11"/>
        <color rgb="FF000000"/>
        <rFont val="Calibri"/>
      </rPr>
      <t>To enable TLS encryption on the Linux VDA, a server certificate must be installed on the Citrix Broker (DDC), each Linux VDA server and root certificates must be installed on each Linux VDA server and client per DoD guidelines.</t>
    </r>
    <r>
      <rPr>
        <sz val="11"/>
        <color rgb="FF000000"/>
        <rFont val="Calibri"/>
      </rPr>
      <t xml:space="preserve">
</t>
    </r>
    <r>
      <rPr>
        <sz val="11"/>
        <color rgb="FF000000"/>
        <rFont val="Calibri"/>
      </rPr>
      <t>On the Linux VDA, use the enable_vdassl.sh tool to enable (or disable) TLS encryption. The tool is located in the /opt/Citrix/VDA/sbin directory. For information about options available in the tool, run the /opt/Citrix/VDA/sbin/enable_vdassl.sh -help command.</t>
    </r>
    <r>
      <rPr>
        <sz val="11"/>
        <color rgb="FF000000"/>
        <rFont val="Calibri"/>
      </rPr>
      <t xml:space="preserve">
</t>
    </r>
    <r>
      <rPr>
        <sz val="11"/>
        <color rgb="FF000000"/>
        <rFont val="Calibri"/>
      </rPr>
      <t>To enable TLS 1.2 on Linux VDA OS - # /opt/Citrix/VDA/bin/ctxreg update -k "HKLM\System\CurrentControlSet\Control\Citrix\WinStations\ssl" -v "SSLMinVersion" -d 0x00000004</t>
    </r>
    <r>
      <rPr>
        <sz val="11"/>
        <color rgb="FF000000"/>
        <rFont val="Calibri"/>
      </rPr>
      <t xml:space="preserve">
</t>
    </r>
    <r>
      <rPr>
        <sz val="11"/>
        <color rgb="FF000000"/>
        <rFont val="Calibri"/>
      </rPr>
      <t>To enable GOV ciphersuites only:</t>
    </r>
    <r>
      <rPr>
        <sz val="11"/>
        <color rgb="FF000000"/>
        <rFont val="Calibri"/>
      </rPr>
      <t xml:space="preserve">
</t>
    </r>
    <r>
      <rPr>
        <sz val="11"/>
        <color rgb="FF000000"/>
        <rFont val="Calibri"/>
      </rPr>
      <t># /opt/Citrix/VDA/bin/ctxreg update -k "HKLM\System\CurrentControlSet\Control\Citrix\WinStations\ssl" -v "SSLCipherSuite" -d 0x00000001</t>
    </r>
    <r>
      <rPr>
        <sz val="11"/>
        <color rgb="FF000000"/>
        <rFont val="Calibri"/>
      </rPr>
      <t xml:space="preserve">
</t>
    </r>
    <r>
      <rPr>
        <sz val="11"/>
        <color rgb="FF000000"/>
        <rFont val="Calibri"/>
      </rPr>
      <t>thes restart service</t>
    </r>
    <r>
      <rPr>
        <sz val="11"/>
        <color rgb="FF000000"/>
        <rFont val="Calibri"/>
      </rPr>
      <t xml:space="preserve">
</t>
    </r>
    <r>
      <rPr>
        <sz val="11"/>
        <color rgb="FF000000"/>
        <rFont val="Calibri"/>
      </rPr>
      <t xml:space="preserve"># sudo /sbin/service ctxhdx restart </t>
    </r>
    <r>
      <rPr>
        <sz val="11"/>
        <color rgb="FF000000"/>
        <rFont val="Calibri"/>
      </rPr>
      <t xml:space="preserve">
</t>
    </r>
    <r>
      <rPr>
        <sz val="11"/>
        <color rgb="FF000000"/>
        <rFont val="Calibri"/>
      </rPr>
      <t>[root@ LVDA]# sudo /sbin/service ctxhdx restart</t>
    </r>
  </si>
  <si>
    <r>
      <rPr>
        <sz val="11"/>
        <color rgb="FF000000"/>
        <rFont val="Calibri"/>
      </rPr>
      <t xml:space="preserve">On the Delivery Controller, ensure the SSL encryption has been enabled for the delivery group (HdxSslEnabled:True) and the Delivery Controller uses FQDN of Linux VDA to contact target Linux VDA (DnsResolutionEnabled:True). </t>
    </r>
    <r>
      <rPr>
        <sz val="11"/>
        <color rgb="FF000000"/>
        <rFont val="Calibri"/>
      </rPr>
      <t xml:space="preserve">
</t>
    </r>
    <r>
      <rPr>
        <sz val="11"/>
        <color rgb="FF000000"/>
        <rFont val="Calibri"/>
      </rPr>
      <t>Execute the following commands in a PowerShell window on the Delivery Controller:</t>
    </r>
    <r>
      <rPr>
        <sz val="11"/>
        <color rgb="FF000000"/>
        <rFont val="Calibri"/>
      </rPr>
      <t xml:space="preserve">
</t>
    </r>
    <r>
      <rPr>
        <sz val="11"/>
        <color rgb="FF000000"/>
        <rFont val="Calibri"/>
      </rPr>
      <t># Asnp citrix.*</t>
    </r>
    <r>
      <rPr>
        <sz val="11"/>
        <color rgb="FF000000"/>
        <rFont val="Calibri"/>
      </rPr>
      <t xml:space="preserve">
</t>
    </r>
    <r>
      <rPr>
        <sz val="11"/>
        <color rgb="FF000000"/>
        <rFont val="Calibri"/>
      </rPr>
      <t># Get-BrokerAccessPolicyRule –DesktopGroupName ‘&lt;GROUPNAME&gt;’ | format-list HdxSslEnabled</t>
    </r>
    <r>
      <rPr>
        <sz val="11"/>
        <color rgb="FF000000"/>
        <rFont val="Calibri"/>
      </rPr>
      <t xml:space="preserve">
</t>
    </r>
    <r>
      <rPr>
        <sz val="11"/>
        <color rgb="FF000000"/>
        <rFont val="Calibri"/>
      </rPr>
      <t>Where &lt;GROUPNAME&gt; is the target Delivery Group name.</t>
    </r>
    <r>
      <rPr>
        <sz val="11"/>
        <color rgb="FF000000"/>
        <rFont val="Calibri"/>
      </rPr>
      <t xml:space="preserve">
</t>
    </r>
    <r>
      <rPr>
        <sz val="11"/>
        <color rgb="FF000000"/>
        <rFont val="Calibri"/>
      </rPr>
      <t>On Linux VDA, check the following:</t>
    </r>
    <r>
      <rPr>
        <sz val="11"/>
        <color rgb="FF000000"/>
        <rFont val="Calibri"/>
      </rPr>
      <t xml:space="preserve">
</t>
    </r>
    <r>
      <rPr>
        <sz val="11"/>
        <color rgb="FF000000"/>
        <rFont val="Calibri"/>
      </rPr>
      <t xml:space="preserve">Check if SSL listener is up and running; run following command: </t>
    </r>
    <r>
      <rPr>
        <sz val="11"/>
        <color rgb="FF000000"/>
        <rFont val="Calibri"/>
      </rPr>
      <t xml:space="preserve">
</t>
    </r>
    <r>
      <rPr>
        <sz val="11"/>
        <color rgb="FF000000"/>
        <rFont val="Calibri"/>
      </rPr>
      <t># netstat -lptn|grep ctxhdx</t>
    </r>
    <r>
      <rPr>
        <sz val="11"/>
        <color rgb="FF000000"/>
        <rFont val="Calibri"/>
      </rPr>
      <t xml:space="preserve">
</t>
    </r>
    <r>
      <rPr>
        <sz val="11"/>
        <color rgb="FF000000"/>
        <rFont val="Calibri"/>
      </rPr>
      <t>to see that the ctxhdx process is listening on an SSL port (443, by default).</t>
    </r>
    <r>
      <rPr>
        <sz val="11"/>
        <color rgb="FF000000"/>
        <rFont val="Calibri"/>
      </rPr>
      <t xml:space="preserve">
</t>
    </r>
    <r>
      <rPr>
        <sz val="11"/>
        <color rgb="FF000000"/>
        <rFont val="Calibri"/>
      </rPr>
      <t xml:space="preserve">If, on the Delivery Controller, HdxSslEnabled is not set to "true", this is a finding. </t>
    </r>
    <r>
      <rPr>
        <sz val="11"/>
        <color rgb="FF000000"/>
        <rFont val="Calibri"/>
      </rPr>
      <t xml:space="preserve">
</t>
    </r>
    <r>
      <rPr>
        <sz val="11"/>
        <color rgb="FF000000"/>
        <rFont val="Calibri"/>
      </rPr>
      <t>If, on the Delivery Controller, DnsResolutionEnabled is not set to "true", this is a finding.</t>
    </r>
    <r>
      <rPr>
        <sz val="11"/>
        <color rgb="FF000000"/>
        <rFont val="Calibri"/>
      </rPr>
      <t xml:space="preserve">
</t>
    </r>
    <r>
      <rPr>
        <sz val="11"/>
        <color rgb="FF000000"/>
        <rFont val="Calibri"/>
      </rPr>
      <t>If, on the Linux VDS, the ctxhdx process is not listening on an SSL port (443 by default, or other approved port), this is a finding.</t>
    </r>
  </si>
  <si>
    <t>V-234258</t>
  </si>
  <si>
    <r>
      <rPr>
        <sz val="11"/>
        <rFont val="Calibri"/>
      </rPr>
      <t>The application must be configured to disable non-essential capabilities.</t>
    </r>
  </si>
  <si>
    <r>
      <rPr>
        <sz val="11"/>
        <color rgb="FF000000"/>
        <rFont val="Calibri"/>
      </rPr>
      <t>Set the value of CEIPSwitch to "1" (Disabled).</t>
    </r>
    <r>
      <rPr>
        <sz val="11"/>
        <color rgb="FF000000"/>
        <rFont val="Calibri"/>
      </rPr>
      <t xml:space="preserve">
</t>
    </r>
    <r>
      <rPr>
        <sz val="11"/>
        <color rgb="FF000000"/>
        <rFont val="Calibri"/>
      </rPr>
      <t>Set the value of GASwitch to "1" (Disabled).</t>
    </r>
  </si>
  <si>
    <r>
      <rPr>
        <sz val="11"/>
        <color rgb="FF000000"/>
        <rFont val="Calibri"/>
      </rPr>
      <t>It is detrimental for applications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Applications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advertising software or browser plug-ins not related to requirements or providing a wide array of functionality not required for every mission but cannot be disabled.</t>
    </r>
  </si>
  <si>
    <r>
      <rPr>
        <sz val="11"/>
        <color rgb="FF000000"/>
        <rFont val="Calibri"/>
      </rPr>
      <t>Run the following command on a client to disable the CEIP:</t>
    </r>
    <r>
      <rPr>
        <sz val="11"/>
        <color rgb="FF000000"/>
        <rFont val="Calibri"/>
      </rPr>
      <t xml:space="preserve">
</t>
    </r>
    <r>
      <rPr>
        <sz val="11"/>
        <color rgb="FF000000"/>
        <rFont val="Calibri"/>
      </rPr>
      <t>/opt/Citrix/VDA/bin/ctxreg update -k "HKEY_LOCAL_MACHINE\ SOFTWARE\Citrix\CEIP" -v "CEIPSwitch" -d "1"</t>
    </r>
    <r>
      <rPr>
        <sz val="11"/>
        <color rgb="FF000000"/>
        <rFont val="Calibri"/>
      </rPr>
      <t xml:space="preserve">
</t>
    </r>
    <r>
      <rPr>
        <sz val="11"/>
        <color rgb="FF000000"/>
        <rFont val="Calibri"/>
      </rPr>
      <t>If CEIPSwitch is not set to "1", this is a finding.</t>
    </r>
    <r>
      <rPr>
        <sz val="11"/>
        <color rgb="FF000000"/>
        <rFont val="Calibri"/>
      </rPr>
      <t xml:space="preserve">
</t>
    </r>
    <r>
      <rPr>
        <sz val="11"/>
        <color rgb="FF000000"/>
        <rFont val="Calibri"/>
      </rPr>
      <t>Run the following command on a client to disable Google Analytics:</t>
    </r>
    <r>
      <rPr>
        <sz val="11"/>
        <color rgb="FF000000"/>
        <rFont val="Calibri"/>
      </rPr>
      <t xml:space="preserve">
</t>
    </r>
    <r>
      <rPr>
        <sz val="11"/>
        <color rgb="FF000000"/>
        <rFont val="Calibri"/>
      </rPr>
      <t>/opt/Citrix/VDA/bin/ctxreg update -k "HKEY_LOCAL_MACHINE\ SOFTWARE\Citrix\CEIP" -v "GASwitch" -d "1"</t>
    </r>
    <r>
      <rPr>
        <sz val="11"/>
        <color rgb="FF000000"/>
        <rFont val="Calibri"/>
      </rPr>
      <t xml:space="preserve">
</t>
    </r>
    <r>
      <rPr>
        <sz val="11"/>
        <color rgb="FF000000"/>
        <rFont val="Calibri"/>
      </rPr>
      <t>If GASwitch is not set to "1", this is a finding.</t>
    </r>
  </si>
  <si>
    <t>V-234259</t>
  </si>
  <si>
    <r>
      <rPr>
        <sz val="11"/>
        <rFont val="Calibri"/>
      </rPr>
      <t>Citrix Linux Virtual Delivery Agent (LVDA) must be configured to prohibit or restrict the use of ports, as defined in the PPSM CAL and vulnerability assessments.</t>
    </r>
  </si>
  <si>
    <r>
      <rPr>
        <sz val="11"/>
        <color rgb="FF000000"/>
        <rFont val="Calibri"/>
      </rPr>
      <t>To change the VDA registration port from the default "80", create the Citrix Machine Policy and update the DDCs, as explained below:</t>
    </r>
    <r>
      <rPr>
        <sz val="11"/>
        <color rgb="FF000000"/>
        <rFont val="Calibri"/>
      </rPr>
      <t xml:space="preserve">
</t>
    </r>
    <r>
      <rPr>
        <sz val="11"/>
        <color rgb="FF000000"/>
        <rFont val="Calibri"/>
      </rPr>
      <t>1. Create a new Citrix Machine policy or edit an existing one.</t>
    </r>
    <r>
      <rPr>
        <sz val="11"/>
        <color rgb="FF000000"/>
        <rFont val="Calibri"/>
      </rPr>
      <t xml:space="preserve">
</t>
    </r>
    <r>
      <rPr>
        <sz val="11"/>
        <color rgb="FF000000"/>
        <rFont val="Calibri"/>
      </rPr>
      <t>2. Navigate to the Settings tab and select "Control Registration Port".</t>
    </r>
    <r>
      <rPr>
        <sz val="11"/>
        <color rgb="FF000000"/>
        <rFont val="Calibri"/>
      </rPr>
      <t xml:space="preserve">
</t>
    </r>
    <r>
      <rPr>
        <sz val="11"/>
        <color rgb="FF000000"/>
        <rFont val="Calibri"/>
      </rPr>
      <t>3. Update the Value to reflect the new port.</t>
    </r>
    <r>
      <rPr>
        <sz val="11"/>
        <color rgb="FF000000"/>
        <rFont val="Calibri"/>
      </rPr>
      <t xml:space="preserve">
</t>
    </r>
    <r>
      <rPr>
        <sz val="11"/>
        <color rgb="FF000000"/>
        <rFont val="Calibri"/>
      </rPr>
      <t>4. Select "OK".</t>
    </r>
    <r>
      <rPr>
        <sz val="11"/>
        <color rgb="FF000000"/>
        <rFont val="Calibri"/>
      </rPr>
      <t xml:space="preserve">
</t>
    </r>
    <r>
      <rPr>
        <sz val="11"/>
        <color rgb="FF000000"/>
        <rFont val="Calibri"/>
      </rPr>
      <t>5. Restart all desktops and wait until all the desktops report as Unregistered.</t>
    </r>
    <r>
      <rPr>
        <sz val="11"/>
        <color rgb="FF000000"/>
        <rFont val="Calibri"/>
      </rPr>
      <t xml:space="preserve">
</t>
    </r>
    <r>
      <rPr>
        <sz val="11"/>
        <color rgb="FF000000"/>
        <rFont val="Calibri"/>
      </rPr>
      <t>6. Update the DDCs VDA registration Port.</t>
    </r>
    <r>
      <rPr>
        <sz val="11"/>
        <color rgb="FF000000"/>
        <rFont val="Calibri"/>
      </rPr>
      <t xml:space="preserve">
</t>
    </r>
    <r>
      <rPr>
        <sz val="11"/>
        <color rgb="FF000000"/>
        <rFont val="Calibri"/>
      </rPr>
      <t>7. Restart all desktops and verify that all VDAs register successfully.</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</si>
  <si>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 xml:space="preserve">Applications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application must support the organizational requirements providing only essential capabilities and limiting the use of ports, protocols, and/or services to only those required, authorized, and approved to conduct official business or to address authorized quality of life issues.</t>
    </r>
  </si>
  <si>
    <r>
      <rPr>
        <sz val="11"/>
        <color rgb="FF000000"/>
        <rFont val="Calibri"/>
      </rPr>
      <t xml:space="preserve">On Delivery Controllers, verify that only approved ports are used. </t>
    </r>
    <r>
      <rPr>
        <sz val="11"/>
        <color rgb="FF000000"/>
        <rFont val="Calibri"/>
      </rPr>
      <t xml:space="preserve">
</t>
    </r>
    <r>
      <rPr>
        <sz val="11"/>
        <color rgb="FF000000"/>
        <rFont val="Calibri"/>
      </rPr>
      <t>1. Open a command prompt.</t>
    </r>
    <r>
      <rPr>
        <sz val="11"/>
        <color rgb="FF000000"/>
        <rFont val="Calibri"/>
      </rPr>
      <t xml:space="preserve">
</t>
    </r>
    <r>
      <rPr>
        <sz val="11"/>
        <color rgb="FF000000"/>
        <rFont val="Calibri"/>
      </rPr>
      <t>2. Navigate to the Citrix install directory Program Files\Citrix\Broker\Service</t>
    </r>
    <r>
      <rPr>
        <sz val="11"/>
        <color rgb="FF000000"/>
        <rFont val="Calibri"/>
      </rPr>
      <t xml:space="preserve">
</t>
    </r>
    <r>
      <rPr>
        <sz val="11"/>
        <color rgb="FF000000"/>
        <rFont val="Calibri"/>
      </rPr>
      <t>3. Enter "BrokerService.exe /Show" to display the currently used ports.</t>
    </r>
    <r>
      <rPr>
        <sz val="11"/>
        <color rgb="FF000000"/>
        <rFont val="Calibri"/>
      </rPr>
      <t xml:space="preserve">
</t>
    </r>
    <r>
      <rPr>
        <sz val="11"/>
        <color rgb="FF000000"/>
        <rFont val="Calibri"/>
      </rPr>
      <t>If an unapproved port is used, this is a finding.</t>
    </r>
  </si>
  <si>
    <t>V-234260</t>
  </si>
  <si>
    <r>
      <rPr>
        <sz val="11"/>
        <rFont val="Calibri"/>
      </rPr>
      <t>Citrix Linux Virtual Delivery Agent must only allow the use of DoD PKI established certificate authorities for verification of the establishment of protected sessions.</t>
    </r>
  </si>
  <si>
    <r>
      <rPr>
        <sz val="11"/>
        <color rgb="FF000000"/>
        <rFont val="Calibri"/>
      </rPr>
      <t>A server certificate must be installed on each Linux VDA server and root certificates must be installed on each Linux VDA server and client.</t>
    </r>
    <r>
      <rPr>
        <sz val="11"/>
        <color rgb="FF000000"/>
        <rFont val="Calibri"/>
      </rPr>
      <t xml:space="preserve">
</t>
    </r>
    <r>
      <rPr>
        <sz val="11"/>
        <color rgb="FF000000"/>
        <rFont val="Calibri"/>
      </rPr>
      <t>Obtain server certificates in PEM format and root certificates in CRT format from a trusted CA. A server certificate contains the following sections:</t>
    </r>
    <r>
      <rPr>
        <sz val="11"/>
        <color rgb="FF000000"/>
        <rFont val="Calibri"/>
      </rPr>
      <t xml:space="preserve">
</t>
    </r>
    <r>
      <rPr>
        <sz val="11"/>
        <color rgb="FF000000"/>
        <rFont val="Calibri"/>
      </rPr>
      <t>- Certificate</t>
    </r>
    <r>
      <rPr>
        <sz val="11"/>
        <color rgb="FF000000"/>
        <rFont val="Calibri"/>
      </rPr>
      <t xml:space="preserve">
</t>
    </r>
    <r>
      <rPr>
        <sz val="11"/>
        <color rgb="FF000000"/>
        <rFont val="Calibri"/>
      </rPr>
      <t>- Unencrypted private key</t>
    </r>
    <r>
      <rPr>
        <sz val="11"/>
        <color rgb="FF000000"/>
        <rFont val="Calibri"/>
      </rPr>
      <t xml:space="preserve">
</t>
    </r>
    <r>
      <rPr>
        <sz val="11"/>
        <color rgb="FF000000"/>
        <rFont val="Calibri"/>
      </rPr>
      <t>- Intermediate certificates (optional)</t>
    </r>
    <r>
      <rPr>
        <sz val="11"/>
        <color rgb="FF000000"/>
        <rFont val="Calibri"/>
      </rPr>
      <t xml:space="preserve">
</t>
    </r>
    <r>
      <rPr>
        <sz val="11"/>
        <color rgb="FF000000"/>
        <rFont val="Calibri"/>
      </rPr>
      <t>After obtaining required certificates, customers need to install them as follows:</t>
    </r>
    <r>
      <rPr>
        <sz val="11"/>
        <color rgb="FF000000"/>
        <rFont val="Calibri"/>
      </rPr>
      <t xml:space="preserve">
</t>
    </r>
    <r>
      <rPr>
        <sz val="11"/>
        <color rgb="FF000000"/>
        <rFont val="Calibri"/>
      </rPr>
      <t>Upload server and CA certificates into Linux VDA server, which will be used in “Step 2: Enable SSL encryption on Linux VDA”. For example, put server.pem (name of server certificate) and myca.crt (name of CA certificate) to folder /root/myCert/myCA/certs/.</t>
    </r>
    <r>
      <rPr>
        <sz val="11"/>
        <color rgb="FF000000"/>
        <rFont val="Calibri"/>
      </rPr>
      <t xml:space="preserve">
</t>
    </r>
    <r>
      <rPr>
        <sz val="11"/>
        <color rgb="FF000000"/>
        <rFont val="Calibri"/>
      </rPr>
      <t>Download the CA certificate (myca.crt as an example) to client host and import it into system Certificate Store on the “Trusted Root Certification Authorities” folder. Refer to "Importing Trusted CA Certificates into the Windows Certificate Store" for the instructions. Note: Ensure the client host is able to resolve the FQDN of Linux VDA; otherwise, the connection cannot be established.</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</si>
  <si>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 xml:space="preserve">The DoD will only accept PKI certificates obtained from a DoD-approved internal or external certificate authority. Reliance on CAs for the establishment of secure sessions includes, for example, the use of SSL/TLS certificates. </t>
    </r>
    <r>
      <rPr>
        <sz val="11"/>
        <color rgb="FF000000"/>
        <rFont val="Calibri"/>
      </rPr>
      <t xml:space="preserve">
</t>
    </r>
    <r>
      <rPr>
        <sz val="11"/>
        <color rgb="FF000000"/>
        <rFont val="Calibri"/>
      </rPr>
      <t>This requirement focuses on communications protection for the application session rather than for the network packet.</t>
    </r>
    <r>
      <rPr>
        <sz val="11"/>
        <color rgb="FF000000"/>
        <rFont val="Calibri"/>
      </rPr>
      <t xml:space="preserve">
</t>
    </r>
    <r>
      <rPr>
        <sz val="11"/>
        <color rgb="FF000000"/>
        <rFont val="Calibri"/>
      </rPr>
      <t>This requirement applies to applications that utilize communications sessions. This includes, but is not limited to, web-based applications and Service-Oriented Architectures (SOA).</t>
    </r>
  </si>
  <si>
    <r>
      <rPr>
        <sz val="11"/>
        <color rgb="FF000000"/>
        <rFont val="Calibri"/>
      </rPr>
      <t>Verify the correct server certificate issued by authorized certificate authority is installed on Linux VDA.</t>
    </r>
    <r>
      <rPr>
        <sz val="11"/>
        <color rgb="FF000000"/>
        <rFont val="Calibri"/>
      </rPr>
      <t xml:space="preserve">
</t>
    </r>
    <r>
      <rPr>
        <sz val="11"/>
        <color rgb="FF000000"/>
        <rFont val="Calibri"/>
      </rPr>
      <t>Navigate to folder /root/myCert/myCA/certs/ and examine certificates.</t>
    </r>
    <r>
      <rPr>
        <sz val="11"/>
        <color rgb="FF000000"/>
        <rFont val="Calibri"/>
      </rPr>
      <t xml:space="preserve">
</t>
    </r>
    <r>
      <rPr>
        <sz val="11"/>
        <color rgb="FF000000"/>
        <rFont val="Calibri"/>
      </rPr>
      <t>If the certificates are not issued by the DoD or approved CA, this is a finding.</t>
    </r>
  </si>
  <si>
    <t>V-234262</t>
  </si>
  <si>
    <r>
      <rPr>
        <sz val="11"/>
        <rFont val="Calibri"/>
      </rPr>
      <t>Citrix Workspace must accept Personal Identity Verification (PIV) credentials.</t>
    </r>
  </si>
  <si>
    <t>Workspace App</t>
  </si>
  <si>
    <r>
      <rPr>
        <sz val="11"/>
        <color rgb="FF000000"/>
        <rFont val="Calibri"/>
      </rPr>
      <t xml:space="preserve">Set the policy value for Administrative Templates &gt;&gt; Citrix Components &gt;&gt; Citrix Workspace &gt;&gt; User authentication &gt;&gt; "Smart card authentication" to "Enabled" and check the "Allow smart card authentication" box. </t>
    </r>
    <r>
      <rPr>
        <sz val="11"/>
        <color rgb="FF000000"/>
        <rFont val="Calibri"/>
      </rPr>
      <t xml:space="preserve">
</t>
    </r>
    <r>
      <rPr>
        <sz val="11"/>
        <color rgb="FF000000"/>
        <rFont val="Calibri"/>
      </rPr>
      <t>If the environment leverages PIN pass-through, also check the "Use pass-through authentication for PIN" box.</t>
    </r>
  </si>
  <si>
    <r>
      <rPr>
        <sz val="11"/>
        <color rgb="FF000000"/>
        <rFont val="Calibri"/>
      </rPr>
      <t>The use of PIV credentials facilitates standardization and reduces the risk of unauthorized access.</t>
    </r>
    <r>
      <rPr>
        <sz val="11"/>
        <color rgb="FF000000"/>
        <rFont val="Calibri"/>
      </rPr>
      <t xml:space="preserve">
</t>
    </r>
    <r>
      <rPr>
        <sz val="11"/>
        <color rgb="FF000000"/>
        <rFont val="Calibri"/>
      </rPr>
      <t>DoD has mandated the use of the Common Access Card (CAC) to support identity management and personal authentication for systems covered under HSPD 12, as well as a primary component of layered protection for national security systems.</t>
    </r>
    <r>
      <rPr>
        <sz val="11"/>
        <color rgb="FF000000"/>
        <rFont val="Calibri"/>
      </rPr>
      <t xml:space="preserve">
</t>
    </r>
    <r>
      <rPr>
        <sz val="11"/>
        <color rgb="FF000000"/>
        <rFont val="Calibri"/>
      </rPr>
      <t>Satisfies: SRG-APP-000391, SRG-APP-000392</t>
    </r>
  </si>
  <si>
    <r>
      <rPr>
        <sz val="11"/>
        <color rgb="FF000000"/>
        <rFont val="Calibri"/>
      </rPr>
      <t>Verify the policy value for Administrative Templates &gt;&gt; Citrix Components &gt;&gt; Citrix Workspace &gt;&gt; User authentication &gt;&gt; "Smart card authentication" is not set to "Disabled". For this setting, "Not Configured" is equivalent to "Enabled".</t>
    </r>
    <r>
      <rPr>
        <sz val="11"/>
        <color rgb="FF000000"/>
        <rFont val="Calibri"/>
      </rPr>
      <t xml:space="preserve">
</t>
    </r>
    <r>
      <rPr>
        <sz val="11"/>
        <color rgb="FF000000"/>
        <rFont val="Calibri"/>
      </rPr>
      <t>If the "Smart card authentication" policy is set to "Disabled", this is a finding.</t>
    </r>
  </si>
  <si>
    <t>V-234565</t>
  </si>
  <si>
    <r>
      <rPr>
        <sz val="11"/>
        <rFont val="Calibri"/>
      </rPr>
      <t>Citrix Delivery Controller must implement DoD-approved encryption.</t>
    </r>
  </si>
  <si>
    <t>Delivery Controller</t>
  </si>
  <si>
    <r>
      <rPr>
        <sz val="11"/>
        <color rgb="FF000000"/>
        <rFont val="Calibri"/>
      </rPr>
      <t>Obtain and install root certificate(s) for server certificates installed on VDAs, SQL Server(s), Storefront, and VM Host (VMware VCenter, Hyper-V, XenServer).</t>
    </r>
    <r>
      <rPr>
        <sz val="11"/>
        <color rgb="FF000000"/>
        <rFont val="Calibri"/>
      </rPr>
      <t xml:space="preserve">
</t>
    </r>
    <r>
      <rPr>
        <sz val="11"/>
        <color rgb="FF000000"/>
        <rFont val="Calibri"/>
      </rPr>
      <t>To install a TLS server certificate on the Delivery Controller without IIS:</t>
    </r>
    <r>
      <rPr>
        <sz val="11"/>
        <color rgb="FF000000"/>
        <rFont val="Calibri"/>
      </rPr>
      <t xml:space="preserve">
</t>
    </r>
    <r>
      <rPr>
        <sz val="11"/>
        <color rgb="FF000000"/>
        <rFont val="Calibri"/>
      </rPr>
      <t>1. Log on to each Delivery Controller with a domain account that has Administrator rights.</t>
    </r>
    <r>
      <rPr>
        <sz val="11"/>
        <color rgb="FF000000"/>
        <rFont val="Calibri"/>
      </rPr>
      <t xml:space="preserve">
</t>
    </r>
    <r>
      <rPr>
        <sz val="11"/>
        <color rgb="FF000000"/>
        <rFont val="Calibri"/>
      </rPr>
      <t>2. Obtain a TLS server certificate and install it on the Delivery Controller, and assign it to a port using netsh, using Microsoft server instructions.</t>
    </r>
    <r>
      <rPr>
        <sz val="11"/>
        <color rgb="FF000000"/>
        <rFont val="Calibri"/>
      </rPr>
      <t xml:space="preserve">
</t>
    </r>
    <r>
      <rPr>
        <sz val="11"/>
        <color rgb="FF000000"/>
        <rFont val="Calibri"/>
      </rPr>
      <t>3. Configure the Delivery Controller with the certificate.</t>
    </r>
    <r>
      <rPr>
        <sz val="11"/>
        <color rgb="FF000000"/>
        <rFont val="Calibri"/>
      </rPr>
      <t xml:space="preserve">
</t>
    </r>
    <r>
      <rPr>
        <sz val="11"/>
        <color rgb="FF000000"/>
        <rFont val="Calibri"/>
      </rPr>
      <t>To install a TLS server certificate on the Delivery Controller with IIS:</t>
    </r>
    <r>
      <rPr>
        <sz val="11"/>
        <color rgb="FF000000"/>
        <rFont val="Calibri"/>
      </rPr>
      <t xml:space="preserve">
</t>
    </r>
    <r>
      <rPr>
        <sz val="11"/>
        <color rgb="FF000000"/>
        <rFont val="Calibri"/>
      </rPr>
      <t>1. Add the server certificate per the Microsoft server instructions.</t>
    </r>
    <r>
      <rPr>
        <sz val="11"/>
        <color rgb="FF000000"/>
        <rFont val="Calibri"/>
      </rPr>
      <t xml:space="preserve">
</t>
    </r>
    <r>
      <rPr>
        <sz val="11"/>
        <color rgb="FF000000"/>
        <rFont val="Calibri"/>
      </rPr>
      <t>2. From IIS Manager, select the IIS site on which HTTPS will be enabled and select "Bindings" under "Edit Site".</t>
    </r>
    <r>
      <rPr>
        <sz val="11"/>
        <color rgb="FF000000"/>
        <rFont val="Calibri"/>
      </rPr>
      <t xml:space="preserve">
</t>
    </r>
    <r>
      <rPr>
        <sz val="11"/>
        <color rgb="FF000000"/>
        <rFont val="Calibri"/>
      </rPr>
      <t>3. Click "Add", select "Type" as https, and port number as "443". Select the SSL Certificate that was installed and click "OK".</t>
    </r>
    <r>
      <rPr>
        <sz val="11"/>
        <color rgb="FF000000"/>
        <rFont val="Calibri"/>
      </rPr>
      <t xml:space="preserve">
</t>
    </r>
    <r>
      <rPr>
        <sz val="11"/>
        <color rgb="FF000000"/>
        <rFont val="Calibri"/>
      </rPr>
      <t>To configure the Delivery Controller to use the no configured TLS port:</t>
    </r>
    <r>
      <rPr>
        <sz val="11"/>
        <color rgb="FF000000"/>
        <rFont val="Calibri"/>
      </rPr>
      <t xml:space="preserve">
</t>
    </r>
    <r>
      <rPr>
        <sz val="11"/>
        <color rgb="FF000000"/>
        <rFont val="Calibri"/>
      </rPr>
      <t>1. Change the XML TLS service port use the following command:</t>
    </r>
    <r>
      <rPr>
        <sz val="11"/>
        <color rgb="FF000000"/>
        <rFont val="Calibri"/>
      </rPr>
      <t xml:space="preserve">
</t>
    </r>
    <r>
      <rPr>
        <sz val="11"/>
        <color rgb="FF000000"/>
        <rFont val="Calibri"/>
      </rPr>
      <t>BrokerService –WiSslPort &lt;port number&gt;</t>
    </r>
    <r>
      <rPr>
        <sz val="11"/>
        <color rgb="FF000000"/>
        <rFont val="Calibri"/>
      </rPr>
      <t xml:space="preserve">
</t>
    </r>
    <r>
      <rPr>
        <sz val="11"/>
        <color rgb="FF000000"/>
        <rFont val="Calibri"/>
      </rPr>
      <t>2. Open the Registry Editor on the CVAD Controller and find the following key name:</t>
    </r>
    <r>
      <rPr>
        <sz val="11"/>
        <color rgb="FF000000"/>
        <rFont val="Calibri"/>
      </rPr>
      <t xml:space="preserve">
</t>
    </r>
    <r>
      <rPr>
        <sz val="11"/>
        <color rgb="FF000000"/>
        <rFont val="Calibri"/>
      </rPr>
      <t>HKEY_LOCAL_MACHINE\SOFTWARE\Citrix\DesktopServer</t>
    </r>
    <r>
      <rPr>
        <sz val="11"/>
        <color rgb="FF000000"/>
        <rFont val="Calibri"/>
      </rPr>
      <t xml:space="preserve">
</t>
    </r>
    <r>
      <rPr>
        <sz val="11"/>
        <color rgb="FF000000"/>
        <rFont val="Calibri"/>
      </rPr>
      <t>3. Verify that the "XmlServicesSslPort" DWORD value exists with the correct value for SSL port. By default, it is set to "443". If it does not exist, add it.</t>
    </r>
    <r>
      <rPr>
        <sz val="11"/>
        <color rgb="FF000000"/>
        <rFont val="Calibri"/>
      </rPr>
      <t xml:space="preserve">
</t>
    </r>
    <r>
      <rPr>
        <sz val="11"/>
        <color rgb="FF000000"/>
        <rFont val="Calibri"/>
      </rPr>
      <t>4. Verify that the "XmlServicesEnableSsl" DWORD value exists and is set to "1". If it does not exist, add it.</t>
    </r>
    <r>
      <rPr>
        <sz val="11"/>
        <color rgb="FF000000"/>
        <rFont val="Calibri"/>
      </rPr>
      <t xml:space="preserve">
</t>
    </r>
    <r>
      <rPr>
        <sz val="11"/>
        <color rgb="FF000000"/>
        <rFont val="Calibri"/>
      </rPr>
      <t>5. Reboot the Delivery Controller to ensure all changes take effect.</t>
    </r>
    <r>
      <rPr>
        <sz val="11"/>
        <color rgb="FF000000"/>
        <rFont val="Calibri"/>
      </rPr>
      <t xml:space="preserve">
</t>
    </r>
    <r>
      <rPr>
        <sz val="11"/>
        <color rgb="FF000000"/>
        <rFont val="Calibri"/>
      </rPr>
      <t>Perform the following only after ensuring all references to the Delivery Controllers on StoreFront servers and gateway proxy devices are set to use https and working. This includes STA references. Now disable non-TLS communication with the XML port.</t>
    </r>
    <r>
      <rPr>
        <sz val="11"/>
        <color rgb="FF000000"/>
        <rFont val="Calibri"/>
      </rPr>
      <t xml:space="preserve">
</t>
    </r>
    <r>
      <rPr>
        <sz val="11"/>
        <color rgb="FF000000"/>
        <rFont val="Calibri"/>
      </rPr>
      <t>1. Open the Registry Editor on the CVAD Controller and find the following key name:</t>
    </r>
    <r>
      <rPr>
        <sz val="11"/>
        <color rgb="FF000000"/>
        <rFont val="Calibri"/>
      </rPr>
      <t xml:space="preserve">
</t>
    </r>
    <r>
      <rPr>
        <sz val="11"/>
        <color rgb="FF000000"/>
        <rFont val="Calibri"/>
      </rPr>
      <t>HKEY_LOCAL_MACHINE\SOFTWARE\Citrix\DesktopServer</t>
    </r>
    <r>
      <rPr>
        <sz val="11"/>
        <color rgb="FF000000"/>
        <rFont val="Calibri"/>
      </rPr>
      <t xml:space="preserve">
</t>
    </r>
    <r>
      <rPr>
        <sz val="11"/>
        <color rgb="FF000000"/>
        <rFont val="Calibri"/>
      </rPr>
      <t>2. Add the DWORD value "XmlServicesEnableNonSsl" and set it to "1".</t>
    </r>
    <r>
      <rPr>
        <sz val="11"/>
        <color rgb="FF000000"/>
        <rFont val="Calibri"/>
      </rPr>
      <t xml:space="preserve">
</t>
    </r>
    <r>
      <rPr>
        <sz val="11"/>
        <color rgb="FF000000"/>
        <rFont val="Calibri"/>
      </rPr>
      <t>3. Reboot the Delivery Controller.</t>
    </r>
    <r>
      <rPr>
        <sz val="11"/>
        <color rgb="FF000000"/>
        <rFont val="Calibri"/>
      </rPr>
      <t xml:space="preserve">
</t>
    </r>
    <r>
      <rPr>
        <sz val="11"/>
        <color rgb="FF000000"/>
        <rFont val="Calibri"/>
      </rPr>
      <t>If XmlServicesEnableSsl is not set to "1", this is a finding.</t>
    </r>
    <r>
      <rPr>
        <sz val="11"/>
        <color rgb="FF000000"/>
        <rFont val="Calibri"/>
      </rPr>
      <t xml:space="preserve">
</t>
    </r>
    <r>
      <rPr>
        <sz val="11"/>
        <color rgb="FF000000"/>
        <rFont val="Calibri"/>
      </rPr>
      <t>Notes:</t>
    </r>
    <r>
      <rPr>
        <sz val="11"/>
        <color rgb="FF000000"/>
        <rFont val="Calibri"/>
      </rPr>
      <t xml:space="preserve">
</t>
    </r>
    <r>
      <rPr>
        <sz val="11"/>
        <color rgb="FF000000"/>
        <rFont val="Calibri"/>
      </rPr>
      <t>If the XML service port number on the Delivery Controller needs to be changed, update the IIS port number as well under "Bindings" to match the new value.</t>
    </r>
    <r>
      <rPr>
        <sz val="11"/>
        <color rgb="FF000000"/>
        <rFont val="Calibri"/>
      </rPr>
      <t xml:space="preserve">
</t>
    </r>
    <r>
      <rPr>
        <sz val="11"/>
        <color rgb="FF000000"/>
        <rFont val="Calibri"/>
      </rPr>
      <t>To change the default VDA registration port:</t>
    </r>
    <r>
      <rPr>
        <sz val="11"/>
        <color rgb="FF000000"/>
        <rFont val="Calibri"/>
      </rPr>
      <t xml:space="preserve">
</t>
    </r>
    <r>
      <rPr>
        <sz val="11"/>
        <color rgb="FF000000"/>
        <rFont val="Calibri"/>
      </rPr>
      <t>1. Log on to the Delivery Controller server with a domain account that has Administrator rights.</t>
    </r>
    <r>
      <rPr>
        <sz val="11"/>
        <color rgb="FF000000"/>
        <rFont val="Calibri"/>
      </rPr>
      <t xml:space="preserve">
</t>
    </r>
    <r>
      <rPr>
        <sz val="11"/>
        <color rgb="FF000000"/>
        <rFont val="Calibri"/>
      </rPr>
      <t>2. Open the command prompt window and type these commands:</t>
    </r>
    <r>
      <rPr>
        <sz val="11"/>
        <color rgb="FF000000"/>
        <rFont val="Calibri"/>
      </rPr>
      <t xml:space="preserve">
</t>
    </r>
    <r>
      <rPr>
        <sz val="11"/>
        <color rgb="FF000000"/>
        <rFont val="Calibri"/>
      </rPr>
      <t>%SystemDrive%</t>
    </r>
    <r>
      <rPr>
        <sz val="11"/>
        <color rgb="FF000000"/>
        <rFont val="Calibri"/>
      </rPr>
      <t xml:space="preserve">
</t>
    </r>
    <r>
      <rPr>
        <sz val="11"/>
        <color rgb="FF000000"/>
        <rFont val="Calibri"/>
      </rPr>
      <t>Cd %ProgramFiles%\Citrix\Broker\Service</t>
    </r>
    <r>
      <rPr>
        <sz val="11"/>
        <color rgb="FF000000"/>
        <rFont val="Calibri"/>
      </rPr>
      <t xml:space="preserve">
</t>
    </r>
    <r>
      <rPr>
        <sz val="11"/>
        <color rgb="FF000000"/>
        <rFont val="Calibri"/>
      </rPr>
      <t>BrokerService.exe –VDAport 8888</t>
    </r>
    <r>
      <rPr>
        <sz val="11"/>
        <color rgb="FF000000"/>
        <rFont val="Calibri"/>
      </rPr>
      <t xml:space="preserve">
</t>
    </r>
    <r>
      <rPr>
        <sz val="11"/>
        <color rgb="FF000000"/>
        <rFont val="Calibri"/>
      </rPr>
      <t>3. Launch Server Manager from the Start menu.</t>
    </r>
    <r>
      <rPr>
        <sz val="11"/>
        <color rgb="FF000000"/>
        <rFont val="Calibri"/>
      </rPr>
      <t xml:space="preserve">
</t>
    </r>
    <r>
      <rPr>
        <sz val="11"/>
        <color rgb="FF000000"/>
        <rFont val="Calibri"/>
      </rPr>
      <t>4. In the Server Manager, go to the "Local Server" properties window and edit the "Windows Firewall" setting. Click "Advanced Settings".</t>
    </r>
    <r>
      <rPr>
        <sz val="11"/>
        <color rgb="FF000000"/>
        <rFont val="Calibri"/>
      </rPr>
      <t xml:space="preserve">
</t>
    </r>
    <r>
      <rPr>
        <sz val="11"/>
        <color rgb="FF000000"/>
        <rFont val="Calibri"/>
      </rPr>
      <t>5. Click "Inbound Rules".</t>
    </r>
    <r>
      <rPr>
        <sz val="11"/>
        <color rgb="FF000000"/>
        <rFont val="Calibri"/>
      </rPr>
      <t xml:space="preserve">
</t>
    </r>
    <r>
      <rPr>
        <sz val="11"/>
        <color rgb="FF000000"/>
        <rFont val="Calibri"/>
      </rPr>
      <t>6. Create a new inbound rule with the following settings:</t>
    </r>
    <r>
      <rPr>
        <sz val="11"/>
        <color rgb="FF000000"/>
        <rFont val="Calibri"/>
      </rPr>
      <t xml:space="preserve">
</t>
    </r>
    <r>
      <rPr>
        <sz val="11"/>
        <color rgb="FF000000"/>
        <rFont val="Calibri"/>
      </rPr>
      <t>a) In the Rule type screen, click "Port". Click "Next".</t>
    </r>
    <r>
      <rPr>
        <sz val="11"/>
        <color rgb="FF000000"/>
        <rFont val="Calibri"/>
      </rPr>
      <t xml:space="preserve">
</t>
    </r>
    <r>
      <rPr>
        <sz val="11"/>
        <color rgb="FF000000"/>
        <rFont val="Calibri"/>
      </rPr>
      <t>b) In the Protocol and Ports screen, select "Specific local ports" and type "8888". Click "Next".</t>
    </r>
    <r>
      <rPr>
        <sz val="11"/>
        <color rgb="FF000000"/>
        <rFont val="Calibri"/>
      </rPr>
      <t xml:space="preserve">
</t>
    </r>
    <r>
      <rPr>
        <sz val="11"/>
        <color rgb="FF000000"/>
        <rFont val="Calibri"/>
      </rPr>
      <t>c) In the Action screen, accept the default value "Allow the connection" and click "Next".</t>
    </r>
    <r>
      <rPr>
        <sz val="11"/>
        <color rgb="FF000000"/>
        <rFont val="Calibri"/>
      </rPr>
      <t xml:space="preserve">
</t>
    </r>
    <r>
      <rPr>
        <sz val="11"/>
        <color rgb="FF000000"/>
        <rFont val="Calibri"/>
      </rPr>
      <t>d) In the Profile screen, accept the default values and click "Next".</t>
    </r>
    <r>
      <rPr>
        <sz val="11"/>
        <color rgb="FF000000"/>
        <rFont val="Calibri"/>
      </rPr>
      <t xml:space="preserve">
</t>
    </r>
    <r>
      <rPr>
        <sz val="11"/>
        <color rgb="FF000000"/>
        <rFont val="Calibri"/>
      </rPr>
      <t>e) In the Name screen, type a name for the rule (example: Citrix VDA Registration Port) and click "Finish".</t>
    </r>
    <r>
      <rPr>
        <sz val="11"/>
        <color rgb="FF000000"/>
        <rFont val="Calibri"/>
      </rPr>
      <t xml:space="preserve">
</t>
    </r>
    <r>
      <rPr>
        <sz val="11"/>
        <color rgb="FF000000"/>
        <rFont val="Calibri"/>
      </rPr>
      <t>To configure the SSL Cipher Suite Order Group Policy setting manually, follow these steps:</t>
    </r>
    <r>
      <rPr>
        <sz val="11"/>
        <color rgb="FF000000"/>
        <rFont val="Calibri"/>
      </rPr>
      <t xml:space="preserve">
</t>
    </r>
    <r>
      <rPr>
        <sz val="11"/>
        <color rgb="FF000000"/>
        <rFont val="Calibri"/>
      </rPr>
      <t>1. At a command prompt, enter "gpedit.msc", and press "Enter". The Local Group Policy Editor is displayed.</t>
    </r>
    <r>
      <rPr>
        <sz val="11"/>
        <color rgb="FF000000"/>
        <rFont val="Calibri"/>
      </rPr>
      <t xml:space="preserve">
</t>
    </r>
    <r>
      <rPr>
        <sz val="11"/>
        <color rgb="FF000000"/>
        <rFont val="Calibri"/>
      </rPr>
      <t>2. Go to Computer Configuration &gt;&gt; Administrative Templates &gt;&gt; Network &gt;&gt; SSL Configuration Settings.</t>
    </r>
    <r>
      <rPr>
        <sz val="11"/>
        <color rgb="FF000000"/>
        <rFont val="Calibri"/>
      </rPr>
      <t xml:space="preserve">
</t>
    </r>
    <r>
      <rPr>
        <sz val="11"/>
        <color rgb="FF000000"/>
        <rFont val="Calibri"/>
      </rPr>
      <t>3. Under SSL Configuration Settings, select "SSL Cipher Suite Order".</t>
    </r>
    <r>
      <rPr>
        <sz val="11"/>
        <color rgb="FF000000"/>
        <rFont val="Calibri"/>
      </rPr>
      <t xml:space="preserve">
</t>
    </r>
    <r>
      <rPr>
        <sz val="11"/>
        <color rgb="FF000000"/>
        <rFont val="Calibri"/>
      </rPr>
      <t>4. In the SSL Cipher Suite Order pane, scroll to the bottom. Follow the instructions that are labeled "How to modify this setting".</t>
    </r>
  </si>
  <si>
    <r>
      <rPr>
        <sz val="11"/>
        <color rgb="FF000000"/>
        <rFont val="Calibri"/>
      </rPr>
      <t xml:space="preserve">Without confidentiality protection mechanisms, unauthorized individuals may gain access to sensitive information via a remote access session. </t>
    </r>
    <r>
      <rPr>
        <sz val="11"/>
        <color rgb="FF000000"/>
        <rFont val="Calibri"/>
      </rPr>
      <t xml:space="preserve">
</t>
    </r>
    <r>
      <rPr>
        <sz val="11"/>
        <color rgb="FF000000"/>
        <rFont val="Calibri"/>
      </rPr>
      <t xml:space="preserve">Remote access is access to DoD nonpublic information systems by an authorized user (or an information system) communicating through an external, non-organization-controlled network. Remote access methods include, for example, dial-up, broadband, and wireless.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Encryption provides a means to secure the remote connection to prevent unauthorized access to the data traversing the remote access connection, thereby providing a degree of confidentiality. The encryption strength of mechanism is selected based on the security categorization of the information.</t>
    </r>
    <r>
      <rPr>
        <sz val="11"/>
        <color rgb="FF000000"/>
        <rFont val="Calibri"/>
      </rPr>
      <t xml:space="preserve">
</t>
    </r>
    <r>
      <rPr>
        <sz val="11"/>
        <color rgb="FF000000"/>
        <rFont val="Calibri"/>
      </rPr>
      <t>Satisfies: SRG-APP-000014, SRG-APP-000015, SRG-APP-000039, SRG-APP-000142, SRG-APP-000172, SRG-APP-000219, SRG-APP-000224, SRG-APP-000416, SRG-APP-000439, SRG-APP-000440, SRG-APP-000441, SRG-APP-000442, SRG-APP-000514</t>
    </r>
  </si>
  <si>
    <r>
      <rPr>
        <sz val="11"/>
        <color rgb="FF000000"/>
        <rFont val="Calibri"/>
      </rPr>
      <t xml:space="preserve">Enforcement is via TLS encryption. To verify, open the Registry Editor on each Delivery Controller and find the following key name: HKEY_LOCAL_MACHINE\SOFTWARE\Citrix\DesktopServer </t>
    </r>
    <r>
      <rPr>
        <sz val="11"/>
        <color rgb="FF000000"/>
        <rFont val="Calibri"/>
      </rPr>
      <t xml:space="preserve">
</t>
    </r>
    <r>
      <rPr>
        <sz val="11"/>
        <color rgb="FF000000"/>
        <rFont val="Calibri"/>
      </rPr>
      <t>1. Verify that the XmlServicesSslPort registry key exists with the correct value for SSL port. By default, it is set to "443".</t>
    </r>
    <r>
      <rPr>
        <sz val="11"/>
        <color rgb="FF000000"/>
        <rFont val="Calibri"/>
      </rPr>
      <t xml:space="preserve">
</t>
    </r>
    <r>
      <rPr>
        <sz val="11"/>
        <color rgb="FF000000"/>
        <rFont val="Calibri"/>
      </rPr>
      <t>2. Verify XmlServicesEnableNonSsl is set to "0".</t>
    </r>
    <r>
      <rPr>
        <sz val="11"/>
        <color rgb="FF000000"/>
        <rFont val="Calibri"/>
      </rPr>
      <t xml:space="preserve">
</t>
    </r>
    <r>
      <rPr>
        <sz val="11"/>
        <color rgb="FF000000"/>
        <rFont val="Calibri"/>
      </rPr>
      <t>3. Verify the corresponding registry value to ignore HTTPS traffic, XmlServicesEnableSsl, is not set to "0".</t>
    </r>
    <r>
      <rPr>
        <sz val="11"/>
        <color rgb="FF000000"/>
        <rFont val="Calibri"/>
      </rPr>
      <t xml:space="preserve">
</t>
    </r>
    <r>
      <rPr>
        <sz val="11"/>
        <color rgb="FF000000"/>
        <rFont val="Calibri"/>
      </rPr>
      <t>If "XmlServicesSslPort" is not set to the desired port, this is a finding.</t>
    </r>
    <r>
      <rPr>
        <sz val="11"/>
        <color rgb="FF000000"/>
        <rFont val="Calibri"/>
      </rPr>
      <t xml:space="preserve">
</t>
    </r>
    <r>
      <rPr>
        <sz val="11"/>
        <color rgb="FF000000"/>
        <rFont val="Calibri"/>
      </rPr>
      <t>If "XmlServicesEnableNonSsl" is not set to "0", this is a finding.</t>
    </r>
    <r>
      <rPr>
        <sz val="11"/>
        <color rgb="FF000000"/>
        <rFont val="Calibri"/>
      </rPr>
      <t xml:space="preserve">
</t>
    </r>
    <r>
      <rPr>
        <sz val="11"/>
        <color rgb="FF000000"/>
        <rFont val="Calibri"/>
      </rPr>
      <t>If XmlServicesEnableSsl is not set to "1", this is a finding.</t>
    </r>
    <r>
      <rPr>
        <sz val="11"/>
        <color rgb="FF000000"/>
        <rFont val="Calibri"/>
      </rPr>
      <t xml:space="preserve">
</t>
    </r>
    <r>
      <rPr>
        <sz val="11"/>
        <color rgb="FF000000"/>
        <rFont val="Calibri"/>
      </rPr>
      <t>To verify the FIPS Cipher Suites used:</t>
    </r>
    <r>
      <rPr>
        <sz val="11"/>
        <color rgb="FF000000"/>
        <rFont val="Calibri"/>
      </rPr>
      <t xml:space="preserve">
</t>
    </r>
    <r>
      <rPr>
        <sz val="11"/>
        <color rgb="FF000000"/>
        <rFont val="Calibri"/>
      </rPr>
      <t>1. From the Group Policy Management Console, go to Computer Configuration &gt;&gt; Administrative Templates &gt;&gt; Networks &gt;&gt; SSL Configuration Settings.</t>
    </r>
    <r>
      <rPr>
        <sz val="11"/>
        <color rgb="FF000000"/>
        <rFont val="Calibri"/>
      </rPr>
      <t xml:space="preserve">
</t>
    </r>
    <r>
      <rPr>
        <sz val="11"/>
        <color rgb="FF000000"/>
        <rFont val="Calibri"/>
      </rPr>
      <t xml:space="preserve">2. Double-click "SSL Cipher Suite Order" and verify the "Enabled" option is checked. </t>
    </r>
    <r>
      <rPr>
        <sz val="11"/>
        <color rgb="FF000000"/>
        <rFont val="Calibri"/>
      </rPr>
      <t xml:space="preserve">
</t>
    </r>
    <r>
      <rPr>
        <sz val="11"/>
        <color rgb="FF000000"/>
        <rFont val="Calibri"/>
      </rPr>
      <t>3. Verify the correct Cipher Suites are listed in the correct order per current DoD guidelines.</t>
    </r>
    <r>
      <rPr>
        <sz val="11"/>
        <color rgb="FF000000"/>
        <rFont val="Calibri"/>
      </rPr>
      <t xml:space="preserve">
</t>
    </r>
    <r>
      <rPr>
        <sz val="11"/>
        <color rgb="FF000000"/>
        <rFont val="Calibri"/>
      </rPr>
      <t>If the "Enabled" option is not checked or the correct Cipher Suites are not listed in the correct order per current DoD guidelines, this is a finding.</t>
    </r>
  </si>
  <si>
    <t>V-234567</t>
  </si>
  <si>
    <r>
      <rPr>
        <sz val="11"/>
        <rFont val="Calibri"/>
      </rPr>
      <t>Citrix Delivery Controller must be configured to disable non-essential capabilities.</t>
    </r>
  </si>
  <si>
    <r>
      <rPr>
        <sz val="11"/>
        <color rgb="FF000000"/>
        <rFont val="Calibri"/>
      </rPr>
      <t>To disable Citrix CEIP - Phone Home:</t>
    </r>
    <r>
      <rPr>
        <sz val="11"/>
        <color rgb="FF000000"/>
        <rFont val="Calibri"/>
      </rPr>
      <t xml:space="preserve">
</t>
    </r>
    <r>
      <rPr>
        <sz val="11"/>
        <color rgb="FF000000"/>
        <rFont val="Calibri"/>
      </rPr>
      <t>1. Launch Studio.</t>
    </r>
    <r>
      <rPr>
        <sz val="11"/>
        <color rgb="FF000000"/>
        <rFont val="Calibri"/>
      </rPr>
      <t xml:space="preserve">
</t>
    </r>
    <r>
      <rPr>
        <sz val="11"/>
        <color rgb="FF000000"/>
        <rFont val="Calibri"/>
      </rPr>
      <t>2. Select "Configuration" in the left navigation pane.</t>
    </r>
    <r>
      <rPr>
        <sz val="11"/>
        <color rgb="FF000000"/>
        <rFont val="Calibri"/>
      </rPr>
      <t xml:space="preserve">
</t>
    </r>
    <r>
      <rPr>
        <sz val="11"/>
        <color rgb="FF000000"/>
        <rFont val="Calibri"/>
      </rPr>
      <t>3. Select the Support tab.</t>
    </r>
    <r>
      <rPr>
        <sz val="11"/>
        <color rgb="FF000000"/>
        <rFont val="Calibri"/>
      </rPr>
      <t xml:space="preserve">
</t>
    </r>
    <r>
      <rPr>
        <sz val="11"/>
        <color rgb="FF000000"/>
        <rFont val="Calibri"/>
      </rPr>
      <t>4. Follow the prompts to end participation in CEIP.</t>
    </r>
    <r>
      <rPr>
        <sz val="11"/>
        <color rgb="FF000000"/>
        <rFont val="Calibri"/>
      </rPr>
      <t xml:space="preserve">
</t>
    </r>
    <r>
      <rPr>
        <sz val="11"/>
        <color rgb="FF000000"/>
        <rFont val="Calibri"/>
      </rPr>
      <t>This prevents automatic upload of installation experience metrics that are collected locally during installation.</t>
    </r>
    <r>
      <rPr>
        <sz val="11"/>
        <color rgb="FF000000"/>
        <rFont val="Calibri"/>
      </rPr>
      <t xml:space="preserve">
</t>
    </r>
    <r>
      <rPr>
        <sz val="11"/>
        <color rgb="FF000000"/>
        <rFont val="Calibri"/>
      </rPr>
      <t>VADServerStartup.exe /components "CONTROLLER,DESKTOPSTUDIO"</t>
    </r>
    <r>
      <rPr>
        <sz val="11"/>
        <color rgb="FF000000"/>
        <rFont val="Calibri"/>
      </rPr>
      <t xml:space="preserve">
</t>
    </r>
    <r>
      <rPr>
        <sz val="11"/>
        <color rgb="FF000000"/>
        <rFont val="Calibri"/>
      </rPr>
      <t>/disableexperiencemetrics /exclude "Smart Tools Agent" /nosql</t>
    </r>
    <r>
      <rPr>
        <sz val="11"/>
        <color rgb="FF000000"/>
        <rFont val="Calibri"/>
      </rPr>
      <t xml:space="preserve">
</t>
    </r>
    <r>
      <rPr>
        <sz val="11"/>
        <color rgb="FF000000"/>
        <rFont val="Calibri"/>
      </rPr>
      <t>/quiet /verboselog /noreboot</t>
    </r>
  </si>
  <si>
    <r>
      <rPr>
        <sz val="11"/>
        <color rgb="FF000000"/>
        <rFont val="Calibri"/>
      </rPr>
      <t>It is detrimental for applications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Applications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advertising software or browser plug-ins not related to requirements or providing a wide array of functionality not required for every mission but that cannot be disabled.</t>
    </r>
  </si>
  <si>
    <r>
      <rPr>
        <sz val="11"/>
        <color rgb="FF000000"/>
        <rFont val="Calibri"/>
      </rPr>
      <t>Verify Citrix Customer Experience Improvement Program (CEIP) - PHONE HOME is disabled on Delivery Controller.</t>
    </r>
    <r>
      <rPr>
        <sz val="11"/>
        <color rgb="FF000000"/>
        <rFont val="Calibri"/>
      </rPr>
      <t xml:space="preserve">
</t>
    </r>
    <r>
      <rPr>
        <sz val="11"/>
        <color rgb="FF000000"/>
        <rFont val="Calibri"/>
      </rPr>
      <t>1. Launch Studio.</t>
    </r>
    <r>
      <rPr>
        <sz val="11"/>
        <color rgb="FF000000"/>
        <rFont val="Calibri"/>
      </rPr>
      <t xml:space="preserve">
</t>
    </r>
    <r>
      <rPr>
        <sz val="11"/>
        <color rgb="FF000000"/>
        <rFont val="Calibri"/>
      </rPr>
      <t>2. Select "Configuration" in the left navigation pane.</t>
    </r>
    <r>
      <rPr>
        <sz val="11"/>
        <color rgb="FF000000"/>
        <rFont val="Calibri"/>
      </rPr>
      <t xml:space="preserve">
</t>
    </r>
    <r>
      <rPr>
        <sz val="11"/>
        <color rgb="FF000000"/>
        <rFont val="Calibri"/>
      </rPr>
      <t>3. Select the Support tab.</t>
    </r>
    <r>
      <rPr>
        <sz val="11"/>
        <color rgb="FF000000"/>
        <rFont val="Calibri"/>
      </rPr>
      <t xml:space="preserve">
</t>
    </r>
    <r>
      <rPr>
        <sz val="11"/>
        <color rgb="FF000000"/>
        <rFont val="Calibri"/>
      </rPr>
      <t>4. Verify CEIP is disabled.</t>
    </r>
    <r>
      <rPr>
        <sz val="11"/>
        <color rgb="FF000000"/>
        <rFont val="Calibri"/>
      </rPr>
      <t xml:space="preserve">
</t>
    </r>
    <r>
      <rPr>
        <sz val="11"/>
        <color rgb="FF000000"/>
        <rFont val="Calibri"/>
      </rPr>
      <t>If CEIP is not disabled, this is a finding.</t>
    </r>
  </si>
  <si>
    <t>V-234569</t>
  </si>
  <si>
    <r>
      <rPr>
        <sz val="11"/>
        <rFont val="Calibri"/>
      </rPr>
      <t>Citrix Delivery Controller must be configured in accordance with the security configuration settings based on DoD security configuration or implementation guidance, including STIGs, NSA configuration guides, CTOs, and DTMs.</t>
    </r>
  </si>
  <si>
    <r>
      <rPr>
        <sz val="11"/>
        <color rgb="FF000000"/>
        <rFont val="Calibri"/>
      </rPr>
      <t>To ensure that Citrix Delivery Controller and all other infrastructure server components are installable and manageable by authorized administrative accounts, the following policies must be modified:</t>
    </r>
    <r>
      <rPr>
        <sz val="11"/>
        <color rgb="FF000000"/>
        <rFont val="Calibri"/>
      </rPr>
      <t xml:space="preserve">
</t>
    </r>
    <r>
      <rPr>
        <sz val="11"/>
        <color rgb="FF000000"/>
        <rFont val="Calibri"/>
      </rPr>
      <t>Go to Computer Configuration Policies &gt;&gt; Windows Settings &gt;&gt; Security Settings &gt;&gt; Local Policies/User Rights Assignment.</t>
    </r>
    <r>
      <rPr>
        <sz val="11"/>
        <color rgb="FF000000"/>
        <rFont val="Calibri"/>
      </rPr>
      <t xml:space="preserve">
</t>
    </r>
    <r>
      <rPr>
        <sz val="11"/>
        <color rgb="FF000000"/>
        <rFont val="Calibri"/>
      </rPr>
      <t>1. Edit "Allow log on locally".</t>
    </r>
    <r>
      <rPr>
        <sz val="11"/>
        <color rgb="FF000000"/>
        <rFont val="Calibri"/>
      </rPr>
      <t xml:space="preserve">
</t>
    </r>
    <r>
      <rPr>
        <sz val="11"/>
        <color rgb="FF000000"/>
        <rFont val="Calibri"/>
      </rPr>
      <t>2. Edit "Shut down the system".</t>
    </r>
    <r>
      <rPr>
        <sz val="11"/>
        <color rgb="FF000000"/>
        <rFont val="Calibri"/>
      </rPr>
      <t xml:space="preserve">
</t>
    </r>
    <r>
      <rPr>
        <sz val="11"/>
        <color rgb="FF000000"/>
        <rFont val="Calibri"/>
      </rPr>
      <t>3. Change both settings to the global security group name containing the XenApp or CVAD administrators.</t>
    </r>
  </si>
  <si>
    <r>
      <rPr>
        <sz val="11"/>
        <color rgb="FF000000"/>
        <rFont val="Calibri"/>
      </rPr>
      <t xml:space="preserve">Configuring the application to implement organization-wide security implementation guides and security checklists ensures compliance with federal standards and establishes a common security baseline across DoD that reflects the most restrictive security posture consistent with operational requirements. </t>
    </r>
    <r>
      <rPr>
        <sz val="11"/>
        <color rgb="FF000000"/>
        <rFont val="Calibri"/>
      </rPr>
      <t xml:space="preserve">
</t>
    </r>
    <r>
      <rPr>
        <sz val="11"/>
        <color rgb="FF000000"/>
        <rFont val="Calibri"/>
      </rPr>
      <t>Configuration settings are the set of parameters that can be changed that affects the security posture and/or functionality of the system. Security-related parameters are parameters impacting the security state of the application, including the parameters required to satisfy other security control requirements.</t>
    </r>
  </si>
  <si>
    <r>
      <rPr>
        <sz val="11"/>
        <color rgb="FF000000"/>
        <rFont val="Calibri"/>
      </rPr>
      <t>To verify that Citrix Delivery Controller and all other infrastructure server components are installable and manageable by authorized administrative accounts, the following policies must be modified:</t>
    </r>
    <r>
      <rPr>
        <sz val="11"/>
        <color rgb="FF000000"/>
        <rFont val="Calibri"/>
      </rPr>
      <t xml:space="preserve">
</t>
    </r>
    <r>
      <rPr>
        <sz val="11"/>
        <color rgb="FF000000"/>
        <rFont val="Calibri"/>
      </rPr>
      <t>Go to Computer Configuration Policies &gt;&gt; Windows Settings &gt;&gt; Security Settings &gt;&gt; Local Policies/User Rights Assignment.</t>
    </r>
    <r>
      <rPr>
        <sz val="11"/>
        <color rgb="FF000000"/>
        <rFont val="Calibri"/>
      </rPr>
      <t xml:space="preserve">
</t>
    </r>
    <r>
      <rPr>
        <sz val="11"/>
        <color rgb="FF000000"/>
        <rFont val="Calibri"/>
      </rPr>
      <t>Verify policy settings "Allow log on locally" and "Shut down the system" are both set to the global security group name containing the XenApp or CVAD administrators.</t>
    </r>
    <r>
      <rPr>
        <sz val="11"/>
        <color rgb="FF000000"/>
        <rFont val="Calibri"/>
      </rPr>
      <t xml:space="preserve">
</t>
    </r>
    <r>
      <rPr>
        <sz val="11"/>
        <color rgb="FF000000"/>
        <rFont val="Calibri"/>
      </rPr>
      <t>If they are not,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</si>
  <si>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</si>
  <si>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</si>
  <si>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</si>
  <si>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</si>
  <si>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</si>
  <si>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</si>
  <si>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</si>
  <si>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</si>
  <si>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</si>
  <si>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</si>
  <si>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</si>
  <si>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</si>
  <si>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</si>
  <si>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</si>
  <si>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</si>
  <si>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</si>
  <si>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</si>
  <si>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</si>
  <si>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</si>
  <si>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</si>
  <si>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</si>
  <si>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</si>
  <si>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</si>
  <si>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</si>
  <si>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</si>
  <si>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</si>
  <si>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</si>
  <si>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</si>
  <si>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</si>
  <si>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Citrix Virtual Apps and Desktop 7.x Security Technical Implementation Guide Y22M01</t>
  </si>
  <si>
    <t>Developed By:</t>
  </si>
  <si>
    <t>Citrix Systems Inc. and Defense Information Systems Agency (DISA) for the US DoD</t>
  </si>
  <si>
    <t>Release Information:</t>
  </si>
  <si>
    <r>
      <rPr>
        <b/>
        <sz val="11"/>
        <color rgb="FF000000"/>
        <rFont val="Calibri"/>
      </rPr>
      <t>Version:</t>
    </r>
    <r>
      <rPr>
        <sz val="11"/>
        <color rgb="FF000000"/>
        <rFont val="Calibri"/>
      </rPr>
      <t xml:space="preserve"> Y22M01    </t>
    </r>
    <r>
      <rPr>
        <b/>
        <sz val="11"/>
        <color rgb="FF000000"/>
        <rFont val="Calibri"/>
      </rPr>
      <t>Date:</t>
    </r>
    <r>
      <rPr>
        <sz val="11"/>
        <color rgb="FF000000"/>
        <rFont val="Calibri"/>
      </rPr>
      <t xml:space="preserve"> 27 January 2022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21</t>
    </r>
  </si>
  <si>
    <t>Download Url:</t>
  </si>
  <si>
    <t>https://www.cyber.mil/stigs</t>
  </si>
  <si>
    <t>Guide Overview:</t>
  </si>
  <si>
    <r>
      <rPr>
        <sz val="11"/>
        <color rgb="FF000000"/>
        <rFont val="Calibri"/>
      </rPr>
      <t>The Citrix Virtual Apps and Desktops (VAD) 7.x Security Technical Implementation Guide (STIG) is published as a tool to improve the security of Department of Defense (DoD) information systems. This document is meant for use in conjunction with other STIGs such as the Enclave, Network Infrastructure, Microsoft IIS, SQL, Active Directory, and appropriate Windows Operating System STIGs.</t>
    </r>
    <r>
      <rPr>
        <sz val="11"/>
        <color rgb="FF000000"/>
        <rFont val="Calibri"/>
      </rPr>
      <t xml:space="preserve">
</t>
    </r>
    <r>
      <rPr>
        <sz val="11"/>
        <color rgb="FF000000"/>
        <rFont val="Calibri"/>
      </rPr>
      <t>The Citrix VAD 7.x STIG is composed of five subcomponent STIGs. The following is a brief description of each. All component STIGs must be applied to the Citrix VAD 7.x environment:</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StoreFront – Installed on a Windows server in the data center, StoreFront gives users</t>
    </r>
    <r>
      <rPr>
        <sz val="11"/>
        <color rgb="FF000000"/>
        <rFont val="Calibri"/>
      </rPr>
      <t xml:space="preserve">
</t>
    </r>
    <r>
      <rPr>
        <sz val="11"/>
        <color rgb="FF000000"/>
        <rFont val="Calibri"/>
      </rPr>
      <t>access to the virtual desktops and applications that they are authorized to use. Users log on to StoreFront through Citrix Receiver. StoreFront retrieves an Independent Computing Architecture (ICA) file containing the information required for a user to connect to the Virtual Delivery Agent (VDA) for access to an authorized virtual desktop or application.</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Workspace App – Runs on a client endpoint to securely display the application or</t>
    </r>
    <r>
      <rPr>
        <sz val="11"/>
        <color rgb="FF000000"/>
        <rFont val="Calibri"/>
      </rPr>
      <t xml:space="preserve">
</t>
    </r>
    <r>
      <rPr>
        <sz val="11"/>
        <color rgb="FF000000"/>
        <rFont val="Calibri"/>
      </rPr>
      <t>desktop running in the data center or cloud, including optimized multimedia.</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License Server – Installed on a Windows server in the data center, this maintains the</t>
    </r>
    <r>
      <rPr>
        <sz val="11"/>
        <color rgb="FF000000"/>
        <rFont val="Calibri"/>
      </rPr>
      <t xml:space="preserve">
</t>
    </r>
    <r>
      <rPr>
        <sz val="11"/>
        <color rgb="FF000000"/>
        <rFont val="Calibri"/>
      </rPr>
      <t>licenses for Citrix products through an administration interface to license services.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Delivery Controller – Installed on servers in the data center, the Delivery Controller</t>
    </r>
    <r>
      <rPr>
        <sz val="11"/>
        <color rgb="FF000000"/>
        <rFont val="Calibri"/>
      </rPr>
      <t xml:space="preserve">
</t>
    </r>
    <r>
      <rPr>
        <sz val="11"/>
        <color rgb="FF000000"/>
        <rFont val="Calibri"/>
      </rPr>
      <t>authenticates users and administrators, manages the assembly of desktop users’ virtual desktop environments, and brokers connections between users and their virtual desktops and applications.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Windows Virtual Delivery Agent – VDAs are installed on the machines inside the data</t>
    </r>
    <r>
      <rPr>
        <sz val="11"/>
        <color rgb="FF000000"/>
        <rFont val="Calibri"/>
      </rPr>
      <t xml:space="preserve">
</t>
    </r>
    <r>
      <rPr>
        <sz val="11"/>
        <color rgb="FF000000"/>
        <rFont val="Calibri"/>
      </rPr>
      <t>center that host virtual desktops and applications that are available to users. VDAs enable direct ICA connections between a user device and these virtual desktops and applications.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Linux Virtual Delivery Agent – VDAs are installed on the machines inside the data</t>
    </r>
    <r>
      <rPr>
        <sz val="11"/>
        <color rgb="FF000000"/>
        <rFont val="Calibri"/>
      </rPr>
      <t xml:space="preserve">
</t>
    </r>
    <r>
      <rPr>
        <sz val="11"/>
        <color rgb="FF000000"/>
        <rFont val="Calibri"/>
      </rPr>
      <t>center that host virtual desktops and applications that are available to users. VDAs enable direct ICA connections between a user device and these virtual desktops and applications.</t>
    </r>
  </si>
  <si>
    <t>Components:</t>
  </si>
  <si>
    <r>
      <rPr>
        <i/>
        <sz val="11"/>
        <color rgb="FF000000"/>
        <rFont val="Calibri"/>
      </rPr>
      <t>Title:</t>
    </r>
    <r>
      <rPr>
        <sz val="11"/>
        <color rgb="FF000000"/>
        <rFont val="Calibri"/>
      </rPr>
      <t xml:space="preserve"> Citrix Virtual Apps and Desktop 7.x License Server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28 January 2021     </t>
    </r>
    <r>
      <rPr>
        <i/>
        <sz val="11"/>
        <color rgb="FF000000"/>
        <rFont val="Calibri"/>
      </rPr>
      <t>Recommendation Count:</t>
    </r>
    <r>
      <rPr>
        <sz val="11"/>
        <color rgb="FF000000"/>
        <rFont val="Calibri"/>
      </rPr>
      <t xml:space="preserve"> 7</t>
    </r>
  </si>
  <si>
    <r>
      <rPr>
        <i/>
        <sz val="11"/>
        <color rgb="FF000000"/>
        <rFont val="Calibri"/>
      </rPr>
      <t>Title:</t>
    </r>
    <r>
      <rPr>
        <sz val="11"/>
        <color rgb="FF000000"/>
        <rFont val="Calibri"/>
      </rPr>
      <t xml:space="preserve"> Citrix Virtual Apps and Desktop 7.x StoreFront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28 January 2021     </t>
    </r>
    <r>
      <rPr>
        <i/>
        <sz val="11"/>
        <color rgb="FF000000"/>
        <rFont val="Calibri"/>
      </rPr>
      <t>Recommendation Count:</t>
    </r>
    <r>
      <rPr>
        <sz val="11"/>
        <color rgb="FF000000"/>
        <rFont val="Calibri"/>
      </rPr>
      <t xml:space="preserve"> 2</t>
    </r>
  </si>
  <si>
    <r>
      <rPr>
        <i/>
        <sz val="11"/>
        <color rgb="FF000000"/>
        <rFont val="Calibri"/>
      </rPr>
      <t>Title:</t>
    </r>
    <r>
      <rPr>
        <sz val="11"/>
        <color rgb="FF000000"/>
        <rFont val="Calibri"/>
      </rPr>
      <t xml:space="preserve"> Citrix Virtual Apps and Desktop 7.x Windows Virtual Delivery Agent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28 January 2021     </t>
    </r>
    <r>
      <rPr>
        <i/>
        <sz val="11"/>
        <color rgb="FF000000"/>
        <rFont val="Calibri"/>
      </rPr>
      <t>Recommendation Count:</t>
    </r>
    <r>
      <rPr>
        <sz val="11"/>
        <color rgb="FF000000"/>
        <rFont val="Calibri"/>
      </rPr>
      <t xml:space="preserve"> 2</t>
    </r>
  </si>
  <si>
    <r>
      <rPr>
        <i/>
        <sz val="11"/>
        <color rgb="FF000000"/>
        <rFont val="Calibri"/>
      </rPr>
      <t>Title:</t>
    </r>
    <r>
      <rPr>
        <sz val="11"/>
        <color rgb="FF000000"/>
        <rFont val="Calibri"/>
      </rPr>
      <t xml:space="preserve"> Citrix Virtual Apps and Desktop 7.x Linux Virtual Delivery Agent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28 January 2021     </t>
    </r>
    <r>
      <rPr>
        <i/>
        <sz val="11"/>
        <color rgb="FF000000"/>
        <rFont val="Calibri"/>
      </rPr>
      <t>Recommendation Count:</t>
    </r>
    <r>
      <rPr>
        <sz val="11"/>
        <color rgb="FF000000"/>
        <rFont val="Calibri"/>
      </rPr>
      <t xml:space="preserve"> 6</t>
    </r>
  </si>
  <si>
    <r>
      <rPr>
        <i/>
        <sz val="11"/>
        <color rgb="FF000000"/>
        <rFont val="Calibri"/>
      </rPr>
      <t>Title:</t>
    </r>
    <r>
      <rPr>
        <sz val="11"/>
        <color rgb="FF000000"/>
        <rFont val="Calibri"/>
      </rPr>
      <t xml:space="preserve"> Citrix Virtual Apps and Desktop 7.x Workspace App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27 January 2022     </t>
    </r>
    <r>
      <rPr>
        <i/>
        <sz val="11"/>
        <color rgb="FF000000"/>
        <rFont val="Calibri"/>
      </rPr>
      <t>Recommendation Count:</t>
    </r>
    <r>
      <rPr>
        <sz val="11"/>
        <color rgb="FF000000"/>
        <rFont val="Calibri"/>
      </rPr>
      <t xml:space="preserve"> 1</t>
    </r>
  </si>
  <si>
    <r>
      <rPr>
        <i/>
        <sz val="11"/>
        <color rgb="FF000000"/>
        <rFont val="Calibri"/>
      </rPr>
      <t>Title:</t>
    </r>
    <r>
      <rPr>
        <sz val="11"/>
        <color rgb="FF000000"/>
        <rFont val="Calibri"/>
      </rPr>
      <t xml:space="preserve"> Citrix Virtual Apps and Desktop 7.x Delivery Controller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27 January 2022     </t>
    </r>
    <r>
      <rPr>
        <i/>
        <sz val="11"/>
        <color rgb="FF000000"/>
        <rFont val="Calibri"/>
      </rPr>
      <t>Recommendation Count:</t>
    </r>
    <r>
      <rPr>
        <sz val="11"/>
        <color rgb="FF000000"/>
        <rFont val="Calibri"/>
      </rPr>
      <t xml:space="preserve"> 3</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</si>
  <si>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</si>
  <si>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</si>
  <si>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</si>
  <si>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</si>
  <si>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</si>
  <si>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</si>
  <si>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</si>
  <si>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</si>
  <si>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</si>
  <si>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</si>
  <si>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</si>
  <si>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</si>
  <si>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</si>
  <si>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</si>
  <si>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</si>
  <si>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</si>
  <si>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</si>
  <si>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</si>
  <si>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</si>
  <si>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</si>
  <si>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</si>
  <si>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</si>
  <si>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</si>
  <si>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</si>
  <si>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</si>
  <si>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</si>
  <si>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</si>
  <si>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</si>
  <si>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</si>
  <si>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</si>
  <si>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</si>
  <si>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</si>
  <si>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</si>
  <si>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</si>
  <si>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</si>
  <si>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</si>
  <si>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</si>
  <si>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</si>
  <si>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</si>
  <si>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</si>
  <si>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</si>
  <si>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</si>
  <si>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</si>
  <si>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</si>
  <si>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</si>
  <si>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</si>
  <si>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</si>
  <si>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</si>
  <si>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Citrix Virtual Apps and Desktop 7.x Security Technical Implementation Guide Y22M01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</si>
  <si>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</si>
  <si>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</si>
  <si>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</si>
  <si>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</si>
  <si>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</si>
  <si>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</si>
  <si>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</si>
  <si>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</si>
  <si>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</si>
  <si>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</si>
  <si>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</si>
  <si>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</si>
  <si>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</si>
  <si>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</si>
  <si>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</si>
  <si>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</si>
  <si>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</si>
  <si>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</si>
  <si>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</si>
  <si>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</si>
  <si>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</si>
  <si>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</si>
  <si>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</si>
  <si>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</si>
  <si>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</si>
  <si>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</si>
  <si>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</si>
  <si>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</si>
  <si>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</si>
  <si>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</si>
  <si>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</si>
  <si>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</si>
  <si>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</si>
  <si>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</si>
  <si>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</si>
  <si>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</si>
  <si>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</si>
  <si>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</si>
  <si>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</si>
  <si>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</si>
  <si>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</si>
  <si>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</si>
  <si>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</si>
  <si>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</si>
  <si>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</si>
  <si>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</si>
  <si>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</si>
  <si>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(C90)</t>
  </si>
  <si>
    <t>% Must</t>
  </si>
  <si>
    <t>Should Count (C91)</t>
  </si>
  <si>
    <t>% Should</t>
  </si>
  <si>
    <t>Could Count (C92)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</si>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</sst>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6"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6"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xf>
    <xf numFmtId="0" fontId="25"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7"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AB6A-447E-A2F8-56C23A6ED38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AB6A-447E-A2F8-56C23A6ED38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21</c:v>
                </c:pt>
              </c:numCache>
            </c:numRef>
          </c:val>
          <c:extLst>
            <c:ext xmlns:c16="http://schemas.microsoft.com/office/drawing/2014/chart" uri="{C3380CC4-5D6E-409C-BE32-E72D297353CC}">
              <c16:uniqueId val="{00000002-AB6A-447E-A2F8-56C23A6ED380}"/>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Delivery Controller</c:v>
                </c:pt>
                <c:pt idx="1">
                  <c:v>License Server</c:v>
                </c:pt>
                <c:pt idx="2">
                  <c:v>Linux Virtual Delivery Agent</c:v>
                </c:pt>
                <c:pt idx="3">
                  <c:v>StoreFront</c:v>
                </c:pt>
                <c:pt idx="4">
                  <c:v>Windows Virtual Delivery Agent</c:v>
                </c:pt>
                <c:pt idx="5">
                  <c:v>Workspace App</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662-4C04-A5D8-999E8C6A1F1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Delivery Controller</c:v>
                </c:pt>
                <c:pt idx="1">
                  <c:v>License Server</c:v>
                </c:pt>
                <c:pt idx="2">
                  <c:v>Linux Virtual Delivery Agent</c:v>
                </c:pt>
                <c:pt idx="3">
                  <c:v>StoreFront</c:v>
                </c:pt>
                <c:pt idx="4">
                  <c:v>Windows Virtual Delivery Agent</c:v>
                </c:pt>
                <c:pt idx="5">
                  <c:v>Workspace App</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662-4C04-A5D8-999E8C6A1F1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Delivery Controller</c:v>
                </c:pt>
                <c:pt idx="1">
                  <c:v>License Server</c:v>
                </c:pt>
                <c:pt idx="2">
                  <c:v>Linux Virtual Delivery Agent</c:v>
                </c:pt>
                <c:pt idx="3">
                  <c:v>StoreFront</c:v>
                </c:pt>
                <c:pt idx="4">
                  <c:v>Windows Virtual Delivery Agent</c:v>
                </c:pt>
                <c:pt idx="5">
                  <c:v>Workspace App</c:v>
                </c:pt>
              </c:strCache>
            </c:strRef>
          </c:cat>
          <c:val>
            <c:numRef>
              <c:f>Dashboard!$E$29:$E$34</c:f>
              <c:numCache>
                <c:formatCode>General</c:formatCode>
                <c:ptCount val="6"/>
                <c:pt idx="0">
                  <c:v>3</c:v>
                </c:pt>
                <c:pt idx="1">
                  <c:v>7</c:v>
                </c:pt>
                <c:pt idx="2">
                  <c:v>6</c:v>
                </c:pt>
                <c:pt idx="3">
                  <c:v>2</c:v>
                </c:pt>
                <c:pt idx="4">
                  <c:v>2</c:v>
                </c:pt>
                <c:pt idx="5">
                  <c:v>1</c:v>
                </c:pt>
              </c:numCache>
            </c:numRef>
          </c:val>
          <c:extLst>
            <c:ext xmlns:c16="http://schemas.microsoft.com/office/drawing/2014/chart" uri="{C3380CC4-5D6E-409C-BE32-E72D297353CC}">
              <c16:uniqueId val="{00000002-D662-4C04-A5D8-999E8C6A1F1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Dashboard!$B$52:$B$57</c:f>
              <c:strCache>
                <c:ptCount val="6"/>
                <c:pt idx="0">
                  <c:v>Phase1</c:v>
                </c:pt>
                <c:pt idx="1">
                  <c:v>Phase2</c:v>
                </c:pt>
                <c:pt idx="2">
                  <c:v>Phase3</c:v>
                </c:pt>
                <c:pt idx="3">
                  <c:v>Phase4</c:v>
                </c:pt>
                <c:pt idx="4">
                  <c:v>Phase5</c:v>
                </c:pt>
                <c:pt idx="5">
                  <c:v>Pending</c:v>
                </c:pt>
              </c:strCache>
            </c:strRef>
          </c:cat>
          <c:val>
            <c:numRef>
              <c:f>Dashboard!$C$52:$C$57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6D0-4F2C-9E1D-5BBADA9B5C0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Dashboard!$B$52:$B$57</c:f>
              <c:strCache>
                <c:ptCount val="6"/>
                <c:pt idx="0">
                  <c:v>Phase1</c:v>
                </c:pt>
                <c:pt idx="1">
                  <c:v>Phase2</c:v>
                </c:pt>
                <c:pt idx="2">
                  <c:v>Phase3</c:v>
                </c:pt>
                <c:pt idx="3">
                  <c:v>Phase4</c:v>
                </c:pt>
                <c:pt idx="4">
                  <c:v>Phase5</c:v>
                </c:pt>
                <c:pt idx="5">
                  <c:v>Pending</c:v>
                </c:pt>
              </c:strCache>
            </c:strRef>
          </c:cat>
          <c:val>
            <c:numRef>
              <c:f>Dashboard!$D$52:$D$57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6D0-4F2C-9E1D-5BBADA9B5C0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Dashboard!$B$52:$B$57</c:f>
              <c:strCache>
                <c:ptCount val="6"/>
                <c:pt idx="0">
                  <c:v>Phase1</c:v>
                </c:pt>
                <c:pt idx="1">
                  <c:v>Phase2</c:v>
                </c:pt>
                <c:pt idx="2">
                  <c:v>Phase3</c:v>
                </c:pt>
                <c:pt idx="3">
                  <c:v>Phase4</c:v>
                </c:pt>
                <c:pt idx="4">
                  <c:v>Phase5</c:v>
                </c:pt>
                <c:pt idx="5">
                  <c:v>Pending</c:v>
                </c:pt>
              </c:strCache>
            </c:strRef>
          </c:cat>
          <c:val>
            <c:numRef>
              <c:f>Dashboard!$E$52:$E$57</c:f>
              <c:numCache>
                <c:formatCode>General</c:formatCode>
                <c:ptCount val="6"/>
                <c:pt idx="0">
                  <c:v>0</c:v>
                </c:pt>
                <c:pt idx="1">
                  <c:v>0</c:v>
                </c:pt>
                <c:pt idx="2">
                  <c:v>0</c:v>
                </c:pt>
                <c:pt idx="3">
                  <c:v>0</c:v>
                </c:pt>
                <c:pt idx="4">
                  <c:v>0</c:v>
                </c:pt>
                <c:pt idx="5">
                  <c:v>21</c:v>
                </c:pt>
              </c:numCache>
            </c:numRef>
          </c:val>
          <c:extLst>
            <c:ext xmlns:c16="http://schemas.microsoft.com/office/drawing/2014/chart" uri="{C3380CC4-5D6E-409C-BE32-E72D297353CC}">
              <c16:uniqueId val="{00000002-E6D0-4F2C-9E1D-5BBADA9B5C0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Dashboard!$B$75:$B$76</c:f>
              <c:strCache>
                <c:ptCount val="2"/>
                <c:pt idx="0">
                  <c:v>CAT I (High)</c:v>
                </c:pt>
                <c:pt idx="1">
                  <c:v>CAT II (Medium)</c:v>
                </c:pt>
              </c:strCache>
            </c:strRef>
          </c:cat>
          <c:val>
            <c:numRef>
              <c:f>Dashboard!$C$75:$C$76</c:f>
              <c:numCache>
                <c:formatCode>General</c:formatCode>
                <c:ptCount val="2"/>
                <c:pt idx="0">
                  <c:v>0</c:v>
                </c:pt>
                <c:pt idx="1">
                  <c:v>0</c:v>
                </c:pt>
              </c:numCache>
            </c:numRef>
          </c:val>
          <c:extLst>
            <c:ext xmlns:c16="http://schemas.microsoft.com/office/drawing/2014/chart" uri="{C3380CC4-5D6E-409C-BE32-E72D297353CC}">
              <c16:uniqueId val="{00000000-AF1C-49F2-9B14-49F98B7CCAC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Dashboard!$B$75:$B$76</c:f>
              <c:strCache>
                <c:ptCount val="2"/>
                <c:pt idx="0">
                  <c:v>CAT I (High)</c:v>
                </c:pt>
                <c:pt idx="1">
                  <c:v>CAT II (Medium)</c:v>
                </c:pt>
              </c:strCache>
            </c:strRef>
          </c:cat>
          <c:val>
            <c:numRef>
              <c:f>Dashboard!$D$75:$D$76</c:f>
              <c:numCache>
                <c:formatCode>General</c:formatCode>
                <c:ptCount val="2"/>
                <c:pt idx="0">
                  <c:v>0</c:v>
                </c:pt>
                <c:pt idx="1">
                  <c:v>0</c:v>
                </c:pt>
              </c:numCache>
            </c:numRef>
          </c:val>
          <c:extLst>
            <c:ext xmlns:c16="http://schemas.microsoft.com/office/drawing/2014/chart" uri="{C3380CC4-5D6E-409C-BE32-E72D297353CC}">
              <c16:uniqueId val="{00000001-AF1C-49F2-9B14-49F98B7CCAC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Dashboard!$B$75:$B$76</c:f>
              <c:strCache>
                <c:ptCount val="2"/>
                <c:pt idx="0">
                  <c:v>CAT I (High)</c:v>
                </c:pt>
                <c:pt idx="1">
                  <c:v>CAT II (Medium)</c:v>
                </c:pt>
              </c:strCache>
            </c:strRef>
          </c:cat>
          <c:val>
            <c:numRef>
              <c:f>Dashboard!$E$75:$E$76</c:f>
              <c:numCache>
                <c:formatCode>General</c:formatCode>
                <c:ptCount val="2"/>
                <c:pt idx="0">
                  <c:v>7</c:v>
                </c:pt>
                <c:pt idx="1">
                  <c:v>14</c:v>
                </c:pt>
              </c:numCache>
            </c:numRef>
          </c:val>
          <c:extLst>
            <c:ext xmlns:c16="http://schemas.microsoft.com/office/drawing/2014/chart" uri="{C3380CC4-5D6E-409C-BE32-E72D297353CC}">
              <c16:uniqueId val="{00000002-AF1C-49F2-9B14-49F98B7CCAC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Dashboard!$B$90:$B$94</c:f>
              <c:strCache>
                <c:ptCount val="5"/>
                <c:pt idx="0">
                  <c:v>Must</c:v>
                </c:pt>
                <c:pt idx="1">
                  <c:v>Should</c:v>
                </c:pt>
                <c:pt idx="2">
                  <c:v>Could</c:v>
                </c:pt>
                <c:pt idx="3">
                  <c:v>Won't</c:v>
                </c:pt>
                <c:pt idx="4">
                  <c:v>Unassigned</c:v>
                </c:pt>
              </c:strCache>
            </c:strRef>
          </c:cat>
          <c:val>
            <c:numRef>
              <c:f>Dashboard!$C$90:$C$94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EFD8-42F4-9A46-582CF847541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Dashboard!$B$90:$B$94</c:f>
              <c:strCache>
                <c:ptCount val="5"/>
                <c:pt idx="0">
                  <c:v>Must</c:v>
                </c:pt>
                <c:pt idx="1">
                  <c:v>Should</c:v>
                </c:pt>
                <c:pt idx="2">
                  <c:v>Could</c:v>
                </c:pt>
                <c:pt idx="3">
                  <c:v>Won't</c:v>
                </c:pt>
                <c:pt idx="4">
                  <c:v>Unassigned</c:v>
                </c:pt>
              </c:strCache>
            </c:strRef>
          </c:cat>
          <c:val>
            <c:numRef>
              <c:f>Dashboard!$D$90:$D$94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EFD8-42F4-9A46-582CF847541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Dashboard!$B$90:$B$94</c:f>
              <c:strCache>
                <c:ptCount val="5"/>
                <c:pt idx="0">
                  <c:v>Must</c:v>
                </c:pt>
                <c:pt idx="1">
                  <c:v>Should</c:v>
                </c:pt>
                <c:pt idx="2">
                  <c:v>Could</c:v>
                </c:pt>
                <c:pt idx="3">
                  <c:v>Won't</c:v>
                </c:pt>
                <c:pt idx="4">
                  <c:v>Unassigned</c:v>
                </c:pt>
              </c:strCache>
            </c:strRef>
          </c:cat>
          <c:val>
            <c:numRef>
              <c:f>Dashboard!$E$90:$E$94</c:f>
              <c:numCache>
                <c:formatCode>General</c:formatCode>
                <c:ptCount val="5"/>
                <c:pt idx="0">
                  <c:v>0</c:v>
                </c:pt>
                <c:pt idx="1">
                  <c:v>0</c:v>
                </c:pt>
                <c:pt idx="2">
                  <c:v>0</c:v>
                </c:pt>
                <c:pt idx="3">
                  <c:v>0</c:v>
                </c:pt>
                <c:pt idx="4">
                  <c:v>21</c:v>
                </c:pt>
              </c:numCache>
            </c:numRef>
          </c:val>
          <c:extLst>
            <c:ext xmlns:c16="http://schemas.microsoft.com/office/drawing/2014/chart" uri="{C3380CC4-5D6E-409C-BE32-E72D297353CC}">
              <c16:uniqueId val="{00000002-EFD8-42F4-9A46-582CF847541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Dashboard!$B$111:$B$114</c:f>
              <c:strCache>
                <c:ptCount val="4"/>
                <c:pt idx="0">
                  <c:v>Low</c:v>
                </c:pt>
                <c:pt idx="1">
                  <c:v>Medium</c:v>
                </c:pt>
                <c:pt idx="2">
                  <c:v>High</c:v>
                </c:pt>
                <c:pt idx="3">
                  <c:v>Unassessed</c:v>
                </c:pt>
              </c:strCache>
            </c:strRef>
          </c:cat>
          <c:val>
            <c:numRef>
              <c:f>Dashboard!$C$111:$C$114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EFDC-410F-AA4F-8C5AB291251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Dashboard!$B$111:$B$114</c:f>
              <c:strCache>
                <c:ptCount val="4"/>
                <c:pt idx="0">
                  <c:v>Low</c:v>
                </c:pt>
                <c:pt idx="1">
                  <c:v>Medium</c:v>
                </c:pt>
                <c:pt idx="2">
                  <c:v>High</c:v>
                </c:pt>
                <c:pt idx="3">
                  <c:v>Unassessed</c:v>
                </c:pt>
              </c:strCache>
            </c:strRef>
          </c:cat>
          <c:val>
            <c:numRef>
              <c:f>Dashboard!$D$111:$D$114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EFDC-410F-AA4F-8C5AB291251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Dashboard!$B$111:$B$114</c:f>
              <c:strCache>
                <c:ptCount val="4"/>
                <c:pt idx="0">
                  <c:v>Low</c:v>
                </c:pt>
                <c:pt idx="1">
                  <c:v>Medium</c:v>
                </c:pt>
                <c:pt idx="2">
                  <c:v>High</c:v>
                </c:pt>
                <c:pt idx="3">
                  <c:v>Unassessed</c:v>
                </c:pt>
              </c:strCache>
            </c:strRef>
          </c:cat>
          <c:val>
            <c:numRef>
              <c:f>Dashboard!$E$111:$E$114</c:f>
              <c:numCache>
                <c:formatCode>General</c:formatCode>
                <c:ptCount val="4"/>
                <c:pt idx="0">
                  <c:v>0</c:v>
                </c:pt>
                <c:pt idx="1">
                  <c:v>0</c:v>
                </c:pt>
                <c:pt idx="2">
                  <c:v>0</c:v>
                </c:pt>
                <c:pt idx="3">
                  <c:v>21</c:v>
                </c:pt>
              </c:numCache>
            </c:numRef>
          </c:val>
          <c:extLst>
            <c:ext xmlns:c16="http://schemas.microsoft.com/office/drawing/2014/chart" uri="{C3380CC4-5D6E-409C-BE32-E72D297353CC}">
              <c16:uniqueId val="{00000002-EFDC-410F-AA4F-8C5AB291251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Dashboard!$P$147:$P$176</c:f>
              <c:numCache>
                <c:formatCode>yyyy\-mm\-dd</c:formatCode>
                <c:ptCount val="30"/>
              </c:numCache>
            </c:numRef>
          </c:cat>
          <c:val>
            <c:numRef>
              <c:f>Dashboard!$R$147:$R$176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4889-4464-BEEB-908011DD4CCB}"/>
            </c:ext>
          </c:extLst>
        </c:ser>
        <c:ser>
          <c:idx val="1"/>
          <c:order val="1"/>
          <c:tx>
            <c:v>Must % Resolved</c:v>
          </c:tx>
          <c:spPr>
            <a:ln w="22225" cap="rnd">
              <a:solidFill>
                <a:schemeClr val="accent2"/>
              </a:solidFill>
              <a:round/>
            </a:ln>
            <a:effectLst/>
          </c:spPr>
          <c:marker>
            <c:symbol val="none"/>
          </c:marker>
          <c:cat>
            <c:numRef>
              <c:f>Dashboard!$P$147:$P$176</c:f>
              <c:numCache>
                <c:formatCode>yyyy\-mm\-dd</c:formatCode>
                <c:ptCount val="30"/>
              </c:numCache>
            </c:numRef>
          </c:cat>
          <c:val>
            <c:numRef>
              <c:f>Dashboard!$T$147:$T$176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4889-4464-BEEB-908011DD4CCB}"/>
            </c:ext>
          </c:extLst>
        </c:ser>
        <c:ser>
          <c:idx val="2"/>
          <c:order val="2"/>
          <c:tx>
            <c:v>Should % Resolved</c:v>
          </c:tx>
          <c:spPr>
            <a:ln w="22225" cap="rnd">
              <a:solidFill>
                <a:schemeClr val="accent3"/>
              </a:solidFill>
              <a:round/>
            </a:ln>
            <a:effectLst/>
          </c:spPr>
          <c:marker>
            <c:symbol val="none"/>
          </c:marker>
          <c:cat>
            <c:numRef>
              <c:f>Dashboard!$P$147:$P$176</c:f>
              <c:numCache>
                <c:formatCode>yyyy\-mm\-dd</c:formatCode>
                <c:ptCount val="30"/>
              </c:numCache>
            </c:numRef>
          </c:cat>
          <c:val>
            <c:numRef>
              <c:f>Dashboard!$V$147:$V$176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4889-4464-BEEB-908011DD4CCB}"/>
            </c:ext>
          </c:extLst>
        </c:ser>
        <c:ser>
          <c:idx val="3"/>
          <c:order val="3"/>
          <c:tx>
            <c:v>Could % Resolved</c:v>
          </c:tx>
          <c:spPr>
            <a:ln w="22225" cap="rnd">
              <a:solidFill>
                <a:schemeClr val="accent4"/>
              </a:solidFill>
              <a:round/>
            </a:ln>
            <a:effectLst/>
          </c:spPr>
          <c:marker>
            <c:symbol val="none"/>
          </c:marker>
          <c:cat>
            <c:numRef>
              <c:f>Dashboard!$P$147:$P$176</c:f>
              <c:numCache>
                <c:formatCode>yyyy\-mm\-dd</c:formatCode>
                <c:ptCount val="30"/>
              </c:numCache>
            </c:numRef>
          </c:cat>
          <c:val>
            <c:numRef>
              <c:f>Dashboard!$X$147:$X$176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4889-4464-BEEB-908011DD4CC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Dashboard!$P$189:$P$208</c:f>
              <c:numCache>
                <c:formatCode>yyyy\-mm\-dd</c:formatCode>
                <c:ptCount val="20"/>
              </c:numCache>
            </c:numRef>
          </c:cat>
          <c:val>
            <c:numRef>
              <c:f>Dashboard!$R$189:$R$208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8C84-4089-B975-5919CEE096F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l4iwye">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vvugiy">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49</xdr:row>
      <xdr:rowOff>95250</xdr:rowOff>
    </xdr:from>
    <xdr:to>
      <xdr:col>15</xdr:col>
      <xdr:colOff>28575</xdr:colOff>
      <xdr:row>66</xdr:row>
      <xdr:rowOff>0</xdr:rowOff>
    </xdr:to>
    <xdr:graphicFrame macro="">
      <xdr:nvGraphicFramePr>
        <xdr:cNvPr id="4" name="Chartqwygzh">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69</xdr:row>
      <xdr:rowOff>95250</xdr:rowOff>
    </xdr:from>
    <xdr:to>
      <xdr:col>15</xdr:col>
      <xdr:colOff>28575</xdr:colOff>
      <xdr:row>84</xdr:row>
      <xdr:rowOff>47625</xdr:rowOff>
    </xdr:to>
    <xdr:graphicFrame macro="">
      <xdr:nvGraphicFramePr>
        <xdr:cNvPr id="5" name="Chartvkl0vw">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86</xdr:row>
      <xdr:rowOff>95250</xdr:rowOff>
    </xdr:from>
    <xdr:to>
      <xdr:col>15</xdr:col>
      <xdr:colOff>28575</xdr:colOff>
      <xdr:row>102</xdr:row>
      <xdr:rowOff>0</xdr:rowOff>
    </xdr:to>
    <xdr:graphicFrame macro="">
      <xdr:nvGraphicFramePr>
        <xdr:cNvPr id="6" name="Chartm1lbbk">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105</xdr:row>
      <xdr:rowOff>95250</xdr:rowOff>
    </xdr:from>
    <xdr:to>
      <xdr:col>15</xdr:col>
      <xdr:colOff>28575</xdr:colOff>
      <xdr:row>120</xdr:row>
      <xdr:rowOff>142875</xdr:rowOff>
    </xdr:to>
    <xdr:graphicFrame macro="">
      <xdr:nvGraphicFramePr>
        <xdr:cNvPr id="7" name="Charth13dgx">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142</xdr:row>
      <xdr:rowOff>95250</xdr:rowOff>
    </xdr:from>
    <xdr:to>
      <xdr:col>14</xdr:col>
      <xdr:colOff>0</xdr:colOff>
      <xdr:row>165</xdr:row>
      <xdr:rowOff>38100</xdr:rowOff>
    </xdr:to>
    <xdr:graphicFrame macro="">
      <xdr:nvGraphicFramePr>
        <xdr:cNvPr id="8" name="Chartspbt1x">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183</xdr:row>
      <xdr:rowOff>95250</xdr:rowOff>
    </xdr:from>
    <xdr:to>
      <xdr:col>14</xdr:col>
      <xdr:colOff>0</xdr:colOff>
      <xdr:row>201</xdr:row>
      <xdr:rowOff>123825</xdr:rowOff>
    </xdr:to>
    <xdr:graphicFrame macro="">
      <xdr:nvGraphicFramePr>
        <xdr:cNvPr id="9" name="Chartdst12i">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22">
  <autoFilter ref="A1:N22"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2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125</v>
      </c>
    </row>
    <row r="3" spans="2:3" ht="15" customHeight="1" x14ac:dyDescent="0.35"/>
    <row r="4" spans="2:3" ht="58" x14ac:dyDescent="0.35">
      <c r="B4" s="20" t="s">
        <v>126</v>
      </c>
      <c r="C4" s="21" t="s">
        <v>127</v>
      </c>
    </row>
    <row r="5" spans="2:3" x14ac:dyDescent="0.35">
      <c r="C5" s="21" t="s">
        <v>128</v>
      </c>
    </row>
    <row r="6" spans="2:3" x14ac:dyDescent="0.35">
      <c r="C6" s="18" t="s">
        <v>129</v>
      </c>
    </row>
    <row r="7" spans="2:3" ht="10" customHeight="1" x14ac:dyDescent="0.35"/>
    <row r="8" spans="2:3" ht="232" x14ac:dyDescent="0.35">
      <c r="B8" s="22" t="s">
        <v>130</v>
      </c>
      <c r="C8" s="21" t="s">
        <v>131</v>
      </c>
    </row>
    <row r="9" spans="2:3" ht="10" customHeight="1" x14ac:dyDescent="0.35"/>
    <row r="10" spans="2:3" ht="35" customHeight="1" x14ac:dyDescent="0.35">
      <c r="B10" s="22" t="s">
        <v>132</v>
      </c>
      <c r="C10" s="21" t="s">
        <v>133</v>
      </c>
    </row>
    <row r="11" spans="2:3" ht="75" customHeight="1" x14ac:dyDescent="0.35">
      <c r="B11" s="18" t="s">
        <v>21</v>
      </c>
      <c r="C11" s="21" t="s">
        <v>134</v>
      </c>
    </row>
    <row r="12" spans="2:3" ht="47" customHeight="1" x14ac:dyDescent="0.35">
      <c r="B12" s="18" t="s">
        <v>21</v>
      </c>
      <c r="C12" s="21" t="s">
        <v>135</v>
      </c>
    </row>
    <row r="13" spans="2:3" ht="35" customHeight="1" x14ac:dyDescent="0.35">
      <c r="B13" s="18" t="s">
        <v>21</v>
      </c>
      <c r="C13" s="21" t="s">
        <v>136</v>
      </c>
    </row>
    <row r="14" spans="2:3" ht="32" customHeight="1" x14ac:dyDescent="0.35">
      <c r="B14" s="18" t="s">
        <v>21</v>
      </c>
      <c r="C14" s="21" t="s">
        <v>137</v>
      </c>
    </row>
    <row r="15" spans="2:3" ht="30" customHeight="1" x14ac:dyDescent="0.35">
      <c r="B15" s="18" t="s">
        <v>21</v>
      </c>
      <c r="C15" s="21" t="s">
        <v>138</v>
      </c>
    </row>
    <row r="16" spans="2:3" ht="10" customHeight="1" x14ac:dyDescent="0.35"/>
    <row r="17" spans="1:3" ht="145" customHeight="1" x14ac:dyDescent="0.35">
      <c r="B17" s="22" t="s">
        <v>139</v>
      </c>
      <c r="C17" s="21" t="s">
        <v>140</v>
      </c>
    </row>
    <row r="18" spans="1:3" ht="10" customHeight="1" x14ac:dyDescent="0.35"/>
    <row r="19" spans="1:3" ht="3" customHeight="1" x14ac:dyDescent="0.35">
      <c r="B19" s="23"/>
      <c r="C19" s="23"/>
    </row>
    <row r="20" spans="1:3" ht="12" customHeight="1" x14ac:dyDescent="0.35"/>
    <row r="21" spans="1:3" ht="35" customHeight="1" x14ac:dyDescent="0.35">
      <c r="A21" s="25"/>
      <c r="B21" s="26" t="s">
        <v>141</v>
      </c>
      <c r="C21" s="27" t="s">
        <v>142</v>
      </c>
    </row>
    <row r="22" spans="1:3" ht="18" customHeight="1" x14ac:dyDescent="0.35">
      <c r="A22" s="25"/>
      <c r="B22" s="25" t="s">
        <v>21</v>
      </c>
      <c r="C22" s="27" t="s">
        <v>143</v>
      </c>
    </row>
    <row r="23" spans="1:3" ht="18" customHeight="1" x14ac:dyDescent="0.35">
      <c r="A23" s="25"/>
      <c r="B23" s="25" t="s">
        <v>21</v>
      </c>
      <c r="C23" s="27" t="s">
        <v>144</v>
      </c>
    </row>
    <row r="24" spans="1:3" ht="18" customHeight="1" x14ac:dyDescent="0.35">
      <c r="A24" s="25"/>
      <c r="B24" s="25" t="s">
        <v>21</v>
      </c>
      <c r="C24" s="27" t="s">
        <v>145</v>
      </c>
    </row>
    <row r="25" spans="1:3" ht="18" customHeight="1" x14ac:dyDescent="0.35">
      <c r="A25" s="25"/>
      <c r="B25" s="25" t="s">
        <v>21</v>
      </c>
      <c r="C25" s="27" t="s">
        <v>146</v>
      </c>
    </row>
    <row r="26" spans="1:3" ht="18" customHeight="1" x14ac:dyDescent="0.35">
      <c r="A26" s="25"/>
      <c r="B26" s="25" t="s">
        <v>21</v>
      </c>
      <c r="C26" s="27" t="s">
        <v>147</v>
      </c>
    </row>
    <row r="27" spans="1:3" ht="18" customHeight="1" x14ac:dyDescent="0.35">
      <c r="A27" s="25"/>
      <c r="B27" s="25" t="s">
        <v>21</v>
      </c>
      <c r="C27" s="27" t="s">
        <v>148</v>
      </c>
    </row>
    <row r="28" spans="1:3" ht="18" customHeight="1" x14ac:dyDescent="0.35">
      <c r="A28" s="25"/>
      <c r="B28" s="25" t="s">
        <v>21</v>
      </c>
      <c r="C28" s="27" t="s">
        <v>149</v>
      </c>
    </row>
    <row r="29" spans="1:3" ht="18" customHeight="1" x14ac:dyDescent="0.35">
      <c r="A29" s="25"/>
      <c r="B29" s="25" t="s">
        <v>21</v>
      </c>
      <c r="C29" s="27" t="s">
        <v>150</v>
      </c>
    </row>
    <row r="30" spans="1:3" ht="44" customHeight="1" x14ac:dyDescent="0.35">
      <c r="A30" s="25"/>
      <c r="B30" s="25" t="s">
        <v>21</v>
      </c>
      <c r="C30" s="28" t="s">
        <v>151</v>
      </c>
    </row>
    <row r="31" spans="1:3" ht="10" customHeight="1" x14ac:dyDescent="0.35"/>
    <row r="32" spans="1:3" ht="3" customHeight="1" x14ac:dyDescent="0.35">
      <c r="B32" s="23"/>
      <c r="C32" s="23"/>
    </row>
    <row r="33" spans="2:3" ht="12" customHeight="1" x14ac:dyDescent="0.35"/>
    <row r="34" spans="2:3" ht="24" customHeight="1" x14ac:dyDescent="0.35">
      <c r="B34" s="29" t="s">
        <v>152</v>
      </c>
      <c r="C34" s="30" t="s">
        <v>153</v>
      </c>
    </row>
    <row r="35" spans="2:3" ht="18.5" x14ac:dyDescent="0.35">
      <c r="B35" s="29" t="s">
        <v>154</v>
      </c>
      <c r="C35" s="31" t="s">
        <v>155</v>
      </c>
    </row>
    <row r="36" spans="2:3" ht="27" customHeight="1" x14ac:dyDescent="0.35">
      <c r="B36" s="32" t="s">
        <v>156</v>
      </c>
      <c r="C36" s="24" t="s">
        <v>157</v>
      </c>
    </row>
    <row r="37" spans="2:3" x14ac:dyDescent="0.35">
      <c r="B37" s="29" t="s">
        <v>158</v>
      </c>
      <c r="C37" s="33" t="s">
        <v>159</v>
      </c>
    </row>
    <row r="38" spans="2:3" ht="10" customHeight="1" x14ac:dyDescent="0.35"/>
    <row r="39" spans="2:3" ht="220" customHeight="1" x14ac:dyDescent="0.35">
      <c r="B39" s="29" t="s">
        <v>160</v>
      </c>
      <c r="C39" s="34" t="s">
        <v>161</v>
      </c>
    </row>
    <row r="40" spans="2:3" ht="10" customHeight="1" x14ac:dyDescent="0.35"/>
    <row r="41" spans="2:3" ht="20" customHeight="1" x14ac:dyDescent="0.35">
      <c r="B41" s="29" t="s">
        <v>162</v>
      </c>
      <c r="C41" s="35" t="s">
        <v>17</v>
      </c>
    </row>
    <row r="42" spans="2:3" ht="29" x14ac:dyDescent="0.35">
      <c r="C42" s="21" t="s">
        <v>163</v>
      </c>
    </row>
    <row r="43" spans="2:3" ht="10" customHeight="1" x14ac:dyDescent="0.35"/>
    <row r="44" spans="2:3" ht="20" customHeight="1" x14ac:dyDescent="0.35">
      <c r="C44" s="35" t="s">
        <v>52</v>
      </c>
    </row>
    <row r="45" spans="2:3" ht="29" x14ac:dyDescent="0.35">
      <c r="C45" s="21" t="s">
        <v>164</v>
      </c>
    </row>
    <row r="46" spans="2:3" ht="10" customHeight="1" x14ac:dyDescent="0.35"/>
    <row r="47" spans="2:3" ht="20" customHeight="1" x14ac:dyDescent="0.35">
      <c r="C47" s="35" t="s">
        <v>63</v>
      </c>
    </row>
    <row r="48" spans="2:3" ht="43.5" x14ac:dyDescent="0.35">
      <c r="C48" s="21" t="s">
        <v>165</v>
      </c>
    </row>
    <row r="49" spans="2:3" ht="10" customHeight="1" x14ac:dyDescent="0.35"/>
    <row r="50" spans="2:3" ht="20" customHeight="1" x14ac:dyDescent="0.35">
      <c r="C50" s="35" t="s">
        <v>74</v>
      </c>
    </row>
    <row r="51" spans="2:3" ht="43.5" x14ac:dyDescent="0.35">
      <c r="C51" s="21" t="s">
        <v>166</v>
      </c>
    </row>
    <row r="52" spans="2:3" ht="10" customHeight="1" x14ac:dyDescent="0.35"/>
    <row r="53" spans="2:3" ht="20" customHeight="1" x14ac:dyDescent="0.35">
      <c r="C53" s="35" t="s">
        <v>104</v>
      </c>
    </row>
    <row r="54" spans="2:3" ht="29" x14ac:dyDescent="0.35">
      <c r="C54" s="21" t="s">
        <v>167</v>
      </c>
    </row>
    <row r="55" spans="2:3" ht="10" customHeight="1" x14ac:dyDescent="0.35"/>
    <row r="56" spans="2:3" ht="20" customHeight="1" x14ac:dyDescent="0.35">
      <c r="C56" s="35" t="s">
        <v>110</v>
      </c>
    </row>
    <row r="57" spans="2:3" ht="29" x14ac:dyDescent="0.35">
      <c r="C57" s="21" t="s">
        <v>168</v>
      </c>
    </row>
    <row r="58" spans="2:3" ht="10" customHeight="1" x14ac:dyDescent="0.35"/>
    <row r="59" spans="2:3" ht="43.5" x14ac:dyDescent="0.35">
      <c r="B59" s="29" t="s">
        <v>169</v>
      </c>
      <c r="C59" s="21" t="s">
        <v>170</v>
      </c>
    </row>
    <row r="60" spans="2:3" ht="10" customHeight="1" x14ac:dyDescent="0.35"/>
    <row r="61" spans="2:3" ht="15.5" x14ac:dyDescent="0.35">
      <c r="C61" s="36" t="s">
        <v>16</v>
      </c>
    </row>
    <row r="62" spans="2:3" ht="29" x14ac:dyDescent="0.35">
      <c r="C62" s="21" t="s">
        <v>171</v>
      </c>
    </row>
    <row r="63" spans="2:3" ht="10" customHeight="1" x14ac:dyDescent="0.35"/>
    <row r="64" spans="2:3" ht="15.5" x14ac:dyDescent="0.35">
      <c r="C64" s="37" t="s">
        <v>27</v>
      </c>
    </row>
    <row r="65" spans="2:3" ht="29" x14ac:dyDescent="0.35">
      <c r="C65" s="21" t="s">
        <v>172</v>
      </c>
    </row>
    <row r="66" spans="2:3" ht="10" customHeight="1" x14ac:dyDescent="0.35"/>
    <row r="67" spans="2:3" ht="15.5" x14ac:dyDescent="0.35">
      <c r="C67" s="38" t="s">
        <v>173</v>
      </c>
    </row>
    <row r="68" spans="2:3" ht="29" x14ac:dyDescent="0.35">
      <c r="C68" s="21" t="s">
        <v>174</v>
      </c>
    </row>
    <row r="69" spans="2:3" ht="10" customHeight="1" x14ac:dyDescent="0.35"/>
    <row r="70" spans="2:3" ht="3" customHeight="1" x14ac:dyDescent="0.35">
      <c r="B70" s="23"/>
      <c r="C70" s="23"/>
    </row>
    <row r="71" spans="2:3" ht="12" customHeight="1" x14ac:dyDescent="0.35"/>
    <row r="72" spans="2:3" ht="130.5" x14ac:dyDescent="0.35">
      <c r="B72" s="20" t="s">
        <v>175</v>
      </c>
      <c r="C72" s="21" t="s">
        <v>176</v>
      </c>
    </row>
    <row r="73" spans="2:3" ht="6" customHeight="1" x14ac:dyDescent="0.35"/>
    <row r="74" spans="2:3" ht="217.5" x14ac:dyDescent="0.35">
      <c r="C74" s="21" t="s">
        <v>177</v>
      </c>
    </row>
    <row r="75" spans="2:3" ht="6" customHeight="1" x14ac:dyDescent="0.35"/>
    <row r="76" spans="2:3" ht="43.5" x14ac:dyDescent="0.35">
      <c r="C76" s="21" t="s">
        <v>178</v>
      </c>
    </row>
    <row r="77" spans="2:3" ht="10" customHeight="1" x14ac:dyDescent="0.35"/>
    <row r="78" spans="2:3" ht="3" customHeight="1" x14ac:dyDescent="0.35">
      <c r="B78" s="23"/>
      <c r="C78" s="23"/>
    </row>
    <row r="79" spans="2:3" ht="12" customHeight="1" x14ac:dyDescent="0.35"/>
    <row r="80" spans="2:3" ht="145" x14ac:dyDescent="0.35">
      <c r="B80" s="20" t="s">
        <v>179</v>
      </c>
      <c r="C80" s="21" t="s">
        <v>180</v>
      </c>
    </row>
    <row r="81" spans="2:3" ht="6" customHeight="1" x14ac:dyDescent="0.35"/>
    <row r="82" spans="2:3" ht="203" x14ac:dyDescent="0.35">
      <c r="C82" s="21" t="s">
        <v>181</v>
      </c>
    </row>
    <row r="83" spans="2:3" ht="6" customHeight="1" x14ac:dyDescent="0.35"/>
    <row r="84" spans="2:3" ht="43.5" x14ac:dyDescent="0.35">
      <c r="C84" s="21" t="s">
        <v>182</v>
      </c>
    </row>
    <row r="85" spans="2:3" ht="10" customHeight="1" x14ac:dyDescent="0.35"/>
    <row r="86" spans="2:3" ht="3" customHeight="1" x14ac:dyDescent="0.35">
      <c r="B86" s="23"/>
      <c r="C86" s="23"/>
    </row>
    <row r="87" spans="2:3" ht="12" customHeight="1" x14ac:dyDescent="0.35"/>
    <row r="88" spans="2:3" ht="101.5" x14ac:dyDescent="0.35">
      <c r="B88" s="20" t="s">
        <v>183</v>
      </c>
      <c r="C88" s="21" t="s">
        <v>184</v>
      </c>
    </row>
    <row r="89" spans="2:3" ht="6" customHeight="1" x14ac:dyDescent="0.35"/>
    <row r="90" spans="2:3" ht="145" x14ac:dyDescent="0.35">
      <c r="C90" s="21" t="s">
        <v>185</v>
      </c>
    </row>
    <row r="91" spans="2:3" ht="6" customHeight="1" x14ac:dyDescent="0.35"/>
    <row r="92" spans="2:3" ht="43.5" x14ac:dyDescent="0.35">
      <c r="C92" s="21" t="s">
        <v>186</v>
      </c>
    </row>
    <row r="93" spans="2:3" ht="10" customHeight="1" x14ac:dyDescent="0.35"/>
    <row r="94" spans="2:3" ht="3" customHeight="1" x14ac:dyDescent="0.35">
      <c r="B94" s="23"/>
      <c r="C94" s="23"/>
    </row>
    <row r="95" spans="2:3" ht="12" customHeight="1" x14ac:dyDescent="0.35"/>
    <row r="96" spans="2:3" ht="26" customHeight="1" x14ac:dyDescent="0.35">
      <c r="B96" s="39" t="s">
        <v>187</v>
      </c>
    </row>
    <row r="97" spans="2:3" ht="8" customHeight="1" x14ac:dyDescent="0.35"/>
    <row r="98" spans="2:3" ht="20" customHeight="1" x14ac:dyDescent="0.35">
      <c r="B98" s="29" t="s">
        <v>188</v>
      </c>
      <c r="C98" s="40" t="s">
        <v>189</v>
      </c>
    </row>
    <row r="99" spans="2:3" ht="116" x14ac:dyDescent="0.35">
      <c r="C99" s="21" t="s">
        <v>190</v>
      </c>
    </row>
    <row r="100" spans="2:3" ht="10" customHeight="1" x14ac:dyDescent="0.35"/>
    <row r="101" spans="2:3" ht="20" customHeight="1" x14ac:dyDescent="0.35">
      <c r="B101" s="29" t="s">
        <v>191</v>
      </c>
      <c r="C101" s="40" t="s">
        <v>192</v>
      </c>
    </row>
    <row r="102" spans="2:3" ht="116" x14ac:dyDescent="0.35">
      <c r="C102" s="21" t="s">
        <v>193</v>
      </c>
    </row>
    <row r="103" spans="2:3" ht="10" customHeight="1" x14ac:dyDescent="0.35"/>
    <row r="104" spans="2:3" ht="20" customHeight="1" x14ac:dyDescent="0.35">
      <c r="B104" s="29" t="s">
        <v>194</v>
      </c>
      <c r="C104" s="40" t="s">
        <v>195</v>
      </c>
    </row>
    <row r="105" spans="2:3" ht="130.5" x14ac:dyDescent="0.35">
      <c r="C105" s="21" t="s">
        <v>196</v>
      </c>
    </row>
    <row r="106" spans="2:3" ht="10" customHeight="1" x14ac:dyDescent="0.35"/>
    <row r="107" spans="2:3" ht="20" customHeight="1" x14ac:dyDescent="0.35">
      <c r="B107" s="29" t="s">
        <v>197</v>
      </c>
      <c r="C107" s="40" t="s">
        <v>198</v>
      </c>
    </row>
    <row r="108" spans="2:3" ht="130.5" x14ac:dyDescent="0.35">
      <c r="C108" s="21" t="s">
        <v>199</v>
      </c>
    </row>
    <row r="109" spans="2:3" ht="10" customHeight="1" x14ac:dyDescent="0.35"/>
    <row r="110" spans="2:3" ht="20" customHeight="1" x14ac:dyDescent="0.35">
      <c r="B110" s="29" t="s">
        <v>200</v>
      </c>
      <c r="C110" s="40" t="s">
        <v>201</v>
      </c>
    </row>
    <row r="111" spans="2:3" ht="116" x14ac:dyDescent="0.35">
      <c r="C111" s="21" t="s">
        <v>202</v>
      </c>
    </row>
    <row r="112" spans="2:3" ht="10" customHeight="1" x14ac:dyDescent="0.35"/>
    <row r="113" spans="2:3" ht="20" customHeight="1" x14ac:dyDescent="0.35">
      <c r="B113" s="29" t="s">
        <v>203</v>
      </c>
      <c r="C113" s="40" t="s">
        <v>204</v>
      </c>
    </row>
    <row r="114" spans="2:3" ht="116" x14ac:dyDescent="0.35">
      <c r="C114" s="21" t="s">
        <v>205</v>
      </c>
    </row>
    <row r="115" spans="2:3" ht="10" customHeight="1" x14ac:dyDescent="0.35"/>
    <row r="116" spans="2:3" ht="20" customHeight="1" x14ac:dyDescent="0.35">
      <c r="B116" s="29" t="s">
        <v>206</v>
      </c>
      <c r="C116" s="40" t="s">
        <v>207</v>
      </c>
    </row>
    <row r="117" spans="2:3" ht="130.5" x14ac:dyDescent="0.35">
      <c r="C117" s="21" t="s">
        <v>208</v>
      </c>
    </row>
    <row r="118" spans="2:3" ht="10" customHeight="1" x14ac:dyDescent="0.35"/>
    <row r="119" spans="2:3" ht="20" customHeight="1" x14ac:dyDescent="0.35">
      <c r="B119" s="29" t="s">
        <v>209</v>
      </c>
      <c r="C119" s="40" t="s">
        <v>210</v>
      </c>
    </row>
    <row r="120" spans="2:3" ht="203" x14ac:dyDescent="0.35">
      <c r="C120" s="21" t="s">
        <v>211</v>
      </c>
    </row>
    <row r="121" spans="2:3" ht="10" customHeight="1" x14ac:dyDescent="0.35"/>
    <row r="124" spans="2:3" ht="32" customHeight="1" x14ac:dyDescent="0.35">
      <c r="B124" s="291" t="s">
        <v>124</v>
      </c>
      <c r="C124" s="291"/>
    </row>
  </sheetData>
  <sheetProtection password="90EA" sheet="1"/>
  <mergeCells count="1">
    <mergeCell ref="B124:C124"/>
  </mergeCells>
  <hyperlinks>
    <hyperlink ref="C5" r:id="rId1" xr:uid="{00000000-0004-0000-0000-000000000000}"/>
    <hyperlink ref="C6" r:id="rId2" xr:uid="{00000000-0004-0000-0000-000001000000}"/>
    <hyperlink ref="C37" r:id="rId3" xr:uid="{00000000-0004-0000-0000-000002000000}"/>
    <hyperlink ref="B124"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2" t="s">
        <v>2895</v>
      </c>
      <c r="B1" s="233" t="s">
        <v>0</v>
      </c>
      <c r="C1" s="233" t="s">
        <v>372</v>
      </c>
      <c r="D1" s="233" t="s">
        <v>373</v>
      </c>
      <c r="E1" s="233" t="s">
        <v>378</v>
      </c>
      <c r="F1" s="233" t="s">
        <v>379</v>
      </c>
      <c r="G1" s="233" t="s">
        <v>380</v>
      </c>
      <c r="H1" s="233" t="s">
        <v>381</v>
      </c>
      <c r="I1" s="233" t="s">
        <v>382</v>
      </c>
      <c r="J1" s="233" t="s">
        <v>383</v>
      </c>
      <c r="K1" s="233" t="s">
        <v>384</v>
      </c>
      <c r="L1" s="233" t="s">
        <v>385</v>
      </c>
      <c r="M1" s="233" t="s">
        <v>386</v>
      </c>
      <c r="N1" s="233" t="s">
        <v>387</v>
      </c>
      <c r="O1" s="233" t="s">
        <v>388</v>
      </c>
      <c r="P1" s="233" t="s">
        <v>389</v>
      </c>
      <c r="Q1" s="233" t="s">
        <v>390</v>
      </c>
      <c r="R1" s="233" t="s">
        <v>391</v>
      </c>
      <c r="S1" s="233" t="s">
        <v>392</v>
      </c>
      <c r="T1" s="233" t="s">
        <v>393</v>
      </c>
      <c r="U1" s="233" t="s">
        <v>394</v>
      </c>
      <c r="V1" s="233" t="s">
        <v>395</v>
      </c>
      <c r="W1" s="233" t="s">
        <v>396</v>
      </c>
      <c r="X1" s="233" t="s">
        <v>397</v>
      </c>
      <c r="Y1" s="233" t="s">
        <v>398</v>
      </c>
      <c r="Z1" s="233" t="s">
        <v>399</v>
      </c>
      <c r="AA1" s="233" t="s">
        <v>400</v>
      </c>
      <c r="AB1" s="233" t="s">
        <v>401</v>
      </c>
      <c r="AC1" s="233" t="s">
        <v>402</v>
      </c>
      <c r="AD1" s="233" t="s">
        <v>403</v>
      </c>
      <c r="AE1" s="233" t="s">
        <v>404</v>
      </c>
      <c r="AF1" s="233" t="s">
        <v>405</v>
      </c>
      <c r="AG1" s="233" t="s">
        <v>406</v>
      </c>
      <c r="AH1" s="233" t="s">
        <v>407</v>
      </c>
      <c r="AI1" s="233" t="s">
        <v>408</v>
      </c>
      <c r="AJ1" s="233" t="s">
        <v>409</v>
      </c>
      <c r="AK1" s="233" t="s">
        <v>410</v>
      </c>
      <c r="AL1" s="233" t="s">
        <v>411</v>
      </c>
      <c r="AM1" s="233" t="s">
        <v>412</v>
      </c>
      <c r="AN1" s="233" t="s">
        <v>413</v>
      </c>
      <c r="AO1" s="233" t="s">
        <v>414</v>
      </c>
      <c r="AP1" s="233" t="s">
        <v>415</v>
      </c>
      <c r="AQ1" s="233" t="s">
        <v>416</v>
      </c>
      <c r="AR1" s="233" t="s">
        <v>417</v>
      </c>
      <c r="AS1" s="234" t="s">
        <v>418</v>
      </c>
    </row>
    <row r="2" spans="1:45" ht="60" customHeight="1" outlineLevel="1" x14ac:dyDescent="0.35">
      <c r="A2" s="226" t="s">
        <v>2896</v>
      </c>
      <c r="B2" s="213" t="s">
        <v>2897</v>
      </c>
      <c r="C2" s="212"/>
      <c r="D2" s="216"/>
      <c r="E2" s="218" t="str">
        <f>IF(COUNTIF(F2:AS2,"&lt;&gt;")=0,"",SUMPRODUCT(((Recommendations[ImplStatus]="Implemented")+(Recommendations[ImplStatus]="Compensated"))*ISNUMBER(MATCH(Recommendations[Id],F2:AS2,0)))/COUNTIF(F2:AS2,"&lt;&gt;"))</f>
        <v/>
      </c>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29"/>
    </row>
    <row r="3" spans="1:45" ht="60" customHeight="1" x14ac:dyDescent="0.35">
      <c r="A3" s="227" t="s">
        <v>2896</v>
      </c>
      <c r="B3" s="214" t="s">
        <v>2898</v>
      </c>
      <c r="C3" s="215" t="s">
        <v>2899</v>
      </c>
      <c r="D3" s="217" t="s">
        <v>2900</v>
      </c>
      <c r="E3" s="219" t="str">
        <f>IF(COUNTIF(F3:AS3,"&lt;&gt;")=0,"",SUMPRODUCT(((Recommendations[ImplStatus]="Implemented")+(Recommendations[ImplStatus]="Compensated"))*ISNUMBER(MATCH(Recommendations[Id],F3:AS3,0)))/COUNTIF(F3:AS3,"&lt;&gt;"))</f>
        <v/>
      </c>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30"/>
    </row>
    <row r="4" spans="1:45" ht="60" customHeight="1" x14ac:dyDescent="0.35">
      <c r="A4" s="227" t="s">
        <v>2896</v>
      </c>
      <c r="B4" s="214" t="s">
        <v>2901</v>
      </c>
      <c r="C4" s="215" t="s">
        <v>2902</v>
      </c>
      <c r="D4" s="217" t="s">
        <v>2903</v>
      </c>
      <c r="E4" s="219" t="str">
        <f>IF(COUNTIF(F4:AS4,"&lt;&gt;")=0,"",SUMPRODUCT(((Recommendations[ImplStatus]="Implemented")+(Recommendations[ImplStatus]="Compensated"))*ISNUMBER(MATCH(Recommendations[Id],F4:AS4,0)))/COUNTIF(F4:AS4,"&lt;&gt;"))</f>
        <v/>
      </c>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30"/>
    </row>
    <row r="5" spans="1:45" ht="60" customHeight="1" x14ac:dyDescent="0.35">
      <c r="A5" s="227" t="s">
        <v>2896</v>
      </c>
      <c r="B5" s="214" t="s">
        <v>2904</v>
      </c>
      <c r="C5" s="215" t="s">
        <v>2905</v>
      </c>
      <c r="D5" s="217" t="s">
        <v>2906</v>
      </c>
      <c r="E5" s="219" t="str">
        <f>IF(COUNTIF(F5:AS5,"&lt;&gt;")=0,"",SUMPRODUCT(((Recommendations[ImplStatus]="Implemented")+(Recommendations[ImplStatus]="Compensated"))*ISNUMBER(MATCH(Recommendations[Id],F5:AS5,0)))/COUNTIF(F5:AS5,"&lt;&gt;"))</f>
        <v/>
      </c>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30"/>
    </row>
    <row r="6" spans="1:45" ht="60" customHeight="1" x14ac:dyDescent="0.35">
      <c r="A6" s="227" t="s">
        <v>2896</v>
      </c>
      <c r="B6" s="214" t="s">
        <v>2907</v>
      </c>
      <c r="C6" s="215" t="s">
        <v>2908</v>
      </c>
      <c r="D6" s="217" t="s">
        <v>2909</v>
      </c>
      <c r="E6" s="219" t="str">
        <f>IF(COUNTIF(F6:AS6,"&lt;&gt;")=0,"",SUMPRODUCT(((Recommendations[ImplStatus]="Implemented")+(Recommendations[ImplStatus]="Compensated"))*ISNUMBER(MATCH(Recommendations[Id],F6:AS6,0)))/COUNTIF(F6:AS6,"&lt;&gt;"))</f>
        <v/>
      </c>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30"/>
    </row>
    <row r="7" spans="1:45" ht="60" customHeight="1" x14ac:dyDescent="0.35">
      <c r="A7" s="227" t="s">
        <v>2896</v>
      </c>
      <c r="B7" s="214" t="s">
        <v>2910</v>
      </c>
      <c r="C7" s="215" t="s">
        <v>2911</v>
      </c>
      <c r="D7" s="217" t="s">
        <v>2912</v>
      </c>
      <c r="E7" s="219" t="str">
        <f>IF(COUNTIF(F7:AS7,"&lt;&gt;")=0,"",SUMPRODUCT(((Recommendations[ImplStatus]="Implemented")+(Recommendations[ImplStatus]="Compensated"))*ISNUMBER(MATCH(Recommendations[Id],F7:AS7,0)))/COUNTIF(F7:AS7,"&lt;&gt;"))</f>
        <v/>
      </c>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30"/>
    </row>
    <row r="8" spans="1:45" ht="60" customHeight="1" x14ac:dyDescent="0.35">
      <c r="A8" s="227" t="s">
        <v>2896</v>
      </c>
      <c r="B8" s="214" t="s">
        <v>2913</v>
      </c>
      <c r="C8" s="215" t="s">
        <v>2914</v>
      </c>
      <c r="D8" s="217" t="s">
        <v>2915</v>
      </c>
      <c r="E8" s="219" t="str">
        <f>IF(COUNTIF(F8:AS8,"&lt;&gt;")=0,"",SUMPRODUCT(((Recommendations[ImplStatus]="Implemented")+(Recommendations[ImplStatus]="Compensated"))*ISNUMBER(MATCH(Recommendations[Id],F8:AS8,0)))/COUNTIF(F8:AS8,"&lt;&gt;"))</f>
        <v/>
      </c>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30"/>
    </row>
    <row r="9" spans="1:45" ht="60" customHeight="1" x14ac:dyDescent="0.35">
      <c r="A9" s="227" t="s">
        <v>2896</v>
      </c>
      <c r="B9" s="214" t="s">
        <v>2916</v>
      </c>
      <c r="C9" s="215" t="s">
        <v>2917</v>
      </c>
      <c r="D9" s="217" t="s">
        <v>2918</v>
      </c>
      <c r="E9" s="219" t="str">
        <f>IF(COUNTIF(F9:AS9,"&lt;&gt;")=0,"",SUMPRODUCT(((Recommendations[ImplStatus]="Implemented")+(Recommendations[ImplStatus]="Compensated"))*ISNUMBER(MATCH(Recommendations[Id],F9:AS9,0)))/COUNTIF(F9:AS9,"&lt;&gt;"))</f>
        <v/>
      </c>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30"/>
    </row>
    <row r="10" spans="1:45" ht="60" customHeight="1" x14ac:dyDescent="0.35">
      <c r="A10" s="227" t="s">
        <v>2896</v>
      </c>
      <c r="B10" s="214" t="s">
        <v>2919</v>
      </c>
      <c r="C10" s="215" t="s">
        <v>2920</v>
      </c>
      <c r="D10" s="217" t="s">
        <v>2921</v>
      </c>
      <c r="E10" s="219" t="str">
        <f>IF(COUNTIF(F10:AS10,"&lt;&gt;")=0,"",SUMPRODUCT(((Recommendations[ImplStatus]="Implemented")+(Recommendations[ImplStatus]="Compensated"))*ISNUMBER(MATCH(Recommendations[Id],F10:AS10,0)))/COUNTIF(F10:AS10,"&lt;&gt;"))</f>
        <v/>
      </c>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30"/>
    </row>
    <row r="11" spans="1:45" ht="60" customHeight="1" x14ac:dyDescent="0.35">
      <c r="A11" s="227" t="s">
        <v>2896</v>
      </c>
      <c r="B11" s="214" t="s">
        <v>2922</v>
      </c>
      <c r="C11" s="215" t="s">
        <v>2923</v>
      </c>
      <c r="D11" s="217" t="s">
        <v>2924</v>
      </c>
      <c r="E11" s="219" t="str">
        <f>IF(COUNTIF(F11:AS11,"&lt;&gt;")=0,"",SUMPRODUCT(((Recommendations[ImplStatus]="Implemented")+(Recommendations[ImplStatus]="Compensated"))*ISNUMBER(MATCH(Recommendations[Id],F11:AS11,0)))/COUNTIF(F11:AS11,"&lt;&gt;"))</f>
        <v/>
      </c>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30"/>
    </row>
    <row r="12" spans="1:45" ht="60" customHeight="1" x14ac:dyDescent="0.35">
      <c r="A12" s="227" t="s">
        <v>2896</v>
      </c>
      <c r="B12" s="214" t="s">
        <v>2925</v>
      </c>
      <c r="C12" s="215" t="s">
        <v>2926</v>
      </c>
      <c r="D12" s="217" t="s">
        <v>2927</v>
      </c>
      <c r="E12" s="219" t="str">
        <f>IF(COUNTIF(F12:AS12,"&lt;&gt;")=0,"",SUMPRODUCT(((Recommendations[ImplStatus]="Implemented")+(Recommendations[ImplStatus]="Compensated"))*ISNUMBER(MATCH(Recommendations[Id],F12:AS12,0)))/COUNTIF(F12:AS12,"&lt;&gt;"))</f>
        <v/>
      </c>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30"/>
    </row>
    <row r="13" spans="1:45" ht="60" customHeight="1" x14ac:dyDescent="0.35">
      <c r="A13" s="227" t="s">
        <v>2896</v>
      </c>
      <c r="B13" s="214" t="s">
        <v>2928</v>
      </c>
      <c r="C13" s="215" t="s">
        <v>2929</v>
      </c>
      <c r="D13" s="217" t="s">
        <v>2930</v>
      </c>
      <c r="E13" s="219" t="str">
        <f>IF(COUNTIF(F13:AS13,"&lt;&gt;")=0,"",SUMPRODUCT(((Recommendations[ImplStatus]="Implemented")+(Recommendations[ImplStatus]="Compensated"))*ISNUMBER(MATCH(Recommendations[Id],F13:AS13,0)))/COUNTIF(F13:AS13,"&lt;&gt;"))</f>
        <v/>
      </c>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30"/>
    </row>
    <row r="14" spans="1:45" ht="60" customHeight="1" x14ac:dyDescent="0.35">
      <c r="A14" s="227" t="s">
        <v>2896</v>
      </c>
      <c r="B14" s="214" t="s">
        <v>2931</v>
      </c>
      <c r="C14" s="215" t="s">
        <v>2932</v>
      </c>
      <c r="D14" s="217" t="s">
        <v>2933</v>
      </c>
      <c r="E14" s="219" t="str">
        <f>IF(COUNTIF(F14:AS14,"&lt;&gt;")=0,"",SUMPRODUCT(((Recommendations[ImplStatus]="Implemented")+(Recommendations[ImplStatus]="Compensated"))*ISNUMBER(MATCH(Recommendations[Id],F14:AS14,0)))/COUNTIF(F14:AS14,"&lt;&gt;"))</f>
        <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30"/>
    </row>
    <row r="15" spans="1:45" ht="60" customHeight="1" x14ac:dyDescent="0.35">
      <c r="A15" s="227" t="s">
        <v>2896</v>
      </c>
      <c r="B15" s="214" t="s">
        <v>2934</v>
      </c>
      <c r="C15" s="215" t="s">
        <v>2935</v>
      </c>
      <c r="D15" s="217" t="s">
        <v>2936</v>
      </c>
      <c r="E15" s="219" t="str">
        <f>IF(COUNTIF(F15:AS15,"&lt;&gt;")=0,"",SUMPRODUCT(((Recommendations[ImplStatus]="Implemented")+(Recommendations[ImplStatus]="Compensated"))*ISNUMBER(MATCH(Recommendations[Id],F15:AS15,0)))/COUNTIF(F15:AS15,"&lt;&gt;"))</f>
        <v/>
      </c>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30"/>
    </row>
    <row r="16" spans="1:45" ht="60" customHeight="1" x14ac:dyDescent="0.35">
      <c r="A16" s="227" t="s">
        <v>2896</v>
      </c>
      <c r="B16" s="214" t="s">
        <v>2937</v>
      </c>
      <c r="C16" s="215" t="s">
        <v>2938</v>
      </c>
      <c r="D16" s="217" t="s">
        <v>2939</v>
      </c>
      <c r="E16" s="219" t="str">
        <f>IF(COUNTIF(F16:AS16,"&lt;&gt;")=0,"",SUMPRODUCT(((Recommendations[ImplStatus]="Implemented")+(Recommendations[ImplStatus]="Compensated"))*ISNUMBER(MATCH(Recommendations[Id],F16:AS16,0)))/COUNTIF(F16:AS16,"&lt;&gt;"))</f>
        <v/>
      </c>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30"/>
    </row>
    <row r="17" spans="1:45" ht="60" customHeight="1" x14ac:dyDescent="0.35">
      <c r="A17" s="227" t="s">
        <v>2896</v>
      </c>
      <c r="B17" s="214" t="s">
        <v>2940</v>
      </c>
      <c r="C17" s="215" t="s">
        <v>2941</v>
      </c>
      <c r="D17" s="217" t="s">
        <v>2942</v>
      </c>
      <c r="E17" s="219" t="str">
        <f>IF(COUNTIF(F17:AS17,"&lt;&gt;")=0,"",SUMPRODUCT(((Recommendations[ImplStatus]="Implemented")+(Recommendations[ImplStatus]="Compensated"))*ISNUMBER(MATCH(Recommendations[Id],F17:AS17,0)))/COUNTIF(F17:AS17,"&lt;&gt;"))</f>
        <v/>
      </c>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30"/>
    </row>
    <row r="18" spans="1:45" ht="60" customHeight="1" x14ac:dyDescent="0.35">
      <c r="A18" s="227" t="s">
        <v>2896</v>
      </c>
      <c r="B18" s="214" t="s">
        <v>2943</v>
      </c>
      <c r="C18" s="215" t="s">
        <v>2944</v>
      </c>
      <c r="D18" s="217" t="s">
        <v>2945</v>
      </c>
      <c r="E18" s="219" t="str">
        <f>IF(COUNTIF(F18:AS18,"&lt;&gt;")=0,"",SUMPRODUCT(((Recommendations[ImplStatus]="Implemented")+(Recommendations[ImplStatus]="Compensated"))*ISNUMBER(MATCH(Recommendations[Id],F18:AS18,0)))/COUNTIF(F18:AS18,"&lt;&gt;"))</f>
        <v/>
      </c>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30"/>
    </row>
    <row r="19" spans="1:45" ht="60" customHeight="1" x14ac:dyDescent="0.35">
      <c r="A19" s="227" t="s">
        <v>2896</v>
      </c>
      <c r="B19" s="214" t="s">
        <v>2946</v>
      </c>
      <c r="C19" s="215" t="s">
        <v>2947</v>
      </c>
      <c r="D19" s="217" t="s">
        <v>2948</v>
      </c>
      <c r="E19" s="219" t="str">
        <f>IF(COUNTIF(F19:AS19,"&lt;&gt;")=0,"",SUMPRODUCT(((Recommendations[ImplStatus]="Implemented")+(Recommendations[ImplStatus]="Compensated"))*ISNUMBER(MATCH(Recommendations[Id],F19:AS19,0)))/COUNTIF(F19:AS19,"&lt;&gt;"))</f>
        <v/>
      </c>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30"/>
    </row>
    <row r="20" spans="1:45" ht="60" customHeight="1" x14ac:dyDescent="0.35">
      <c r="A20" s="227" t="s">
        <v>2896</v>
      </c>
      <c r="B20" s="214" t="s">
        <v>2949</v>
      </c>
      <c r="C20" s="215" t="s">
        <v>2950</v>
      </c>
      <c r="D20" s="217" t="s">
        <v>2951</v>
      </c>
      <c r="E20" s="219" t="str">
        <f>IF(COUNTIF(F20:AS20,"&lt;&gt;")=0,"",SUMPRODUCT(((Recommendations[ImplStatus]="Implemented")+(Recommendations[ImplStatus]="Compensated"))*ISNUMBER(MATCH(Recommendations[Id],F20:AS20,0)))/COUNTIF(F20:AS20,"&lt;&gt;"))</f>
        <v/>
      </c>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30"/>
    </row>
    <row r="21" spans="1:45" ht="60" customHeight="1" x14ac:dyDescent="0.35">
      <c r="A21" s="227" t="s">
        <v>2896</v>
      </c>
      <c r="B21" s="214" t="s">
        <v>2952</v>
      </c>
      <c r="C21" s="215" t="s">
        <v>2953</v>
      </c>
      <c r="D21" s="217" t="s">
        <v>2954</v>
      </c>
      <c r="E21" s="219" t="str">
        <f>IF(COUNTIF(F21:AS21,"&lt;&gt;")=0,"",SUMPRODUCT(((Recommendations[ImplStatus]="Implemented")+(Recommendations[ImplStatus]="Compensated"))*ISNUMBER(MATCH(Recommendations[Id],F21:AS21,0)))/COUNTIF(F21:AS21,"&lt;&gt;"))</f>
        <v/>
      </c>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30"/>
    </row>
    <row r="22" spans="1:45" ht="60" customHeight="1" x14ac:dyDescent="0.35">
      <c r="A22" s="227" t="s">
        <v>2896</v>
      </c>
      <c r="B22" s="214" t="s">
        <v>2955</v>
      </c>
      <c r="C22" s="215" t="s">
        <v>2956</v>
      </c>
      <c r="D22" s="217" t="s">
        <v>2957</v>
      </c>
      <c r="E22" s="219" t="str">
        <f>IF(COUNTIF(F22:AS22,"&lt;&gt;")=0,"",SUMPRODUCT(((Recommendations[ImplStatus]="Implemented")+(Recommendations[ImplStatus]="Compensated"))*ISNUMBER(MATCH(Recommendations[Id],F22:AS22,0)))/COUNTIF(F22:AS22,"&lt;&gt;"))</f>
        <v/>
      </c>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30"/>
    </row>
    <row r="23" spans="1:45" ht="60" customHeight="1" x14ac:dyDescent="0.35">
      <c r="A23" s="227" t="s">
        <v>2896</v>
      </c>
      <c r="B23" s="214" t="s">
        <v>2958</v>
      </c>
      <c r="C23" s="215" t="s">
        <v>2959</v>
      </c>
      <c r="D23" s="217" t="s">
        <v>2960</v>
      </c>
      <c r="E23" s="219" t="str">
        <f>IF(COUNTIF(F23:AS23,"&lt;&gt;")=0,"",SUMPRODUCT(((Recommendations[ImplStatus]="Implemented")+(Recommendations[ImplStatus]="Compensated"))*ISNUMBER(MATCH(Recommendations[Id],F23:AS23,0)))/COUNTIF(F23:AS23,"&lt;&gt;"))</f>
        <v/>
      </c>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30"/>
    </row>
    <row r="24" spans="1:45" ht="60" customHeight="1" x14ac:dyDescent="0.35">
      <c r="A24" s="227" t="s">
        <v>2896</v>
      </c>
      <c r="B24" s="214" t="s">
        <v>2961</v>
      </c>
      <c r="C24" s="215" t="s">
        <v>2962</v>
      </c>
      <c r="D24" s="217" t="s">
        <v>2963</v>
      </c>
      <c r="E24" s="219" t="str">
        <f>IF(COUNTIF(F24:AS24,"&lt;&gt;")=0,"",SUMPRODUCT(((Recommendations[ImplStatus]="Implemented")+(Recommendations[ImplStatus]="Compensated"))*ISNUMBER(MATCH(Recommendations[Id],F24:AS24,0)))/COUNTIF(F24:AS24,"&lt;&gt;"))</f>
        <v/>
      </c>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30"/>
    </row>
    <row r="25" spans="1:45" ht="60" customHeight="1" x14ac:dyDescent="0.35">
      <c r="A25" s="227" t="s">
        <v>2896</v>
      </c>
      <c r="B25" s="214" t="s">
        <v>2964</v>
      </c>
      <c r="C25" s="215" t="s">
        <v>2965</v>
      </c>
      <c r="D25" s="217" t="s">
        <v>2966</v>
      </c>
      <c r="E25" s="219" t="str">
        <f>IF(COUNTIF(F25:AS25,"&lt;&gt;")=0,"",SUMPRODUCT(((Recommendations[ImplStatus]="Implemented")+(Recommendations[ImplStatus]="Compensated"))*ISNUMBER(MATCH(Recommendations[Id],F25:AS25,0)))/COUNTIF(F25:AS25,"&lt;&gt;"))</f>
        <v/>
      </c>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30"/>
    </row>
    <row r="26" spans="1:45" ht="60" customHeight="1" x14ac:dyDescent="0.35">
      <c r="A26" s="227" t="s">
        <v>2896</v>
      </c>
      <c r="B26" s="214" t="s">
        <v>2967</v>
      </c>
      <c r="C26" s="215" t="s">
        <v>2968</v>
      </c>
      <c r="D26" s="217" t="s">
        <v>2969</v>
      </c>
      <c r="E26" s="219" t="str">
        <f>IF(COUNTIF(F26:AS26,"&lt;&gt;")=0,"",SUMPRODUCT(((Recommendations[ImplStatus]="Implemented")+(Recommendations[ImplStatus]="Compensated"))*ISNUMBER(MATCH(Recommendations[Id],F26:AS26,0)))/COUNTIF(F26:AS26,"&lt;&gt;"))</f>
        <v/>
      </c>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30"/>
    </row>
    <row r="27" spans="1:45" ht="60" customHeight="1" x14ac:dyDescent="0.35">
      <c r="A27" s="227" t="s">
        <v>2896</v>
      </c>
      <c r="B27" s="214" t="s">
        <v>2970</v>
      </c>
      <c r="C27" s="215" t="s">
        <v>2971</v>
      </c>
      <c r="D27" s="217" t="s">
        <v>2972</v>
      </c>
      <c r="E27" s="219" t="str">
        <f>IF(COUNTIF(F27:AS27,"&lt;&gt;")=0,"",SUMPRODUCT(((Recommendations[ImplStatus]="Implemented")+(Recommendations[ImplStatus]="Compensated"))*ISNUMBER(MATCH(Recommendations[Id],F27:AS27,0)))/COUNTIF(F27:AS27,"&lt;&gt;"))</f>
        <v/>
      </c>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30"/>
    </row>
    <row r="28" spans="1:45" ht="60" customHeight="1" x14ac:dyDescent="0.35">
      <c r="A28" s="227" t="s">
        <v>2896</v>
      </c>
      <c r="B28" s="214" t="s">
        <v>2973</v>
      </c>
      <c r="C28" s="215" t="s">
        <v>2974</v>
      </c>
      <c r="D28" s="217" t="s">
        <v>2975</v>
      </c>
      <c r="E28" s="219" t="str">
        <f>IF(COUNTIF(F28:AS28,"&lt;&gt;")=0,"",SUMPRODUCT(((Recommendations[ImplStatus]="Implemented")+(Recommendations[ImplStatus]="Compensated"))*ISNUMBER(MATCH(Recommendations[Id],F28:AS28,0)))/COUNTIF(F28:AS28,"&lt;&gt;"))</f>
        <v/>
      </c>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30"/>
    </row>
    <row r="29" spans="1:45" ht="60" customHeight="1" x14ac:dyDescent="0.35">
      <c r="A29" s="227" t="s">
        <v>2896</v>
      </c>
      <c r="B29" s="214" t="s">
        <v>2976</v>
      </c>
      <c r="C29" s="215" t="s">
        <v>2977</v>
      </c>
      <c r="D29" s="217" t="s">
        <v>2978</v>
      </c>
      <c r="E29" s="219" t="str">
        <f>IF(COUNTIF(F29:AS29,"&lt;&gt;")=0,"",SUMPRODUCT(((Recommendations[ImplStatus]="Implemented")+(Recommendations[ImplStatus]="Compensated"))*ISNUMBER(MATCH(Recommendations[Id],F29:AS29,0)))/COUNTIF(F29:AS29,"&lt;&gt;"))</f>
        <v/>
      </c>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30"/>
    </row>
    <row r="30" spans="1:45" ht="60" customHeight="1" x14ac:dyDescent="0.35">
      <c r="A30" s="227" t="s">
        <v>2896</v>
      </c>
      <c r="B30" s="214" t="s">
        <v>2979</v>
      </c>
      <c r="C30" s="215" t="s">
        <v>2980</v>
      </c>
      <c r="D30" s="217" t="s">
        <v>2981</v>
      </c>
      <c r="E30" s="219" t="str">
        <f>IF(COUNTIF(F30:AS30,"&lt;&gt;")=0,"",SUMPRODUCT(((Recommendations[ImplStatus]="Implemented")+(Recommendations[ImplStatus]="Compensated"))*ISNUMBER(MATCH(Recommendations[Id],F30:AS30,0)))/COUNTIF(F30:AS30,"&lt;&gt;"))</f>
        <v/>
      </c>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30"/>
    </row>
    <row r="31" spans="1:45" ht="60" customHeight="1" x14ac:dyDescent="0.35">
      <c r="A31" s="227" t="s">
        <v>2896</v>
      </c>
      <c r="B31" s="214" t="s">
        <v>2982</v>
      </c>
      <c r="C31" s="215" t="s">
        <v>2983</v>
      </c>
      <c r="D31" s="217" t="s">
        <v>2984</v>
      </c>
      <c r="E31" s="219" t="str">
        <f>IF(COUNTIF(F31:AS31,"&lt;&gt;")=0,"",SUMPRODUCT(((Recommendations[ImplStatus]="Implemented")+(Recommendations[ImplStatus]="Compensated"))*ISNUMBER(MATCH(Recommendations[Id],F31:AS31,0)))/COUNTIF(F31:AS31,"&lt;&gt;"))</f>
        <v/>
      </c>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30"/>
    </row>
    <row r="32" spans="1:45" ht="60" customHeight="1" x14ac:dyDescent="0.35">
      <c r="A32" s="227" t="s">
        <v>2896</v>
      </c>
      <c r="B32" s="214" t="s">
        <v>2985</v>
      </c>
      <c r="C32" s="215" t="s">
        <v>2986</v>
      </c>
      <c r="D32" s="217" t="s">
        <v>2987</v>
      </c>
      <c r="E32" s="219" t="str">
        <f>IF(COUNTIF(F32:AS32,"&lt;&gt;")=0,"",SUMPRODUCT(((Recommendations[ImplStatus]="Implemented")+(Recommendations[ImplStatus]="Compensated"))*ISNUMBER(MATCH(Recommendations[Id],F32:AS32,0)))/COUNTIF(F32:AS32,"&lt;&gt;"))</f>
        <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30"/>
    </row>
    <row r="33" spans="1:45" ht="60" customHeight="1" x14ac:dyDescent="0.35">
      <c r="A33" s="227" t="s">
        <v>2896</v>
      </c>
      <c r="B33" s="214" t="s">
        <v>2988</v>
      </c>
      <c r="C33" s="215" t="s">
        <v>2989</v>
      </c>
      <c r="D33" s="217" t="s">
        <v>2990</v>
      </c>
      <c r="E33" s="219" t="str">
        <f>IF(COUNTIF(F33:AS33,"&lt;&gt;")=0,"",SUMPRODUCT(((Recommendations[ImplStatus]="Implemented")+(Recommendations[ImplStatus]="Compensated"))*ISNUMBER(MATCH(Recommendations[Id],F33:AS33,0)))/COUNTIF(F33:AS33,"&lt;&gt;"))</f>
        <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30"/>
    </row>
    <row r="34" spans="1:45" ht="60" customHeight="1" x14ac:dyDescent="0.35">
      <c r="A34" s="227" t="s">
        <v>2896</v>
      </c>
      <c r="B34" s="214" t="s">
        <v>2991</v>
      </c>
      <c r="C34" s="215" t="s">
        <v>2992</v>
      </c>
      <c r="D34" s="217" t="s">
        <v>2993</v>
      </c>
      <c r="E34" s="219" t="str">
        <f>IF(COUNTIF(F34:AS34,"&lt;&gt;")=0,"",SUMPRODUCT(((Recommendations[ImplStatus]="Implemented")+(Recommendations[ImplStatus]="Compensated"))*ISNUMBER(MATCH(Recommendations[Id],F34:AS34,0)))/COUNTIF(F34:AS34,"&lt;&gt;"))</f>
        <v/>
      </c>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30"/>
    </row>
    <row r="35" spans="1:45" ht="60" customHeight="1" x14ac:dyDescent="0.35">
      <c r="A35" s="227" t="s">
        <v>2896</v>
      </c>
      <c r="B35" s="214" t="s">
        <v>2994</v>
      </c>
      <c r="C35" s="215" t="s">
        <v>2995</v>
      </c>
      <c r="D35" s="217" t="s">
        <v>2996</v>
      </c>
      <c r="E35" s="219" t="str">
        <f>IF(COUNTIF(F35:AS35,"&lt;&gt;")=0,"",SUMPRODUCT(((Recommendations[ImplStatus]="Implemented")+(Recommendations[ImplStatus]="Compensated"))*ISNUMBER(MATCH(Recommendations[Id],F35:AS35,0)))/COUNTIF(F35:AS35,"&lt;&gt;"))</f>
        <v/>
      </c>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30"/>
    </row>
    <row r="36" spans="1:45" ht="60" customHeight="1" x14ac:dyDescent="0.35">
      <c r="A36" s="227" t="s">
        <v>2896</v>
      </c>
      <c r="B36" s="214" t="s">
        <v>2997</v>
      </c>
      <c r="C36" s="215" t="s">
        <v>2998</v>
      </c>
      <c r="D36" s="217" t="s">
        <v>2999</v>
      </c>
      <c r="E36" s="219" t="str">
        <f>IF(COUNTIF(F36:AS36,"&lt;&gt;")=0,"",SUMPRODUCT(((Recommendations[ImplStatus]="Implemented")+(Recommendations[ImplStatus]="Compensated"))*ISNUMBER(MATCH(Recommendations[Id],F36:AS36,0)))/COUNTIF(F36:AS36,"&lt;&gt;"))</f>
        <v/>
      </c>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30"/>
    </row>
    <row r="37" spans="1:45" ht="60" customHeight="1" x14ac:dyDescent="0.35">
      <c r="A37" s="227" t="s">
        <v>2896</v>
      </c>
      <c r="B37" s="214" t="s">
        <v>3000</v>
      </c>
      <c r="C37" s="215" t="s">
        <v>3001</v>
      </c>
      <c r="D37" s="217" t="s">
        <v>3002</v>
      </c>
      <c r="E37" s="219" t="str">
        <f>IF(COUNTIF(F37:AS37,"&lt;&gt;")=0,"",SUMPRODUCT(((Recommendations[ImplStatus]="Implemented")+(Recommendations[ImplStatus]="Compensated"))*ISNUMBER(MATCH(Recommendations[Id],F37:AS37,0)))/COUNTIF(F37:AS37,"&lt;&gt;"))</f>
        <v/>
      </c>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30"/>
    </row>
    <row r="38" spans="1:45" ht="60" customHeight="1" x14ac:dyDescent="0.35">
      <c r="A38" s="227" t="s">
        <v>2896</v>
      </c>
      <c r="B38" s="214" t="s">
        <v>3003</v>
      </c>
      <c r="C38" s="215" t="s">
        <v>3004</v>
      </c>
      <c r="D38" s="217" t="s">
        <v>3005</v>
      </c>
      <c r="E38" s="219" t="str">
        <f>IF(COUNTIF(F38:AS38,"&lt;&gt;")=0,"",SUMPRODUCT(((Recommendations[ImplStatus]="Implemented")+(Recommendations[ImplStatus]="Compensated"))*ISNUMBER(MATCH(Recommendations[Id],F38:AS38,0)))/COUNTIF(F38:AS38,"&lt;&gt;"))</f>
        <v/>
      </c>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30"/>
    </row>
    <row r="39" spans="1:45" ht="60" customHeight="1" x14ac:dyDescent="0.35">
      <c r="A39" s="227" t="s">
        <v>2896</v>
      </c>
      <c r="B39" s="214" t="s">
        <v>3006</v>
      </c>
      <c r="C39" s="215" t="s">
        <v>3007</v>
      </c>
      <c r="D39" s="217" t="s">
        <v>3008</v>
      </c>
      <c r="E39" s="219" t="str">
        <f>IF(COUNTIF(F39:AS39,"&lt;&gt;")=0,"",SUMPRODUCT(((Recommendations[ImplStatus]="Implemented")+(Recommendations[ImplStatus]="Compensated"))*ISNUMBER(MATCH(Recommendations[Id],F39:AS39,0)))/COUNTIF(F39:AS39,"&lt;&gt;"))</f>
        <v/>
      </c>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30"/>
    </row>
    <row r="40" spans="1:45" ht="60" customHeight="1" outlineLevel="1" x14ac:dyDescent="0.35">
      <c r="A40" s="226" t="s">
        <v>3009</v>
      </c>
      <c r="B40" s="213" t="s">
        <v>3010</v>
      </c>
      <c r="C40" s="212"/>
      <c r="D40" s="216"/>
      <c r="E40" s="218" t="str">
        <f>IF(COUNTIF(F40:AS40,"&lt;&gt;")=0,"",SUMPRODUCT(((Recommendations[ImplStatus]="Implemented")+(Recommendations[ImplStatus]="Compensated"))*ISNUMBER(MATCH(Recommendations[Id],F40:AS40,0)))/COUNTIF(F40:AS40,"&lt;&gt;"))</f>
        <v/>
      </c>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29"/>
    </row>
    <row r="41" spans="1:45" ht="60" customHeight="1" x14ac:dyDescent="0.35">
      <c r="A41" s="227" t="s">
        <v>3009</v>
      </c>
      <c r="B41" s="214" t="s">
        <v>3011</v>
      </c>
      <c r="C41" s="215" t="s">
        <v>3012</v>
      </c>
      <c r="D41" s="217" t="s">
        <v>3013</v>
      </c>
      <c r="E41" s="219" t="str">
        <f>IF(COUNTIF(F41:AS41,"&lt;&gt;")=0,"",SUMPRODUCT(((Recommendations[ImplStatus]="Implemented")+(Recommendations[ImplStatus]="Compensated"))*ISNUMBER(MATCH(Recommendations[Id],F41:AS41,0)))/COUNTIF(F41:AS41,"&lt;&gt;"))</f>
        <v/>
      </c>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30"/>
    </row>
    <row r="42" spans="1:45" ht="60" customHeight="1" x14ac:dyDescent="0.35">
      <c r="A42" s="227" t="s">
        <v>3009</v>
      </c>
      <c r="B42" s="214" t="s">
        <v>3014</v>
      </c>
      <c r="C42" s="215" t="s">
        <v>3015</v>
      </c>
      <c r="D42" s="217" t="s">
        <v>3016</v>
      </c>
      <c r="E42" s="219" t="str">
        <f>IF(COUNTIF(F42:AS42,"&lt;&gt;")=0,"",SUMPRODUCT(((Recommendations[ImplStatus]="Implemented")+(Recommendations[ImplStatus]="Compensated"))*ISNUMBER(MATCH(Recommendations[Id],F42:AS42,0)))/COUNTIF(F42:AS42,"&lt;&gt;"))</f>
        <v/>
      </c>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30"/>
    </row>
    <row r="43" spans="1:45" ht="60" customHeight="1" x14ac:dyDescent="0.35">
      <c r="A43" s="227" t="s">
        <v>3009</v>
      </c>
      <c r="B43" s="214" t="s">
        <v>3017</v>
      </c>
      <c r="C43" s="215" t="s">
        <v>3018</v>
      </c>
      <c r="D43" s="217" t="s">
        <v>3019</v>
      </c>
      <c r="E43" s="219" t="str">
        <f>IF(COUNTIF(F43:AS43,"&lt;&gt;")=0,"",SUMPRODUCT(((Recommendations[ImplStatus]="Implemented")+(Recommendations[ImplStatus]="Compensated"))*ISNUMBER(MATCH(Recommendations[Id],F43:AS43,0)))/COUNTIF(F43:AS43,"&lt;&gt;"))</f>
        <v/>
      </c>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30"/>
    </row>
    <row r="44" spans="1:45" ht="60" customHeight="1" x14ac:dyDescent="0.35">
      <c r="A44" s="227" t="s">
        <v>3009</v>
      </c>
      <c r="B44" s="214" t="s">
        <v>3020</v>
      </c>
      <c r="C44" s="215" t="s">
        <v>3021</v>
      </c>
      <c r="D44" s="217" t="s">
        <v>3022</v>
      </c>
      <c r="E44" s="219" t="str">
        <f>IF(COUNTIF(F44:AS44,"&lt;&gt;")=0,"",SUMPRODUCT(((Recommendations[ImplStatus]="Implemented")+(Recommendations[ImplStatus]="Compensated"))*ISNUMBER(MATCH(Recommendations[Id],F44:AS44,0)))/COUNTIF(F44:AS44,"&lt;&gt;"))</f>
        <v/>
      </c>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30"/>
    </row>
    <row r="45" spans="1:45" ht="60" customHeight="1" x14ac:dyDescent="0.35">
      <c r="A45" s="227" t="s">
        <v>3009</v>
      </c>
      <c r="B45" s="214" t="s">
        <v>3023</v>
      </c>
      <c r="C45" s="215" t="s">
        <v>3024</v>
      </c>
      <c r="D45" s="217" t="s">
        <v>3025</v>
      </c>
      <c r="E45" s="219" t="str">
        <f>IF(COUNTIF(F45:AS45,"&lt;&gt;")=0,"",SUMPRODUCT(((Recommendations[ImplStatus]="Implemented")+(Recommendations[ImplStatus]="Compensated"))*ISNUMBER(MATCH(Recommendations[Id],F45:AS45,0)))/COUNTIF(F45:AS45,"&lt;&gt;"))</f>
        <v/>
      </c>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30"/>
    </row>
    <row r="46" spans="1:45" ht="60" customHeight="1" x14ac:dyDescent="0.35">
      <c r="A46" s="227" t="s">
        <v>3009</v>
      </c>
      <c r="B46" s="214" t="s">
        <v>3026</v>
      </c>
      <c r="C46" s="215" t="s">
        <v>3027</v>
      </c>
      <c r="D46" s="217" t="s">
        <v>3028</v>
      </c>
      <c r="E46" s="219" t="str">
        <f>IF(COUNTIF(F46:AS46,"&lt;&gt;")=0,"",SUMPRODUCT(((Recommendations[ImplStatus]="Implemented")+(Recommendations[ImplStatus]="Compensated"))*ISNUMBER(MATCH(Recommendations[Id],F46:AS46,0)))/COUNTIF(F46:AS46,"&lt;&gt;"))</f>
        <v/>
      </c>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30"/>
    </row>
    <row r="47" spans="1:45" ht="60" customHeight="1" x14ac:dyDescent="0.35">
      <c r="A47" s="227" t="s">
        <v>3009</v>
      </c>
      <c r="B47" s="214" t="s">
        <v>3029</v>
      </c>
      <c r="C47" s="215" t="s">
        <v>3030</v>
      </c>
      <c r="D47" s="217" t="s">
        <v>3031</v>
      </c>
      <c r="E47" s="219" t="str">
        <f>IF(COUNTIF(F47:AS47,"&lt;&gt;")=0,"",SUMPRODUCT(((Recommendations[ImplStatus]="Implemented")+(Recommendations[ImplStatus]="Compensated"))*ISNUMBER(MATCH(Recommendations[Id],F47:AS47,0)))/COUNTIF(F47:AS47,"&lt;&gt;"))</f>
        <v/>
      </c>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30"/>
    </row>
    <row r="48" spans="1:45" ht="60" customHeight="1" x14ac:dyDescent="0.35">
      <c r="A48" s="227" t="s">
        <v>3009</v>
      </c>
      <c r="B48" s="214" t="s">
        <v>3032</v>
      </c>
      <c r="C48" s="215" t="s">
        <v>3033</v>
      </c>
      <c r="D48" s="217" t="s">
        <v>3034</v>
      </c>
      <c r="E48" s="219" t="str">
        <f>IF(COUNTIF(F48:AS48,"&lt;&gt;")=0,"",SUMPRODUCT(((Recommendations[ImplStatus]="Implemented")+(Recommendations[ImplStatus]="Compensated"))*ISNUMBER(MATCH(Recommendations[Id],F48:AS48,0)))/COUNTIF(F48:AS48,"&lt;&gt;"))</f>
        <v/>
      </c>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30"/>
    </row>
    <row r="49" spans="1:45" ht="60" customHeight="1" outlineLevel="1" x14ac:dyDescent="0.35">
      <c r="A49" s="226" t="s">
        <v>3035</v>
      </c>
      <c r="B49" s="213" t="s">
        <v>3036</v>
      </c>
      <c r="C49" s="212"/>
      <c r="D49" s="216"/>
      <c r="E49" s="218" t="str">
        <f>IF(COUNTIF(F49:AS49,"&lt;&gt;")=0,"",SUMPRODUCT(((Recommendations[ImplStatus]="Implemented")+(Recommendations[ImplStatus]="Compensated"))*ISNUMBER(MATCH(Recommendations[Id],F49:AS49,0)))/COUNTIF(F49:AS49,"&lt;&gt;"))</f>
        <v/>
      </c>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29"/>
    </row>
    <row r="50" spans="1:45" ht="60" customHeight="1" x14ac:dyDescent="0.35">
      <c r="A50" s="227" t="s">
        <v>3035</v>
      </c>
      <c r="B50" s="214" t="s">
        <v>3037</v>
      </c>
      <c r="C50" s="215" t="s">
        <v>3038</v>
      </c>
      <c r="D50" s="217" t="s">
        <v>3039</v>
      </c>
      <c r="E50" s="219" t="str">
        <f>IF(COUNTIF(F50:AS50,"&lt;&gt;")=0,"",SUMPRODUCT(((Recommendations[ImplStatus]="Implemented")+(Recommendations[ImplStatus]="Compensated"))*ISNUMBER(MATCH(Recommendations[Id],F50:AS50,0)))/COUNTIF(F50:AS50,"&lt;&gt;"))</f>
        <v/>
      </c>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30"/>
    </row>
    <row r="51" spans="1:45" ht="60" customHeight="1" x14ac:dyDescent="0.35">
      <c r="A51" s="227" t="s">
        <v>3035</v>
      </c>
      <c r="B51" s="214" t="s">
        <v>3040</v>
      </c>
      <c r="C51" s="215" t="s">
        <v>3041</v>
      </c>
      <c r="D51" s="217" t="s">
        <v>3042</v>
      </c>
      <c r="E51" s="219" t="str">
        <f>IF(COUNTIF(F51:AS51,"&lt;&gt;")=0,"",SUMPRODUCT(((Recommendations[ImplStatus]="Implemented")+(Recommendations[ImplStatus]="Compensated"))*ISNUMBER(MATCH(Recommendations[Id],F51:AS51,0)))/COUNTIF(F51:AS51,"&lt;&gt;"))</f>
        <v/>
      </c>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30"/>
    </row>
    <row r="52" spans="1:45" ht="60" customHeight="1" x14ac:dyDescent="0.35">
      <c r="A52" s="227" t="s">
        <v>3035</v>
      </c>
      <c r="B52" s="214" t="s">
        <v>3043</v>
      </c>
      <c r="C52" s="215" t="s">
        <v>3044</v>
      </c>
      <c r="D52" s="217" t="s">
        <v>3045</v>
      </c>
      <c r="E52" s="219" t="str">
        <f>IF(COUNTIF(F52:AS52,"&lt;&gt;")=0,"",SUMPRODUCT(((Recommendations[ImplStatus]="Implemented")+(Recommendations[ImplStatus]="Compensated"))*ISNUMBER(MATCH(Recommendations[Id],F52:AS52,0)))/COUNTIF(F52:AS52,"&lt;&gt;"))</f>
        <v/>
      </c>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30"/>
    </row>
    <row r="53" spans="1:45" ht="60" customHeight="1" x14ac:dyDescent="0.35">
      <c r="A53" s="227" t="s">
        <v>3035</v>
      </c>
      <c r="B53" s="214" t="s">
        <v>3046</v>
      </c>
      <c r="C53" s="215" t="s">
        <v>3047</v>
      </c>
      <c r="D53" s="217" t="s">
        <v>3048</v>
      </c>
      <c r="E53" s="219" t="str">
        <f>IF(COUNTIF(F53:AS53,"&lt;&gt;")=0,"",SUMPRODUCT(((Recommendations[ImplStatus]="Implemented")+(Recommendations[ImplStatus]="Compensated"))*ISNUMBER(MATCH(Recommendations[Id],F53:AS53,0)))/COUNTIF(F53:AS53,"&lt;&gt;"))</f>
        <v/>
      </c>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30"/>
    </row>
    <row r="54" spans="1:45" ht="60" customHeight="1" x14ac:dyDescent="0.35">
      <c r="A54" s="227" t="s">
        <v>3035</v>
      </c>
      <c r="B54" s="214" t="s">
        <v>3049</v>
      </c>
      <c r="C54" s="215" t="s">
        <v>3050</v>
      </c>
      <c r="D54" s="217" t="s">
        <v>3051</v>
      </c>
      <c r="E54" s="219" t="str">
        <f>IF(COUNTIF(F54:AS54,"&lt;&gt;")=0,"",SUMPRODUCT(((Recommendations[ImplStatus]="Implemented")+(Recommendations[ImplStatus]="Compensated"))*ISNUMBER(MATCH(Recommendations[Id],F54:AS54,0)))/COUNTIF(F54:AS54,"&lt;&gt;"))</f>
        <v/>
      </c>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30"/>
    </row>
    <row r="55" spans="1:45" ht="60" customHeight="1" x14ac:dyDescent="0.35">
      <c r="A55" s="227" t="s">
        <v>3035</v>
      </c>
      <c r="B55" s="214" t="s">
        <v>3052</v>
      </c>
      <c r="C55" s="215" t="s">
        <v>3053</v>
      </c>
      <c r="D55" s="217" t="s">
        <v>3054</v>
      </c>
      <c r="E55" s="219" t="str">
        <f>IF(COUNTIF(F55:AS55,"&lt;&gt;")=0,"",SUMPRODUCT(((Recommendations[ImplStatus]="Implemented")+(Recommendations[ImplStatus]="Compensated"))*ISNUMBER(MATCH(Recommendations[Id],F55:AS55,0)))/COUNTIF(F55:AS55,"&lt;&gt;"))</f>
        <v/>
      </c>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30"/>
    </row>
    <row r="56" spans="1:45" ht="60" customHeight="1" x14ac:dyDescent="0.35">
      <c r="A56" s="227" t="s">
        <v>3035</v>
      </c>
      <c r="B56" s="214" t="s">
        <v>3055</v>
      </c>
      <c r="C56" s="215" t="s">
        <v>3056</v>
      </c>
      <c r="D56" s="217" t="s">
        <v>3057</v>
      </c>
      <c r="E56" s="219" t="str">
        <f>IF(COUNTIF(F56:AS56,"&lt;&gt;")=0,"",SUMPRODUCT(((Recommendations[ImplStatus]="Implemented")+(Recommendations[ImplStatus]="Compensated"))*ISNUMBER(MATCH(Recommendations[Id],F56:AS56,0)))/COUNTIF(F56:AS56,"&lt;&gt;"))</f>
        <v/>
      </c>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30"/>
    </row>
    <row r="57" spans="1:45" ht="60" customHeight="1" x14ac:dyDescent="0.35">
      <c r="A57" s="227" t="s">
        <v>3035</v>
      </c>
      <c r="B57" s="214" t="s">
        <v>3058</v>
      </c>
      <c r="C57" s="215" t="s">
        <v>3059</v>
      </c>
      <c r="D57" s="217" t="s">
        <v>3060</v>
      </c>
      <c r="E57" s="219" t="str">
        <f>IF(COUNTIF(F57:AS57,"&lt;&gt;")=0,"",SUMPRODUCT(((Recommendations[ImplStatus]="Implemented")+(Recommendations[ImplStatus]="Compensated"))*ISNUMBER(MATCH(Recommendations[Id],F57:AS57,0)))/COUNTIF(F57:AS57,"&lt;&gt;"))</f>
        <v/>
      </c>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30"/>
    </row>
    <row r="58" spans="1:45" ht="60" customHeight="1" x14ac:dyDescent="0.35">
      <c r="A58" s="227" t="s">
        <v>3035</v>
      </c>
      <c r="B58" s="214" t="s">
        <v>3061</v>
      </c>
      <c r="C58" s="215" t="s">
        <v>3062</v>
      </c>
      <c r="D58" s="217" t="s">
        <v>3063</v>
      </c>
      <c r="E58" s="219" t="str">
        <f>IF(COUNTIF(F58:AS58,"&lt;&gt;")=0,"",SUMPRODUCT(((Recommendations[ImplStatus]="Implemented")+(Recommendations[ImplStatus]="Compensated"))*ISNUMBER(MATCH(Recommendations[Id],F58:AS58,0)))/COUNTIF(F58:AS58,"&lt;&gt;"))</f>
        <v/>
      </c>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30"/>
    </row>
    <row r="59" spans="1:45" ht="60" customHeight="1" x14ac:dyDescent="0.35">
      <c r="A59" s="227" t="s">
        <v>3035</v>
      </c>
      <c r="B59" s="214" t="s">
        <v>3064</v>
      </c>
      <c r="C59" s="215" t="s">
        <v>3065</v>
      </c>
      <c r="D59" s="217" t="s">
        <v>3066</v>
      </c>
      <c r="E59" s="219" t="str">
        <f>IF(COUNTIF(F59:AS59,"&lt;&gt;")=0,"",SUMPRODUCT(((Recommendations[ImplStatus]="Implemented")+(Recommendations[ImplStatus]="Compensated"))*ISNUMBER(MATCH(Recommendations[Id],F59:AS59,0)))/COUNTIF(F59:AS59,"&lt;&gt;"))</f>
        <v/>
      </c>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30"/>
    </row>
    <row r="60" spans="1:45" ht="60" customHeight="1" x14ac:dyDescent="0.35">
      <c r="A60" s="227" t="s">
        <v>3035</v>
      </c>
      <c r="B60" s="214" t="s">
        <v>3067</v>
      </c>
      <c r="C60" s="215" t="s">
        <v>3068</v>
      </c>
      <c r="D60" s="217" t="s">
        <v>3069</v>
      </c>
      <c r="E60" s="219" t="str">
        <f>IF(COUNTIF(F60:AS60,"&lt;&gt;")=0,"",SUMPRODUCT(((Recommendations[ImplStatus]="Implemented")+(Recommendations[ImplStatus]="Compensated"))*ISNUMBER(MATCH(Recommendations[Id],F60:AS60,0)))/COUNTIF(F60:AS60,"&lt;&gt;"))</f>
        <v/>
      </c>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30"/>
    </row>
    <row r="61" spans="1:45" ht="60" customHeight="1" x14ac:dyDescent="0.35">
      <c r="A61" s="227" t="s">
        <v>3035</v>
      </c>
      <c r="B61" s="214" t="s">
        <v>3070</v>
      </c>
      <c r="C61" s="215" t="s">
        <v>3071</v>
      </c>
      <c r="D61" s="217" t="s">
        <v>3072</v>
      </c>
      <c r="E61" s="219" t="str">
        <f>IF(COUNTIF(F61:AS61,"&lt;&gt;")=0,"",SUMPRODUCT(((Recommendations[ImplStatus]="Implemented")+(Recommendations[ImplStatus]="Compensated"))*ISNUMBER(MATCH(Recommendations[Id],F61:AS61,0)))/COUNTIF(F61:AS61,"&lt;&gt;"))</f>
        <v/>
      </c>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30"/>
    </row>
    <row r="62" spans="1:45" ht="60" customHeight="1" x14ac:dyDescent="0.35">
      <c r="A62" s="227" t="s">
        <v>3035</v>
      </c>
      <c r="B62" s="214" t="s">
        <v>3073</v>
      </c>
      <c r="C62" s="215" t="s">
        <v>3074</v>
      </c>
      <c r="D62" s="217" t="s">
        <v>3075</v>
      </c>
      <c r="E62" s="219" t="str">
        <f>IF(COUNTIF(F62:AS62,"&lt;&gt;")=0,"",SUMPRODUCT(((Recommendations[ImplStatus]="Implemented")+(Recommendations[ImplStatus]="Compensated"))*ISNUMBER(MATCH(Recommendations[Id],F62:AS62,0)))/COUNTIF(F62:AS62,"&lt;&gt;"))</f>
        <v/>
      </c>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30"/>
    </row>
    <row r="63" spans="1:45" ht="60" customHeight="1" x14ac:dyDescent="0.35">
      <c r="A63" s="227" t="s">
        <v>3035</v>
      </c>
      <c r="B63" s="214" t="s">
        <v>3076</v>
      </c>
      <c r="C63" s="215" t="s">
        <v>3077</v>
      </c>
      <c r="D63" s="217" t="s">
        <v>3078</v>
      </c>
      <c r="E63" s="219" t="str">
        <f>IF(COUNTIF(F63:AS63,"&lt;&gt;")=0,"",SUMPRODUCT(((Recommendations[ImplStatus]="Implemented")+(Recommendations[ImplStatus]="Compensated"))*ISNUMBER(MATCH(Recommendations[Id],F63:AS63,0)))/COUNTIF(F63:AS63,"&lt;&gt;"))</f>
        <v/>
      </c>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30"/>
    </row>
    <row r="64" spans="1:45" ht="60" customHeight="1" outlineLevel="1" x14ac:dyDescent="0.35">
      <c r="A64" s="226" t="s">
        <v>3079</v>
      </c>
      <c r="B64" s="213" t="s">
        <v>3080</v>
      </c>
      <c r="C64" s="212"/>
      <c r="D64" s="216"/>
      <c r="E64" s="218" t="str">
        <f>IF(COUNTIF(F64:AS64,"&lt;&gt;")=0,"",SUMPRODUCT(((Recommendations[ImplStatus]="Implemented")+(Recommendations[ImplStatus]="Compensated"))*ISNUMBER(MATCH(Recommendations[Id],F64:AS64,0)))/COUNTIF(F64:AS64,"&lt;&gt;"))</f>
        <v/>
      </c>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29"/>
    </row>
    <row r="65" spans="1:45" ht="60" customHeight="1" x14ac:dyDescent="0.35">
      <c r="A65" s="227" t="s">
        <v>3079</v>
      </c>
      <c r="B65" s="214" t="s">
        <v>3081</v>
      </c>
      <c r="C65" s="215" t="s">
        <v>3082</v>
      </c>
      <c r="D65" s="217" t="s">
        <v>3083</v>
      </c>
      <c r="E65" s="219" t="str">
        <f>IF(COUNTIF(F65:AS65,"&lt;&gt;")=0,"",SUMPRODUCT(((Recommendations[ImplStatus]="Implemented")+(Recommendations[ImplStatus]="Compensated"))*ISNUMBER(MATCH(Recommendations[Id],F65:AS65,0)))/COUNTIF(F65:AS65,"&lt;&gt;"))</f>
        <v/>
      </c>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30"/>
    </row>
    <row r="66" spans="1:45" ht="60" customHeight="1" x14ac:dyDescent="0.35">
      <c r="A66" s="227" t="s">
        <v>3079</v>
      </c>
      <c r="B66" s="214" t="s">
        <v>3084</v>
      </c>
      <c r="C66" s="215" t="s">
        <v>3085</v>
      </c>
      <c r="D66" s="217" t="s">
        <v>3086</v>
      </c>
      <c r="E66" s="219" t="str">
        <f>IF(COUNTIF(F66:AS66,"&lt;&gt;")=0,"",SUMPRODUCT(((Recommendations[ImplStatus]="Implemented")+(Recommendations[ImplStatus]="Compensated"))*ISNUMBER(MATCH(Recommendations[Id],F66:AS66,0)))/COUNTIF(F66:AS66,"&lt;&gt;"))</f>
        <v/>
      </c>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30"/>
    </row>
    <row r="67" spans="1:45" ht="60" customHeight="1" x14ac:dyDescent="0.35">
      <c r="A67" s="227" t="s">
        <v>3079</v>
      </c>
      <c r="B67" s="214" t="s">
        <v>3087</v>
      </c>
      <c r="C67" s="215" t="s">
        <v>3088</v>
      </c>
      <c r="D67" s="217" t="s">
        <v>3089</v>
      </c>
      <c r="E67" s="219" t="str">
        <f>IF(COUNTIF(F67:AS67,"&lt;&gt;")=0,"",SUMPRODUCT(((Recommendations[ImplStatus]="Implemented")+(Recommendations[ImplStatus]="Compensated"))*ISNUMBER(MATCH(Recommendations[Id],F67:AS67,0)))/COUNTIF(F67:AS67,"&lt;&gt;"))</f>
        <v/>
      </c>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30"/>
    </row>
    <row r="68" spans="1:45" ht="60" customHeight="1" x14ac:dyDescent="0.35">
      <c r="A68" s="227" t="s">
        <v>3079</v>
      </c>
      <c r="B68" s="214" t="s">
        <v>3090</v>
      </c>
      <c r="C68" s="215" t="s">
        <v>3091</v>
      </c>
      <c r="D68" s="217" t="s">
        <v>3092</v>
      </c>
      <c r="E68" s="219" t="str">
        <f>IF(COUNTIF(F68:AS68,"&lt;&gt;")=0,"",SUMPRODUCT(((Recommendations[ImplStatus]="Implemented")+(Recommendations[ImplStatus]="Compensated"))*ISNUMBER(MATCH(Recommendations[Id],F68:AS68,0)))/COUNTIF(F68:AS68,"&lt;&gt;"))</f>
        <v/>
      </c>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30"/>
    </row>
    <row r="69" spans="1:45" ht="60" customHeight="1" x14ac:dyDescent="0.35">
      <c r="A69" s="227" t="s">
        <v>3079</v>
      </c>
      <c r="B69" s="214" t="s">
        <v>3093</v>
      </c>
      <c r="C69" s="215" t="s">
        <v>3094</v>
      </c>
      <c r="D69" s="217" t="s">
        <v>3095</v>
      </c>
      <c r="E69" s="219" t="str">
        <f>IF(COUNTIF(F69:AS69,"&lt;&gt;")=0,"",SUMPRODUCT(((Recommendations[ImplStatus]="Implemented")+(Recommendations[ImplStatus]="Compensated"))*ISNUMBER(MATCH(Recommendations[Id],F69:AS69,0)))/COUNTIF(F69:AS69,"&lt;&gt;"))</f>
        <v/>
      </c>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30"/>
    </row>
    <row r="70" spans="1:45" ht="60" customHeight="1" x14ac:dyDescent="0.35">
      <c r="A70" s="227" t="s">
        <v>3079</v>
      </c>
      <c r="B70" s="214" t="s">
        <v>3096</v>
      </c>
      <c r="C70" s="215" t="s">
        <v>3097</v>
      </c>
      <c r="D70" s="217" t="s">
        <v>3098</v>
      </c>
      <c r="E70" s="219" t="str">
        <f>IF(COUNTIF(F70:AS70,"&lt;&gt;")=0,"",SUMPRODUCT(((Recommendations[ImplStatus]="Implemented")+(Recommendations[ImplStatus]="Compensated"))*ISNUMBER(MATCH(Recommendations[Id],F70:AS70,0)))/COUNTIF(F70:AS70,"&lt;&gt;"))</f>
        <v/>
      </c>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30"/>
    </row>
    <row r="71" spans="1:45" ht="60" customHeight="1" x14ac:dyDescent="0.35">
      <c r="A71" s="227" t="s">
        <v>3079</v>
      </c>
      <c r="B71" s="214" t="s">
        <v>3099</v>
      </c>
      <c r="C71" s="215" t="s">
        <v>3100</v>
      </c>
      <c r="D71" s="217" t="s">
        <v>3101</v>
      </c>
      <c r="E71" s="219" t="str">
        <f>IF(COUNTIF(F71:AS71,"&lt;&gt;")=0,"",SUMPRODUCT(((Recommendations[ImplStatus]="Implemented")+(Recommendations[ImplStatus]="Compensated"))*ISNUMBER(MATCH(Recommendations[Id],F71:AS71,0)))/COUNTIF(F71:AS71,"&lt;&gt;"))</f>
        <v/>
      </c>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30"/>
    </row>
    <row r="72" spans="1:45" ht="60" customHeight="1" x14ac:dyDescent="0.35">
      <c r="A72" s="227" t="s">
        <v>3079</v>
      </c>
      <c r="B72" s="214" t="s">
        <v>3102</v>
      </c>
      <c r="C72" s="215" t="s">
        <v>3103</v>
      </c>
      <c r="D72" s="217" t="s">
        <v>3104</v>
      </c>
      <c r="E72" s="219" t="str">
        <f>IF(COUNTIF(F72:AS72,"&lt;&gt;")=0,"",SUMPRODUCT(((Recommendations[ImplStatus]="Implemented")+(Recommendations[ImplStatus]="Compensated"))*ISNUMBER(MATCH(Recommendations[Id],F72:AS72,0)))/COUNTIF(F72:AS72,"&lt;&gt;"))</f>
        <v/>
      </c>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30"/>
    </row>
    <row r="73" spans="1:45" ht="60" customHeight="1" x14ac:dyDescent="0.35">
      <c r="A73" s="227" t="s">
        <v>3079</v>
      </c>
      <c r="B73" s="214" t="s">
        <v>3105</v>
      </c>
      <c r="C73" s="215" t="s">
        <v>3106</v>
      </c>
      <c r="D73" s="217" t="s">
        <v>3107</v>
      </c>
      <c r="E73" s="219" t="str">
        <f>IF(COUNTIF(F73:AS73,"&lt;&gt;")=0,"",SUMPRODUCT(((Recommendations[ImplStatus]="Implemented")+(Recommendations[ImplStatus]="Compensated"))*ISNUMBER(MATCH(Recommendations[Id],F73:AS73,0)))/COUNTIF(F73:AS73,"&lt;&gt;"))</f>
        <v/>
      </c>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30"/>
    </row>
    <row r="74" spans="1:45" ht="60" customHeight="1" x14ac:dyDescent="0.35">
      <c r="A74" s="227" t="s">
        <v>3079</v>
      </c>
      <c r="B74" s="214" t="s">
        <v>3108</v>
      </c>
      <c r="C74" s="215" t="s">
        <v>3109</v>
      </c>
      <c r="D74" s="217" t="s">
        <v>3110</v>
      </c>
      <c r="E74" s="219" t="str">
        <f>IF(COUNTIF(F74:AS74,"&lt;&gt;")=0,"",SUMPRODUCT(((Recommendations[ImplStatus]="Implemented")+(Recommendations[ImplStatus]="Compensated"))*ISNUMBER(MATCH(Recommendations[Id],F74:AS74,0)))/COUNTIF(F74:AS74,"&lt;&gt;"))</f>
        <v/>
      </c>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30"/>
    </row>
    <row r="75" spans="1:45" ht="60" customHeight="1" x14ac:dyDescent="0.35">
      <c r="A75" s="227" t="s">
        <v>3079</v>
      </c>
      <c r="B75" s="214" t="s">
        <v>3111</v>
      </c>
      <c r="C75" s="215" t="s">
        <v>3112</v>
      </c>
      <c r="D75" s="217" t="s">
        <v>3113</v>
      </c>
      <c r="E75" s="219" t="str">
        <f>IF(COUNTIF(F75:AS75,"&lt;&gt;")=0,"",SUMPRODUCT(((Recommendations[ImplStatus]="Implemented")+(Recommendations[ImplStatus]="Compensated"))*ISNUMBER(MATCH(Recommendations[Id],F75:AS75,0)))/COUNTIF(F75:AS75,"&lt;&gt;"))</f>
        <v/>
      </c>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30"/>
    </row>
    <row r="76" spans="1:45" ht="60" customHeight="1" x14ac:dyDescent="0.35">
      <c r="A76" s="227" t="s">
        <v>3079</v>
      </c>
      <c r="B76" s="214" t="s">
        <v>3114</v>
      </c>
      <c r="C76" s="215" t="s">
        <v>3115</v>
      </c>
      <c r="D76" s="217" t="s">
        <v>3116</v>
      </c>
      <c r="E76" s="219" t="str">
        <f>IF(COUNTIF(F76:AS76,"&lt;&gt;")=0,"",SUMPRODUCT(((Recommendations[ImplStatus]="Implemented")+(Recommendations[ImplStatus]="Compensated"))*ISNUMBER(MATCH(Recommendations[Id],F76:AS76,0)))/COUNTIF(F76:AS76,"&lt;&gt;"))</f>
        <v/>
      </c>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30"/>
    </row>
    <row r="77" spans="1:45" ht="60" customHeight="1" x14ac:dyDescent="0.35">
      <c r="A77" s="227" t="s">
        <v>3079</v>
      </c>
      <c r="B77" s="214" t="s">
        <v>3117</v>
      </c>
      <c r="C77" s="215" t="s">
        <v>3118</v>
      </c>
      <c r="D77" s="217" t="s">
        <v>3119</v>
      </c>
      <c r="E77" s="219" t="str">
        <f>IF(COUNTIF(F77:AS77,"&lt;&gt;")=0,"",SUMPRODUCT(((Recommendations[ImplStatus]="Implemented")+(Recommendations[ImplStatus]="Compensated"))*ISNUMBER(MATCH(Recommendations[Id],F77:AS77,0)))/COUNTIF(F77:AS77,"&lt;&gt;"))</f>
        <v/>
      </c>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30"/>
    </row>
    <row r="78" spans="1:45" ht="60" customHeight="1" x14ac:dyDescent="0.35">
      <c r="A78" s="227" t="s">
        <v>3079</v>
      </c>
      <c r="B78" s="214" t="s">
        <v>3120</v>
      </c>
      <c r="C78" s="215" t="s">
        <v>3121</v>
      </c>
      <c r="D78" s="217" t="s">
        <v>3122</v>
      </c>
      <c r="E78" s="219" t="str">
        <f>IF(COUNTIF(F78:AS78,"&lt;&gt;")=0,"",SUMPRODUCT(((Recommendations[ImplStatus]="Implemented")+(Recommendations[ImplStatus]="Compensated"))*ISNUMBER(MATCH(Recommendations[Id],F78:AS78,0)))/COUNTIF(F78:AS78,"&lt;&gt;"))</f>
        <v/>
      </c>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30"/>
    </row>
    <row r="79" spans="1:45" ht="60" customHeight="1" x14ac:dyDescent="0.35">
      <c r="A79" s="227" t="s">
        <v>3079</v>
      </c>
      <c r="B79" s="214" t="s">
        <v>3123</v>
      </c>
      <c r="C79" s="215" t="s">
        <v>3124</v>
      </c>
      <c r="D79" s="217" t="s">
        <v>3125</v>
      </c>
      <c r="E79" s="219" t="str">
        <f>IF(COUNTIF(F79:AS79,"&lt;&gt;")=0,"",SUMPRODUCT(((Recommendations[ImplStatus]="Implemented")+(Recommendations[ImplStatus]="Compensated"))*ISNUMBER(MATCH(Recommendations[Id],F79:AS79,0)))/COUNTIF(F79:AS79,"&lt;&gt;"))</f>
        <v/>
      </c>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30"/>
    </row>
    <row r="80" spans="1:45" ht="60" customHeight="1" x14ac:dyDescent="0.35">
      <c r="A80" s="227" t="s">
        <v>3079</v>
      </c>
      <c r="B80" s="214" t="s">
        <v>3126</v>
      </c>
      <c r="C80" s="215" t="s">
        <v>3127</v>
      </c>
      <c r="D80" s="217" t="s">
        <v>3128</v>
      </c>
      <c r="E80" s="219" t="str">
        <f>IF(COUNTIF(F80:AS80,"&lt;&gt;")=0,"",SUMPRODUCT(((Recommendations[ImplStatus]="Implemented")+(Recommendations[ImplStatus]="Compensated"))*ISNUMBER(MATCH(Recommendations[Id],F80:AS80,0)))/COUNTIF(F80:AS80,"&lt;&gt;"))</f>
        <v/>
      </c>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30"/>
    </row>
    <row r="81" spans="1:45" ht="60" customHeight="1" x14ac:dyDescent="0.35">
      <c r="A81" s="227" t="s">
        <v>3079</v>
      </c>
      <c r="B81" s="214" t="s">
        <v>3129</v>
      </c>
      <c r="C81" s="215" t="s">
        <v>3130</v>
      </c>
      <c r="D81" s="217" t="s">
        <v>3131</v>
      </c>
      <c r="E81" s="219" t="str">
        <f>IF(COUNTIF(F81:AS81,"&lt;&gt;")=0,"",SUMPRODUCT(((Recommendations[ImplStatus]="Implemented")+(Recommendations[ImplStatus]="Compensated"))*ISNUMBER(MATCH(Recommendations[Id],F81:AS81,0)))/COUNTIF(F81:AS81,"&lt;&gt;"))</f>
        <v/>
      </c>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30"/>
    </row>
    <row r="82" spans="1:45" ht="60" customHeight="1" x14ac:dyDescent="0.35">
      <c r="A82" s="227" t="s">
        <v>3079</v>
      </c>
      <c r="B82" s="214" t="s">
        <v>3132</v>
      </c>
      <c r="C82" s="215" t="s">
        <v>3133</v>
      </c>
      <c r="D82" s="217" t="s">
        <v>3134</v>
      </c>
      <c r="E82" s="219" t="str">
        <f>IF(COUNTIF(F82:AS82,"&lt;&gt;")=0,"",SUMPRODUCT(((Recommendations[ImplStatus]="Implemented")+(Recommendations[ImplStatus]="Compensated"))*ISNUMBER(MATCH(Recommendations[Id],F82:AS82,0)))/COUNTIF(F82:AS82,"&lt;&gt;"))</f>
        <v/>
      </c>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30"/>
    </row>
    <row r="83" spans="1:45" ht="60" customHeight="1" x14ac:dyDescent="0.35">
      <c r="A83" s="227" t="s">
        <v>3079</v>
      </c>
      <c r="B83" s="214" t="s">
        <v>3135</v>
      </c>
      <c r="C83" s="215" t="s">
        <v>3136</v>
      </c>
      <c r="D83" s="217" t="s">
        <v>3137</v>
      </c>
      <c r="E83" s="219" t="str">
        <f>IF(COUNTIF(F83:AS83,"&lt;&gt;")=0,"",SUMPRODUCT(((Recommendations[ImplStatus]="Implemented")+(Recommendations[ImplStatus]="Compensated"))*ISNUMBER(MATCH(Recommendations[Id],F83:AS83,0)))/COUNTIF(F83:AS83,"&lt;&gt;"))</f>
        <v/>
      </c>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30"/>
    </row>
    <row r="84" spans="1:45" ht="60" customHeight="1" x14ac:dyDescent="0.35">
      <c r="A84" s="227" t="s">
        <v>3079</v>
      </c>
      <c r="B84" s="214" t="s">
        <v>3138</v>
      </c>
      <c r="C84" s="215" t="s">
        <v>3139</v>
      </c>
      <c r="D84" s="217" t="s">
        <v>3140</v>
      </c>
      <c r="E84" s="219" t="str">
        <f>IF(COUNTIF(F84:AS84,"&lt;&gt;")=0,"",SUMPRODUCT(((Recommendations[ImplStatus]="Implemented")+(Recommendations[ImplStatus]="Compensated"))*ISNUMBER(MATCH(Recommendations[Id],F84:AS84,0)))/COUNTIF(F84:AS84,"&lt;&gt;"))</f>
        <v/>
      </c>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30"/>
    </row>
    <row r="85" spans="1:45" ht="60" customHeight="1" x14ac:dyDescent="0.35">
      <c r="A85" s="227" t="s">
        <v>3079</v>
      </c>
      <c r="B85" s="214" t="s">
        <v>3141</v>
      </c>
      <c r="C85" s="215" t="s">
        <v>3142</v>
      </c>
      <c r="D85" s="217" t="s">
        <v>3143</v>
      </c>
      <c r="E85" s="219" t="str">
        <f>IF(COUNTIF(F85:AS85,"&lt;&gt;")=0,"",SUMPRODUCT(((Recommendations[ImplStatus]="Implemented")+(Recommendations[ImplStatus]="Compensated"))*ISNUMBER(MATCH(Recommendations[Id],F85:AS85,0)))/COUNTIF(F85:AS85,"&lt;&gt;"))</f>
        <v/>
      </c>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30"/>
    </row>
    <row r="86" spans="1:45" ht="60" customHeight="1" x14ac:dyDescent="0.35">
      <c r="A86" s="227" t="s">
        <v>3079</v>
      </c>
      <c r="B86" s="214" t="s">
        <v>3144</v>
      </c>
      <c r="C86" s="215" t="s">
        <v>3145</v>
      </c>
      <c r="D86" s="217" t="s">
        <v>3146</v>
      </c>
      <c r="E86" s="219" t="str">
        <f>IF(COUNTIF(F86:AS86,"&lt;&gt;")=0,"",SUMPRODUCT(((Recommendations[ImplStatus]="Implemented")+(Recommendations[ImplStatus]="Compensated"))*ISNUMBER(MATCH(Recommendations[Id],F86:AS86,0)))/COUNTIF(F86:AS86,"&lt;&gt;"))</f>
        <v/>
      </c>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30"/>
    </row>
    <row r="87" spans="1:45" ht="60" customHeight="1" x14ac:dyDescent="0.35">
      <c r="A87" s="227" t="s">
        <v>3079</v>
      </c>
      <c r="B87" s="214" t="s">
        <v>3147</v>
      </c>
      <c r="C87" s="215" t="s">
        <v>3148</v>
      </c>
      <c r="D87" s="217" t="s">
        <v>3149</v>
      </c>
      <c r="E87" s="219" t="str">
        <f>IF(COUNTIF(F87:AS87,"&lt;&gt;")=0,"",SUMPRODUCT(((Recommendations[ImplStatus]="Implemented")+(Recommendations[ImplStatus]="Compensated"))*ISNUMBER(MATCH(Recommendations[Id],F87:AS87,0)))/COUNTIF(F87:AS87,"&lt;&gt;"))</f>
        <v/>
      </c>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30"/>
    </row>
    <row r="88" spans="1:45" ht="60" customHeight="1" x14ac:dyDescent="0.35">
      <c r="A88" s="227" t="s">
        <v>3079</v>
      </c>
      <c r="B88" s="214" t="s">
        <v>3150</v>
      </c>
      <c r="C88" s="215" t="s">
        <v>3151</v>
      </c>
      <c r="D88" s="217" t="s">
        <v>3152</v>
      </c>
      <c r="E88" s="219" t="str">
        <f>IF(COUNTIF(F88:AS88,"&lt;&gt;")=0,"",SUMPRODUCT(((Recommendations[ImplStatus]="Implemented")+(Recommendations[ImplStatus]="Compensated"))*ISNUMBER(MATCH(Recommendations[Id],F88:AS88,0)))/COUNTIF(F88:AS88,"&lt;&gt;"))</f>
        <v/>
      </c>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30"/>
    </row>
    <row r="89" spans="1:45" ht="60" customHeight="1" x14ac:dyDescent="0.35">
      <c r="A89" s="227" t="s">
        <v>3079</v>
      </c>
      <c r="B89" s="214" t="s">
        <v>3153</v>
      </c>
      <c r="C89" s="215" t="s">
        <v>3154</v>
      </c>
      <c r="D89" s="217" t="s">
        <v>3155</v>
      </c>
      <c r="E89" s="219" t="str">
        <f>IF(COUNTIF(F89:AS89,"&lt;&gt;")=0,"",SUMPRODUCT(((Recommendations[ImplStatus]="Implemented")+(Recommendations[ImplStatus]="Compensated"))*ISNUMBER(MATCH(Recommendations[Id],F89:AS89,0)))/COUNTIF(F89:AS89,"&lt;&gt;"))</f>
        <v/>
      </c>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30"/>
    </row>
    <row r="90" spans="1:45" ht="60" customHeight="1" x14ac:dyDescent="0.35">
      <c r="A90" s="227" t="s">
        <v>3079</v>
      </c>
      <c r="B90" s="214" t="s">
        <v>3156</v>
      </c>
      <c r="C90" s="215" t="s">
        <v>3157</v>
      </c>
      <c r="D90" s="217" t="s">
        <v>3158</v>
      </c>
      <c r="E90" s="219" t="str">
        <f>IF(COUNTIF(F90:AS90,"&lt;&gt;")=0,"",SUMPRODUCT(((Recommendations[ImplStatus]="Implemented")+(Recommendations[ImplStatus]="Compensated"))*ISNUMBER(MATCH(Recommendations[Id],F90:AS90,0)))/COUNTIF(F90:AS90,"&lt;&gt;"))</f>
        <v/>
      </c>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30"/>
    </row>
    <row r="91" spans="1:45" ht="60" customHeight="1" x14ac:dyDescent="0.35">
      <c r="A91" s="227" t="s">
        <v>3079</v>
      </c>
      <c r="B91" s="214" t="s">
        <v>3159</v>
      </c>
      <c r="C91" s="215" t="s">
        <v>3160</v>
      </c>
      <c r="D91" s="217" t="s">
        <v>3161</v>
      </c>
      <c r="E91" s="219" t="str">
        <f>IF(COUNTIF(F91:AS91,"&lt;&gt;")=0,"",SUMPRODUCT(((Recommendations[ImplStatus]="Implemented")+(Recommendations[ImplStatus]="Compensated"))*ISNUMBER(MATCH(Recommendations[Id],F91:AS91,0)))/COUNTIF(F91:AS91,"&lt;&gt;"))</f>
        <v/>
      </c>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30"/>
    </row>
    <row r="92" spans="1:45" ht="60" customHeight="1" x14ac:dyDescent="0.35">
      <c r="A92" s="227" t="s">
        <v>3079</v>
      </c>
      <c r="B92" s="214" t="s">
        <v>3162</v>
      </c>
      <c r="C92" s="215" t="s">
        <v>3163</v>
      </c>
      <c r="D92" s="217" t="s">
        <v>3164</v>
      </c>
      <c r="E92" s="219" t="str">
        <f>IF(COUNTIF(F92:AS92,"&lt;&gt;")=0,"",SUMPRODUCT(((Recommendations[ImplStatus]="Implemented")+(Recommendations[ImplStatus]="Compensated"))*ISNUMBER(MATCH(Recommendations[Id],F92:AS92,0)))/COUNTIF(F92:AS92,"&lt;&gt;"))</f>
        <v/>
      </c>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30"/>
    </row>
    <row r="93" spans="1:45" ht="60" customHeight="1" x14ac:dyDescent="0.35">
      <c r="A93" s="227" t="s">
        <v>3079</v>
      </c>
      <c r="B93" s="214" t="s">
        <v>3165</v>
      </c>
      <c r="C93" s="215" t="s">
        <v>3166</v>
      </c>
      <c r="D93" s="217" t="s">
        <v>3167</v>
      </c>
      <c r="E93" s="219" t="str">
        <f>IF(COUNTIF(F93:AS93,"&lt;&gt;")=0,"",SUMPRODUCT(((Recommendations[ImplStatus]="Implemented")+(Recommendations[ImplStatus]="Compensated"))*ISNUMBER(MATCH(Recommendations[Id],F93:AS93,0)))/COUNTIF(F93:AS93,"&lt;&gt;"))</f>
        <v/>
      </c>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30"/>
    </row>
    <row r="94" spans="1:45" ht="60" customHeight="1" x14ac:dyDescent="0.35">
      <c r="A94" s="227" t="s">
        <v>3079</v>
      </c>
      <c r="B94" s="214" t="s">
        <v>3168</v>
      </c>
      <c r="C94" s="215" t="s">
        <v>3169</v>
      </c>
      <c r="D94" s="217" t="s">
        <v>3170</v>
      </c>
      <c r="E94" s="219" t="str">
        <f>IF(COUNTIF(F94:AS94,"&lt;&gt;")=0,"",SUMPRODUCT(((Recommendations[ImplStatus]="Implemented")+(Recommendations[ImplStatus]="Compensated"))*ISNUMBER(MATCH(Recommendations[Id],F94:AS94,0)))/COUNTIF(F94:AS94,"&lt;&gt;"))</f>
        <v/>
      </c>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30"/>
    </row>
    <row r="95" spans="1:45" ht="60" customHeight="1" x14ac:dyDescent="0.35">
      <c r="A95" s="227" t="s">
        <v>3079</v>
      </c>
      <c r="B95" s="214" t="s">
        <v>3171</v>
      </c>
      <c r="C95" s="215" t="s">
        <v>3172</v>
      </c>
      <c r="D95" s="217" t="s">
        <v>3173</v>
      </c>
      <c r="E95" s="219" t="str">
        <f>IF(COUNTIF(F95:AS95,"&lt;&gt;")=0,"",SUMPRODUCT(((Recommendations[ImplStatus]="Implemented")+(Recommendations[ImplStatus]="Compensated"))*ISNUMBER(MATCH(Recommendations[Id],F95:AS95,0)))/COUNTIF(F95:AS95,"&lt;&gt;"))</f>
        <v/>
      </c>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30"/>
    </row>
    <row r="96" spans="1:45" ht="60" customHeight="1" x14ac:dyDescent="0.35">
      <c r="A96" s="227" t="s">
        <v>3079</v>
      </c>
      <c r="B96" s="214" t="s">
        <v>3174</v>
      </c>
      <c r="C96" s="215" t="s">
        <v>3175</v>
      </c>
      <c r="D96" s="217" t="s">
        <v>3176</v>
      </c>
      <c r="E96" s="219" t="str">
        <f>IF(COUNTIF(F96:AS96,"&lt;&gt;")=0,"",SUMPRODUCT(((Recommendations[ImplStatus]="Implemented")+(Recommendations[ImplStatus]="Compensated"))*ISNUMBER(MATCH(Recommendations[Id],F96:AS96,0)))/COUNTIF(F96:AS96,"&lt;&gt;"))</f>
        <v/>
      </c>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30"/>
    </row>
    <row r="97" spans="1:45" ht="60" customHeight="1" x14ac:dyDescent="0.35">
      <c r="A97" s="227" t="s">
        <v>3079</v>
      </c>
      <c r="B97" s="214" t="s">
        <v>3177</v>
      </c>
      <c r="C97" s="215" t="s">
        <v>3178</v>
      </c>
      <c r="D97" s="217" t="s">
        <v>3179</v>
      </c>
      <c r="E97" s="219" t="str">
        <f>IF(COUNTIF(F97:AS97,"&lt;&gt;")=0,"",SUMPRODUCT(((Recommendations[ImplStatus]="Implemented")+(Recommendations[ImplStatus]="Compensated"))*ISNUMBER(MATCH(Recommendations[Id],F97:AS97,0)))/COUNTIF(F97:AS97,"&lt;&gt;"))</f>
        <v/>
      </c>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30"/>
    </row>
    <row r="98" spans="1:45" ht="60" customHeight="1" x14ac:dyDescent="0.35">
      <c r="A98" s="228" t="s">
        <v>3079</v>
      </c>
      <c r="B98" s="221" t="s">
        <v>3180</v>
      </c>
      <c r="C98" s="222" t="s">
        <v>3181</v>
      </c>
      <c r="D98" s="223" t="s">
        <v>3182</v>
      </c>
      <c r="E98" s="224" t="str">
        <f>IF(COUNTIF(F98:AS98,"&lt;&gt;")=0,"",SUMPRODUCT(((Recommendations[ImplStatus]="Implemented")+(Recommendations[ImplStatus]="Compensated"))*ISNUMBER(MATCH(Recommendations[Id],F98:AS98,0)))/COUNTIF(F98:AS98,"&lt;&gt;"))</f>
        <v/>
      </c>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1"/>
    </row>
    <row r="102" spans="1:45" ht="32" customHeight="1" x14ac:dyDescent="0.35">
      <c r="A102" s="291" t="s">
        <v>124</v>
      </c>
      <c r="B102" s="291"/>
      <c r="C102" s="291"/>
      <c r="D102" s="291"/>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IFERROR(INDEX('Recommendations'!$H$2:$H$22, MATCH(F2,'Recommendations'!$A$2:$A$22,0))="Implemented", FALSE))</xm:f>
            <x14:dxf>
              <font>
                <color rgb="FF000000"/>
              </font>
              <fill>
                <patternFill>
                  <bgColor rgb="FF3C7D22"/>
                </patternFill>
              </fill>
            </x14:dxf>
          </x14:cfRule>
          <x14:cfRule type="expression" priority="2" id="{00000000-000E-0000-0900-000002000000}">
            <xm:f>AND(F2&lt;&gt;"", IFERROR(INDEX('Recommendations'!$H$2:$H$22, MATCH(F2,'Recommendations'!$A$2:$A$22,0))="Compensated", FALSE))</xm:f>
            <x14:dxf>
              <font>
                <color rgb="FF000000"/>
              </font>
              <fill>
                <patternFill>
                  <bgColor rgb="FFC6E0B4"/>
                </patternFill>
              </fill>
            </x14:dxf>
          </x14:cfRule>
          <x14:cfRule type="expression" priority="3" id="{00000000-000E-0000-0900-000003000000}">
            <xm:f>AND(F2&lt;&gt;"", IFERROR(INDEX('Recommendations'!$H$2:$H$22, MATCH(F2,'Recommendations'!$A$2:$A$22,0))="Testing", FALSE))</xm:f>
            <x14:dxf>
              <font>
                <color rgb="FF000000"/>
              </font>
              <fill>
                <patternFill>
                  <bgColor rgb="FFFFC000"/>
                </patternFill>
              </fill>
            </x14:dxf>
          </x14:cfRule>
          <x14:cfRule type="expression" priority="4" id="{00000000-000E-0000-0900-000004000000}">
            <xm:f>AND(F2&lt;&gt;"", IFERROR(INDEX('Recommendations'!$H$2:$H$22, MATCH(F2,'Recommendations'!$A$2:$A$22,0))="Failed", FALSE))</xm:f>
            <x14:dxf>
              <font>
                <color rgb="FF000000"/>
              </font>
              <fill>
                <patternFill>
                  <bgColor rgb="FFD82891"/>
                </patternFill>
              </fill>
            </x14:dxf>
          </x14:cfRule>
          <x14:cfRule type="expression" priority="5" id="{00000000-000E-0000-0900-000005000000}">
            <xm:f>AND(F2&lt;&gt;"", IFERROR(INDEX('Recommendations'!$H$2:$H$22, MATCH(F2,'Recommendations'!$A$2:$A$22,0))="Risk Accepted", FALSE))</xm:f>
            <x14:dxf>
              <font>
                <color rgb="FF000000"/>
              </font>
              <fill>
                <patternFill>
                  <bgColor rgb="FFD9D9D9"/>
                </patternFill>
              </fill>
            </x14:dxf>
          </x14:cfRule>
          <x14:cfRule type="expression" priority="6" id="{00000000-000E-0000-0900-000006000000}">
            <xm:f>AND(F2&lt;&gt;"", IFERROR(INDEX('Recommendations'!$H$2:$H$22, MATCH(F2,'Recommendations'!$A$2:$A$22,0))="N/A",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5" t="s">
        <v>0</v>
      </c>
      <c r="B1" s="256" t="s">
        <v>3183</v>
      </c>
      <c r="C1" s="256" t="s">
        <v>3184</v>
      </c>
      <c r="D1" s="256" t="s">
        <v>3185</v>
      </c>
      <c r="E1" s="256" t="s">
        <v>3186</v>
      </c>
      <c r="F1" s="256" t="s">
        <v>2012</v>
      </c>
      <c r="G1" s="256" t="s">
        <v>3187</v>
      </c>
      <c r="H1" s="256" t="s">
        <v>3188</v>
      </c>
      <c r="I1" s="256" t="s">
        <v>3189</v>
      </c>
      <c r="J1" s="256" t="s">
        <v>11</v>
      </c>
      <c r="K1" s="256" t="s">
        <v>378</v>
      </c>
      <c r="L1" s="256" t="s">
        <v>379</v>
      </c>
      <c r="M1" s="256" t="s">
        <v>380</v>
      </c>
      <c r="N1" s="256" t="s">
        <v>381</v>
      </c>
      <c r="O1" s="256" t="s">
        <v>382</v>
      </c>
      <c r="P1" s="256" t="s">
        <v>383</v>
      </c>
      <c r="Q1" s="256" t="s">
        <v>384</v>
      </c>
      <c r="R1" s="256" t="s">
        <v>385</v>
      </c>
      <c r="S1" s="256" t="s">
        <v>386</v>
      </c>
      <c r="T1" s="256" t="s">
        <v>387</v>
      </c>
      <c r="U1" s="256" t="s">
        <v>388</v>
      </c>
      <c r="V1" s="256" t="s">
        <v>389</v>
      </c>
      <c r="W1" s="256" t="s">
        <v>390</v>
      </c>
      <c r="X1" s="256" t="s">
        <v>391</v>
      </c>
      <c r="Y1" s="256" t="s">
        <v>392</v>
      </c>
      <c r="Z1" s="256" t="s">
        <v>393</v>
      </c>
      <c r="AA1" s="256" t="s">
        <v>394</v>
      </c>
      <c r="AB1" s="256" t="s">
        <v>395</v>
      </c>
      <c r="AC1" s="256" t="s">
        <v>396</v>
      </c>
      <c r="AD1" s="256" t="s">
        <v>397</v>
      </c>
      <c r="AE1" s="256" t="s">
        <v>398</v>
      </c>
      <c r="AF1" s="256" t="s">
        <v>399</v>
      </c>
      <c r="AG1" s="256" t="s">
        <v>400</v>
      </c>
      <c r="AH1" s="256" t="s">
        <v>401</v>
      </c>
      <c r="AI1" s="256" t="s">
        <v>402</v>
      </c>
      <c r="AJ1" s="256" t="s">
        <v>403</v>
      </c>
      <c r="AK1" s="256" t="s">
        <v>404</v>
      </c>
      <c r="AL1" s="256" t="s">
        <v>405</v>
      </c>
      <c r="AM1" s="256" t="s">
        <v>406</v>
      </c>
      <c r="AN1" s="256" t="s">
        <v>407</v>
      </c>
      <c r="AO1" s="256" t="s">
        <v>408</v>
      </c>
      <c r="AP1" s="256" t="s">
        <v>409</v>
      </c>
      <c r="AQ1" s="256" t="s">
        <v>410</v>
      </c>
      <c r="AR1" s="256" t="s">
        <v>411</v>
      </c>
      <c r="AS1" s="256" t="s">
        <v>412</v>
      </c>
      <c r="AT1" s="256" t="s">
        <v>413</v>
      </c>
      <c r="AU1" s="256" t="s">
        <v>414</v>
      </c>
      <c r="AV1" s="256" t="s">
        <v>415</v>
      </c>
      <c r="AW1" s="256" t="s">
        <v>416</v>
      </c>
      <c r="AX1" s="256" t="s">
        <v>417</v>
      </c>
      <c r="AY1" s="257" t="s">
        <v>418</v>
      </c>
    </row>
    <row r="2" spans="1:51" ht="60" customHeight="1" outlineLevel="1" x14ac:dyDescent="0.35">
      <c r="A2" s="247" t="s">
        <v>3190</v>
      </c>
      <c r="B2" s="235" t="s">
        <v>3191</v>
      </c>
      <c r="C2" s="235"/>
      <c r="D2" s="235"/>
      <c r="E2" s="235"/>
      <c r="F2" s="235"/>
      <c r="G2" s="235"/>
      <c r="H2" s="235"/>
      <c r="I2" s="235"/>
      <c r="J2" s="235"/>
      <c r="K2" s="238" t="str">
        <f>IF(COUNTIF(L2:AY2,"&lt;&gt;")=0,"",SUMPRODUCT(((Recommendations[ImplStatus]="Implemented")+(Recommendations[ImplStatus]="Compensated"))*ISNUMBER(MATCH(Recommendations[Id],L2:AY2,0)))/COUNTIF(L2:AY2,"&lt;&gt;"))</f>
        <v/>
      </c>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51"/>
    </row>
    <row r="3" spans="1:51" ht="60" customHeight="1" outlineLevel="1" x14ac:dyDescent="0.35">
      <c r="A3" s="248" t="s">
        <v>421</v>
      </c>
      <c r="B3" s="236" t="s">
        <v>3192</v>
      </c>
      <c r="C3" s="236"/>
      <c r="D3" s="236"/>
      <c r="E3" s="236"/>
      <c r="F3" s="236"/>
      <c r="G3" s="236"/>
      <c r="H3" s="236"/>
      <c r="I3" s="236"/>
      <c r="J3" s="236"/>
      <c r="K3" s="239" t="str">
        <f>IF(COUNTIF(L3:AY3,"&lt;&gt;")=0,"",SUMPRODUCT(((Recommendations[ImplStatus]="Implemented")+(Recommendations[ImplStatus]="Compensated"))*ISNUMBER(MATCH(Recommendations[Id],L3:AY3,0)))/COUNTIF(L3:AY3,"&lt;&gt;"))</f>
        <v/>
      </c>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52"/>
    </row>
    <row r="4" spans="1:51" ht="60" customHeight="1" x14ac:dyDescent="0.35">
      <c r="A4" s="249" t="s">
        <v>3193</v>
      </c>
      <c r="B4" s="237" t="s">
        <v>3194</v>
      </c>
      <c r="C4" s="237" t="s">
        <v>3195</v>
      </c>
      <c r="D4" s="237" t="s">
        <v>3196</v>
      </c>
      <c r="E4" s="237" t="s">
        <v>3197</v>
      </c>
      <c r="F4" s="237" t="s">
        <v>21</v>
      </c>
      <c r="G4" s="237" t="s">
        <v>21</v>
      </c>
      <c r="H4" s="237" t="s">
        <v>3198</v>
      </c>
      <c r="I4" s="237" t="s">
        <v>21</v>
      </c>
      <c r="J4" s="237" t="s">
        <v>3199</v>
      </c>
      <c r="K4" s="240" t="str">
        <f>IF(COUNTIF(L4:AY4,"&lt;&gt;")=0,"",SUMPRODUCT(((Recommendations[ImplStatus]="Implemented")+(Recommendations[ImplStatus]="Compensated"))*ISNUMBER(MATCH(Recommendations[Id],L4:AY4,0)))/COUNTIF(L4:AY4,"&lt;&gt;"))</f>
        <v/>
      </c>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53"/>
    </row>
    <row r="5" spans="1:51" ht="60" customHeight="1" x14ac:dyDescent="0.35">
      <c r="A5" s="249" t="s">
        <v>3200</v>
      </c>
      <c r="B5" s="237" t="s">
        <v>3201</v>
      </c>
      <c r="C5" s="237" t="s">
        <v>3202</v>
      </c>
      <c r="D5" s="237" t="s">
        <v>3203</v>
      </c>
      <c r="E5" s="237" t="s">
        <v>3204</v>
      </c>
      <c r="F5" s="237" t="s">
        <v>3205</v>
      </c>
      <c r="G5" s="237" t="s">
        <v>21</v>
      </c>
      <c r="H5" s="237" t="s">
        <v>3206</v>
      </c>
      <c r="I5" s="237" t="s">
        <v>21</v>
      </c>
      <c r="J5" s="237" t="s">
        <v>3207</v>
      </c>
      <c r="K5" s="240" t="str">
        <f>IF(COUNTIF(L5:AY5,"&lt;&gt;")=0,"",SUMPRODUCT(((Recommendations[ImplStatus]="Implemented")+(Recommendations[ImplStatus]="Compensated"))*ISNUMBER(MATCH(Recommendations[Id],L5:AY5,0)))/COUNTIF(L5:AY5,"&lt;&gt;"))</f>
        <v/>
      </c>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53"/>
    </row>
    <row r="6" spans="1:51" ht="60" customHeight="1" outlineLevel="1" x14ac:dyDescent="0.35">
      <c r="A6" s="248" t="s">
        <v>427</v>
      </c>
      <c r="B6" s="236" t="s">
        <v>3208</v>
      </c>
      <c r="C6" s="236"/>
      <c r="D6" s="236"/>
      <c r="E6" s="236"/>
      <c r="F6" s="236"/>
      <c r="G6" s="236"/>
      <c r="H6" s="236"/>
      <c r="I6" s="236"/>
      <c r="J6" s="236"/>
      <c r="K6" s="239" t="str">
        <f>IF(COUNTIF(L6:AY6,"&lt;&gt;")=0,"",SUMPRODUCT(((Recommendations[ImplStatus]="Implemented")+(Recommendations[ImplStatus]="Compensated"))*ISNUMBER(MATCH(Recommendations[Id],L6:AY6,0)))/COUNTIF(L6:AY6,"&lt;&gt;"))</f>
        <v/>
      </c>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52"/>
    </row>
    <row r="7" spans="1:51" ht="60" customHeight="1" x14ac:dyDescent="0.35">
      <c r="A7" s="249" t="s">
        <v>3209</v>
      </c>
      <c r="B7" s="237" t="s">
        <v>3210</v>
      </c>
      <c r="C7" s="237" t="s">
        <v>3211</v>
      </c>
      <c r="D7" s="237" t="s">
        <v>3212</v>
      </c>
      <c r="E7" s="237" t="s">
        <v>3204</v>
      </c>
      <c r="F7" s="237" t="s">
        <v>3213</v>
      </c>
      <c r="G7" s="237" t="s">
        <v>21</v>
      </c>
      <c r="H7" s="237" t="s">
        <v>3214</v>
      </c>
      <c r="I7" s="237" t="s">
        <v>21</v>
      </c>
      <c r="J7" s="237" t="s">
        <v>3215</v>
      </c>
      <c r="K7" s="240" t="str">
        <f>IF(COUNTIF(L7:AY7,"&lt;&gt;")=0,"",SUMPRODUCT(((Recommendations[ImplStatus]="Implemented")+(Recommendations[ImplStatus]="Compensated"))*ISNUMBER(MATCH(Recommendations[Id],L7:AY7,0)))/COUNTIF(L7:AY7,"&lt;&gt;"))</f>
        <v/>
      </c>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53"/>
    </row>
    <row r="8" spans="1:51" ht="60" customHeight="1" x14ac:dyDescent="0.35">
      <c r="A8" s="249" t="s">
        <v>3216</v>
      </c>
      <c r="B8" s="237" t="s">
        <v>3217</v>
      </c>
      <c r="C8" s="237" t="s">
        <v>3218</v>
      </c>
      <c r="D8" s="237" t="s">
        <v>3219</v>
      </c>
      <c r="E8" s="237" t="s">
        <v>21</v>
      </c>
      <c r="F8" s="237" t="s">
        <v>21</v>
      </c>
      <c r="G8" s="237" t="s">
        <v>21</v>
      </c>
      <c r="H8" s="237" t="s">
        <v>3220</v>
      </c>
      <c r="I8" s="237" t="s">
        <v>3221</v>
      </c>
      <c r="J8" s="237" t="s">
        <v>3222</v>
      </c>
      <c r="K8" s="240" t="str">
        <f>IF(COUNTIF(L8:AY8,"&lt;&gt;")=0,"",SUMPRODUCT(((Recommendations[ImplStatus]="Implemented")+(Recommendations[ImplStatus]="Compensated"))*ISNUMBER(MATCH(Recommendations[Id],L8:AY8,0)))/COUNTIF(L8:AY8,"&lt;&gt;"))</f>
        <v/>
      </c>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53"/>
    </row>
    <row r="9" spans="1:51" ht="60" customHeight="1" x14ac:dyDescent="0.35">
      <c r="A9" s="249" t="s">
        <v>3223</v>
      </c>
      <c r="B9" s="237" t="s">
        <v>3224</v>
      </c>
      <c r="C9" s="237" t="s">
        <v>3225</v>
      </c>
      <c r="D9" s="237" t="s">
        <v>3226</v>
      </c>
      <c r="E9" s="237" t="s">
        <v>21</v>
      </c>
      <c r="F9" s="237" t="s">
        <v>21</v>
      </c>
      <c r="G9" s="237" t="s">
        <v>21</v>
      </c>
      <c r="H9" s="237" t="s">
        <v>3227</v>
      </c>
      <c r="I9" s="237" t="s">
        <v>3228</v>
      </c>
      <c r="J9" s="237" t="s">
        <v>3229</v>
      </c>
      <c r="K9" s="240" t="str">
        <f>IF(COUNTIF(L9:AY9,"&lt;&gt;")=0,"",SUMPRODUCT(((Recommendations[ImplStatus]="Implemented")+(Recommendations[ImplStatus]="Compensated"))*ISNUMBER(MATCH(Recommendations[Id],L9:AY9,0)))/COUNTIF(L9:AY9,"&lt;&gt;"))</f>
        <v/>
      </c>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53"/>
    </row>
    <row r="10" spans="1:51" ht="60" customHeight="1" x14ac:dyDescent="0.35">
      <c r="A10" s="249" t="s">
        <v>3230</v>
      </c>
      <c r="B10" s="237" t="s">
        <v>3231</v>
      </c>
      <c r="C10" s="237" t="s">
        <v>3232</v>
      </c>
      <c r="D10" s="237" t="s">
        <v>3233</v>
      </c>
      <c r="E10" s="237" t="s">
        <v>21</v>
      </c>
      <c r="F10" s="237" t="s">
        <v>21</v>
      </c>
      <c r="G10" s="237" t="s">
        <v>21</v>
      </c>
      <c r="H10" s="237" t="s">
        <v>3234</v>
      </c>
      <c r="I10" s="237" t="s">
        <v>3235</v>
      </c>
      <c r="J10" s="237" t="s">
        <v>3236</v>
      </c>
      <c r="K10" s="240" t="str">
        <f>IF(COUNTIF(L10:AY10,"&lt;&gt;")=0,"",SUMPRODUCT(((Recommendations[ImplStatus]="Implemented")+(Recommendations[ImplStatus]="Compensated"))*ISNUMBER(MATCH(Recommendations[Id],L10:AY10,0)))/COUNTIF(L10:AY10,"&lt;&gt;"))</f>
        <v/>
      </c>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53"/>
    </row>
    <row r="11" spans="1:51" ht="60" customHeight="1" x14ac:dyDescent="0.35">
      <c r="A11" s="249" t="s">
        <v>3237</v>
      </c>
      <c r="B11" s="237" t="s">
        <v>3238</v>
      </c>
      <c r="C11" s="237" t="s">
        <v>3239</v>
      </c>
      <c r="D11" s="237" t="s">
        <v>3240</v>
      </c>
      <c r="E11" s="237" t="s">
        <v>21</v>
      </c>
      <c r="F11" s="237" t="s">
        <v>21</v>
      </c>
      <c r="G11" s="237" t="s">
        <v>21</v>
      </c>
      <c r="H11" s="237" t="s">
        <v>3241</v>
      </c>
      <c r="I11" s="237" t="s">
        <v>21</v>
      </c>
      <c r="J11" s="237" t="s">
        <v>3242</v>
      </c>
      <c r="K11" s="240">
        <f>IF(COUNTIF(L11:AY11,"&lt;&gt;")=0,"",SUMPRODUCT(((Recommendations[ImplStatus]="Implemented")+(Recommendations[ImplStatus]="Compensated"))*ISNUMBER(MATCH(Recommendations[Id],L11:AY11,0)))/COUNTIF(L11:AY11,"&lt;&gt;"))</f>
        <v>0</v>
      </c>
      <c r="L11" s="243" t="s">
        <v>67</v>
      </c>
      <c r="M11" s="243" t="s">
        <v>92</v>
      </c>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53"/>
    </row>
    <row r="12" spans="1:51" ht="60" customHeight="1" x14ac:dyDescent="0.35">
      <c r="A12" s="249" t="s">
        <v>3243</v>
      </c>
      <c r="B12" s="237" t="s">
        <v>3244</v>
      </c>
      <c r="C12" s="237" t="s">
        <v>3245</v>
      </c>
      <c r="D12" s="237" t="s">
        <v>3246</v>
      </c>
      <c r="E12" s="237" t="s">
        <v>21</v>
      </c>
      <c r="F12" s="237" t="s">
        <v>21</v>
      </c>
      <c r="G12" s="237" t="s">
        <v>3247</v>
      </c>
      <c r="H12" s="237" t="s">
        <v>3248</v>
      </c>
      <c r="I12" s="237" t="s">
        <v>21</v>
      </c>
      <c r="J12" s="237" t="s">
        <v>3249</v>
      </c>
      <c r="K12" s="240" t="str">
        <f>IF(COUNTIF(L12:AY12,"&lt;&gt;")=0,"",SUMPRODUCT(((Recommendations[ImplStatus]="Implemented")+(Recommendations[ImplStatus]="Compensated"))*ISNUMBER(MATCH(Recommendations[Id],L12:AY12,0)))/COUNTIF(L12:AY12,"&lt;&gt;"))</f>
        <v/>
      </c>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53"/>
    </row>
    <row r="13" spans="1:51" ht="60" customHeight="1" x14ac:dyDescent="0.35">
      <c r="A13" s="249" t="s">
        <v>3250</v>
      </c>
      <c r="B13" s="237" t="s">
        <v>3251</v>
      </c>
      <c r="C13" s="237" t="s">
        <v>3252</v>
      </c>
      <c r="D13" s="237" t="s">
        <v>3253</v>
      </c>
      <c r="E13" s="237" t="s">
        <v>21</v>
      </c>
      <c r="F13" s="237" t="s">
        <v>21</v>
      </c>
      <c r="G13" s="237" t="s">
        <v>21</v>
      </c>
      <c r="H13" s="237" t="s">
        <v>3254</v>
      </c>
      <c r="I13" s="237" t="s">
        <v>21</v>
      </c>
      <c r="J13" s="237" t="s">
        <v>3255</v>
      </c>
      <c r="K13" s="240" t="str">
        <f>IF(COUNTIF(L13:AY13,"&lt;&gt;")=0,"",SUMPRODUCT(((Recommendations[ImplStatus]="Implemented")+(Recommendations[ImplStatus]="Compensated"))*ISNUMBER(MATCH(Recommendations[Id],L13:AY13,0)))/COUNTIF(L13:AY13,"&lt;&gt;"))</f>
        <v/>
      </c>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53"/>
    </row>
    <row r="14" spans="1:51" ht="60" customHeight="1" x14ac:dyDescent="0.35">
      <c r="A14" s="249" t="s">
        <v>3256</v>
      </c>
      <c r="B14" s="237" t="s">
        <v>3257</v>
      </c>
      <c r="C14" s="237" t="s">
        <v>3258</v>
      </c>
      <c r="D14" s="237" t="s">
        <v>3259</v>
      </c>
      <c r="E14" s="237" t="s">
        <v>21</v>
      </c>
      <c r="F14" s="237" t="s">
        <v>3260</v>
      </c>
      <c r="G14" s="237" t="s">
        <v>21</v>
      </c>
      <c r="H14" s="237" t="s">
        <v>3261</v>
      </c>
      <c r="I14" s="237" t="s">
        <v>3262</v>
      </c>
      <c r="J14" s="237" t="s">
        <v>3263</v>
      </c>
      <c r="K14" s="240" t="str">
        <f>IF(COUNTIF(L14:AY14,"&lt;&gt;")=0,"",SUMPRODUCT(((Recommendations[ImplStatus]="Implemented")+(Recommendations[ImplStatus]="Compensated"))*ISNUMBER(MATCH(Recommendations[Id],L14:AY14,0)))/COUNTIF(L14:AY14,"&lt;&gt;"))</f>
        <v/>
      </c>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53"/>
    </row>
    <row r="15" spans="1:51" ht="60" customHeight="1" outlineLevel="1" x14ac:dyDescent="0.35">
      <c r="A15" s="248" t="s">
        <v>432</v>
      </c>
      <c r="B15" s="236" t="s">
        <v>3264</v>
      </c>
      <c r="C15" s="236"/>
      <c r="D15" s="236"/>
      <c r="E15" s="236"/>
      <c r="F15" s="236"/>
      <c r="G15" s="236"/>
      <c r="H15" s="236"/>
      <c r="I15" s="236"/>
      <c r="J15" s="236"/>
      <c r="K15" s="239" t="str">
        <f>IF(COUNTIF(L15:AY15,"&lt;&gt;")=0,"",SUMPRODUCT(((Recommendations[ImplStatus]="Implemented")+(Recommendations[ImplStatus]="Compensated"))*ISNUMBER(MATCH(Recommendations[Id],L15:AY15,0)))/COUNTIF(L15:AY15,"&lt;&gt;"))</f>
        <v/>
      </c>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52"/>
    </row>
    <row r="16" spans="1:51" ht="60" customHeight="1" x14ac:dyDescent="0.35">
      <c r="A16" s="249" t="s">
        <v>3265</v>
      </c>
      <c r="B16" s="237" t="s">
        <v>3266</v>
      </c>
      <c r="C16" s="237" t="s">
        <v>3267</v>
      </c>
      <c r="D16" s="237" t="s">
        <v>3259</v>
      </c>
      <c r="E16" s="237" t="s">
        <v>21</v>
      </c>
      <c r="F16" s="237" t="s">
        <v>3268</v>
      </c>
      <c r="G16" s="237" t="s">
        <v>21</v>
      </c>
      <c r="H16" s="237" t="s">
        <v>3269</v>
      </c>
      <c r="I16" s="237" t="s">
        <v>21</v>
      </c>
      <c r="J16" s="237" t="s">
        <v>3270</v>
      </c>
      <c r="K16" s="240" t="str">
        <f>IF(COUNTIF(L16:AY16,"&lt;&gt;")=0,"",SUMPRODUCT(((Recommendations[ImplStatus]="Implemented")+(Recommendations[ImplStatus]="Compensated"))*ISNUMBER(MATCH(Recommendations[Id],L16:AY16,0)))/COUNTIF(L16:AY16,"&lt;&gt;"))</f>
        <v/>
      </c>
      <c r="L16" s="243"/>
      <c r="M16" s="243"/>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53"/>
    </row>
    <row r="17" spans="1:51" ht="60" customHeight="1" x14ac:dyDescent="0.35">
      <c r="A17" s="249" t="s">
        <v>3271</v>
      </c>
      <c r="B17" s="237" t="s">
        <v>3272</v>
      </c>
      <c r="C17" s="237" t="s">
        <v>3273</v>
      </c>
      <c r="D17" s="237" t="s">
        <v>3274</v>
      </c>
      <c r="E17" s="237" t="s">
        <v>21</v>
      </c>
      <c r="F17" s="237" t="s">
        <v>3268</v>
      </c>
      <c r="G17" s="237" t="s">
        <v>21</v>
      </c>
      <c r="H17" s="237" t="s">
        <v>3275</v>
      </c>
      <c r="I17" s="237" t="s">
        <v>21</v>
      </c>
      <c r="J17" s="237" t="s">
        <v>3276</v>
      </c>
      <c r="K17" s="240" t="str">
        <f>IF(COUNTIF(L17:AY17,"&lt;&gt;")=0,"",SUMPRODUCT(((Recommendations[ImplStatus]="Implemented")+(Recommendations[ImplStatus]="Compensated"))*ISNUMBER(MATCH(Recommendations[Id],L17:AY17,0)))/COUNTIF(L17:AY17,"&lt;&gt;"))</f>
        <v/>
      </c>
      <c r="L17" s="243"/>
      <c r="M17" s="243"/>
      <c r="N17" s="243"/>
      <c r="O17" s="243"/>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53"/>
    </row>
    <row r="18" spans="1:51" ht="60" customHeight="1" x14ac:dyDescent="0.35">
      <c r="A18" s="249" t="s">
        <v>3277</v>
      </c>
      <c r="B18" s="237" t="s">
        <v>3278</v>
      </c>
      <c r="C18" s="237" t="s">
        <v>3279</v>
      </c>
      <c r="D18" s="237" t="s">
        <v>21</v>
      </c>
      <c r="E18" s="237" t="s">
        <v>21</v>
      </c>
      <c r="F18" s="237" t="s">
        <v>21</v>
      </c>
      <c r="G18" s="237" t="s">
        <v>21</v>
      </c>
      <c r="H18" s="237" t="s">
        <v>3280</v>
      </c>
      <c r="I18" s="237" t="s">
        <v>21</v>
      </c>
      <c r="J18" s="237" t="s">
        <v>3281</v>
      </c>
      <c r="K18" s="240" t="str">
        <f>IF(COUNTIF(L18:AY18,"&lt;&gt;")=0,"",SUMPRODUCT(((Recommendations[ImplStatus]="Implemented")+(Recommendations[ImplStatus]="Compensated"))*ISNUMBER(MATCH(Recommendations[Id],L18:AY18,0)))/COUNTIF(L18:AY18,"&lt;&gt;"))</f>
        <v/>
      </c>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53"/>
    </row>
    <row r="19" spans="1:51" ht="60" customHeight="1" outlineLevel="1" x14ac:dyDescent="0.35">
      <c r="A19" s="248" t="s">
        <v>437</v>
      </c>
      <c r="B19" s="236" t="s">
        <v>3282</v>
      </c>
      <c r="C19" s="236"/>
      <c r="D19" s="236"/>
      <c r="E19" s="236"/>
      <c r="F19" s="236"/>
      <c r="G19" s="236"/>
      <c r="H19" s="236"/>
      <c r="I19" s="236"/>
      <c r="J19" s="236"/>
      <c r="K19" s="239" t="str">
        <f>IF(COUNTIF(L19:AY19,"&lt;&gt;")=0,"",SUMPRODUCT(((Recommendations[ImplStatus]="Implemented")+(Recommendations[ImplStatus]="Compensated"))*ISNUMBER(MATCH(Recommendations[Id],L19:AY19,0)))/COUNTIF(L19:AY19,"&lt;&gt;"))</f>
        <v/>
      </c>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52"/>
    </row>
    <row r="20" spans="1:51" ht="60" customHeight="1" x14ac:dyDescent="0.35">
      <c r="A20" s="249" t="s">
        <v>3283</v>
      </c>
      <c r="B20" s="237" t="s">
        <v>3284</v>
      </c>
      <c r="C20" s="237" t="s">
        <v>3285</v>
      </c>
      <c r="D20" s="237" t="s">
        <v>3286</v>
      </c>
      <c r="E20" s="237" t="s">
        <v>21</v>
      </c>
      <c r="F20" s="237" t="s">
        <v>3287</v>
      </c>
      <c r="G20" s="237" t="s">
        <v>21</v>
      </c>
      <c r="H20" s="237" t="s">
        <v>3288</v>
      </c>
      <c r="I20" s="237" t="s">
        <v>21</v>
      </c>
      <c r="J20" s="237" t="s">
        <v>3289</v>
      </c>
      <c r="K20" s="240" t="str">
        <f>IF(COUNTIF(L20:AY20,"&lt;&gt;")=0,"",SUMPRODUCT(((Recommendations[ImplStatus]="Implemented")+(Recommendations[ImplStatus]="Compensated"))*ISNUMBER(MATCH(Recommendations[Id],L20:AY20,0)))/COUNTIF(L20:AY20,"&lt;&gt;"))</f>
        <v/>
      </c>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53"/>
    </row>
    <row r="21" spans="1:51" ht="60" customHeight="1" x14ac:dyDescent="0.35">
      <c r="A21" s="249" t="s">
        <v>3290</v>
      </c>
      <c r="B21" s="237" t="s">
        <v>3291</v>
      </c>
      <c r="C21" s="237" t="s">
        <v>3292</v>
      </c>
      <c r="D21" s="237" t="s">
        <v>3293</v>
      </c>
      <c r="E21" s="237" t="s">
        <v>3294</v>
      </c>
      <c r="F21" s="237" t="s">
        <v>21</v>
      </c>
      <c r="G21" s="237" t="s">
        <v>21</v>
      </c>
      <c r="H21" s="237" t="s">
        <v>3295</v>
      </c>
      <c r="I21" s="237" t="s">
        <v>3296</v>
      </c>
      <c r="J21" s="237" t="s">
        <v>3297</v>
      </c>
      <c r="K21" s="240" t="str">
        <f>IF(COUNTIF(L21:AY21,"&lt;&gt;")=0,"",SUMPRODUCT(((Recommendations[ImplStatus]="Implemented")+(Recommendations[ImplStatus]="Compensated"))*ISNUMBER(MATCH(Recommendations[Id],L21:AY21,0)))/COUNTIF(L21:AY21,"&lt;&gt;"))</f>
        <v/>
      </c>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53"/>
    </row>
    <row r="22" spans="1:51" ht="60" customHeight="1" x14ac:dyDescent="0.35">
      <c r="A22" s="249" t="s">
        <v>3298</v>
      </c>
      <c r="B22" s="237" t="s">
        <v>3299</v>
      </c>
      <c r="C22" s="237" t="s">
        <v>3300</v>
      </c>
      <c r="D22" s="237" t="s">
        <v>3301</v>
      </c>
      <c r="E22" s="237" t="s">
        <v>21</v>
      </c>
      <c r="F22" s="237" t="s">
        <v>3302</v>
      </c>
      <c r="G22" s="237" t="s">
        <v>21</v>
      </c>
      <c r="H22" s="237" t="s">
        <v>3303</v>
      </c>
      <c r="I22" s="237" t="s">
        <v>21</v>
      </c>
      <c r="J22" s="237" t="s">
        <v>3304</v>
      </c>
      <c r="K22" s="240" t="str">
        <f>IF(COUNTIF(L22:AY22,"&lt;&gt;")=0,"",SUMPRODUCT(((Recommendations[ImplStatus]="Implemented")+(Recommendations[ImplStatus]="Compensated"))*ISNUMBER(MATCH(Recommendations[Id],L22:AY22,0)))/COUNTIF(L22:AY22,"&lt;&gt;"))</f>
        <v/>
      </c>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53"/>
    </row>
    <row r="23" spans="1:51" ht="60" customHeight="1" x14ac:dyDescent="0.35">
      <c r="A23" s="249" t="s">
        <v>3305</v>
      </c>
      <c r="B23" s="237" t="s">
        <v>3306</v>
      </c>
      <c r="C23" s="237" t="s">
        <v>3307</v>
      </c>
      <c r="D23" s="237" t="s">
        <v>3308</v>
      </c>
      <c r="E23" s="237" t="s">
        <v>21</v>
      </c>
      <c r="F23" s="237" t="s">
        <v>21</v>
      </c>
      <c r="G23" s="237" t="s">
        <v>21</v>
      </c>
      <c r="H23" s="237" t="s">
        <v>3309</v>
      </c>
      <c r="I23" s="237" t="s">
        <v>3310</v>
      </c>
      <c r="J23" s="237" t="s">
        <v>3311</v>
      </c>
      <c r="K23" s="240" t="str">
        <f>IF(COUNTIF(L23:AY23,"&lt;&gt;")=0,"",SUMPRODUCT(((Recommendations[ImplStatus]="Implemented")+(Recommendations[ImplStatus]="Compensated"))*ISNUMBER(MATCH(Recommendations[Id],L23:AY23,0)))/COUNTIF(L23:AY23,"&lt;&gt;"))</f>
        <v/>
      </c>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53"/>
    </row>
    <row r="24" spans="1:51" ht="60" customHeight="1" x14ac:dyDescent="0.35">
      <c r="A24" s="249" t="s">
        <v>3312</v>
      </c>
      <c r="B24" s="237" t="s">
        <v>3313</v>
      </c>
      <c r="C24" s="237" t="s">
        <v>3314</v>
      </c>
      <c r="D24" s="237" t="s">
        <v>3308</v>
      </c>
      <c r="E24" s="237" t="s">
        <v>21</v>
      </c>
      <c r="F24" s="237" t="s">
        <v>3315</v>
      </c>
      <c r="G24" s="237" t="s">
        <v>21</v>
      </c>
      <c r="H24" s="237" t="s">
        <v>3316</v>
      </c>
      <c r="I24" s="237" t="s">
        <v>21</v>
      </c>
      <c r="J24" s="237" t="s">
        <v>3317</v>
      </c>
      <c r="K24" s="240" t="str">
        <f>IF(COUNTIF(L24:AY24,"&lt;&gt;")=0,"",SUMPRODUCT(((Recommendations[ImplStatus]="Implemented")+(Recommendations[ImplStatus]="Compensated"))*ISNUMBER(MATCH(Recommendations[Id],L24:AY24,0)))/COUNTIF(L24:AY24,"&lt;&gt;"))</f>
        <v/>
      </c>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53"/>
    </row>
    <row r="25" spans="1:51" ht="60" customHeight="1" outlineLevel="1" x14ac:dyDescent="0.35">
      <c r="A25" s="248" t="s">
        <v>441</v>
      </c>
      <c r="B25" s="236" t="s">
        <v>3318</v>
      </c>
      <c r="C25" s="236"/>
      <c r="D25" s="236"/>
      <c r="E25" s="236"/>
      <c r="F25" s="236"/>
      <c r="G25" s="236"/>
      <c r="H25" s="236"/>
      <c r="I25" s="236"/>
      <c r="J25" s="236"/>
      <c r="K25" s="239" t="str">
        <f>IF(COUNTIF(L25:AY25,"&lt;&gt;")=0,"",SUMPRODUCT(((Recommendations[ImplStatus]="Implemented")+(Recommendations[ImplStatus]="Compensated"))*ISNUMBER(MATCH(Recommendations[Id],L25:AY25,0)))/COUNTIF(L25:AY25,"&lt;&gt;"))</f>
        <v/>
      </c>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52"/>
    </row>
    <row r="26" spans="1:51" ht="60" customHeight="1" x14ac:dyDescent="0.35">
      <c r="A26" s="249" t="s">
        <v>3319</v>
      </c>
      <c r="B26" s="237" t="s">
        <v>3320</v>
      </c>
      <c r="C26" s="237" t="s">
        <v>3321</v>
      </c>
      <c r="D26" s="237" t="s">
        <v>3322</v>
      </c>
      <c r="E26" s="237" t="s">
        <v>21</v>
      </c>
      <c r="F26" s="237" t="s">
        <v>3323</v>
      </c>
      <c r="G26" s="237" t="s">
        <v>21</v>
      </c>
      <c r="H26" s="237" t="s">
        <v>3324</v>
      </c>
      <c r="I26" s="237" t="s">
        <v>21</v>
      </c>
      <c r="J26" s="237" t="s">
        <v>3325</v>
      </c>
      <c r="K26" s="240" t="str">
        <f>IF(COUNTIF(L26:AY26,"&lt;&gt;")=0,"",SUMPRODUCT(((Recommendations[ImplStatus]="Implemented")+(Recommendations[ImplStatus]="Compensated"))*ISNUMBER(MATCH(Recommendations[Id],L26:AY26,0)))/COUNTIF(L26:AY26,"&lt;&gt;"))</f>
        <v/>
      </c>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53"/>
    </row>
    <row r="27" spans="1:51" ht="60" customHeight="1" outlineLevel="1" x14ac:dyDescent="0.35">
      <c r="A27" s="247" t="s">
        <v>3326</v>
      </c>
      <c r="B27" s="235" t="s">
        <v>3327</v>
      </c>
      <c r="C27" s="235"/>
      <c r="D27" s="235"/>
      <c r="E27" s="235"/>
      <c r="F27" s="235"/>
      <c r="G27" s="235"/>
      <c r="H27" s="235"/>
      <c r="I27" s="235"/>
      <c r="J27" s="235"/>
      <c r="K27" s="238" t="str">
        <f>IF(COUNTIF(L27:AY27,"&lt;&gt;")=0,"",SUMPRODUCT(((Recommendations[ImplStatus]="Implemented")+(Recommendations[ImplStatus]="Compensated"))*ISNUMBER(MATCH(Recommendations[Id],L27:AY27,0)))/COUNTIF(L27:AY27,"&lt;&gt;"))</f>
        <v/>
      </c>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51"/>
    </row>
    <row r="28" spans="1:51" ht="60" customHeight="1" outlineLevel="1" x14ac:dyDescent="0.35">
      <c r="A28" s="248" t="s">
        <v>447</v>
      </c>
      <c r="B28" s="236" t="s">
        <v>3328</v>
      </c>
      <c r="C28" s="236"/>
      <c r="D28" s="236"/>
      <c r="E28" s="236"/>
      <c r="F28" s="236"/>
      <c r="G28" s="236"/>
      <c r="H28" s="236"/>
      <c r="I28" s="236"/>
      <c r="J28" s="236"/>
      <c r="K28" s="239" t="str">
        <f>IF(COUNTIF(L28:AY28,"&lt;&gt;")=0,"",SUMPRODUCT(((Recommendations[ImplStatus]="Implemented")+(Recommendations[ImplStatus]="Compensated"))*ISNUMBER(MATCH(Recommendations[Id],L28:AY28,0)))/COUNTIF(L28:AY28,"&lt;&gt;"))</f>
        <v/>
      </c>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52"/>
    </row>
    <row r="29" spans="1:51" ht="60" customHeight="1" x14ac:dyDescent="0.35">
      <c r="A29" s="249" t="s">
        <v>3329</v>
      </c>
      <c r="B29" s="237" t="s">
        <v>3330</v>
      </c>
      <c r="C29" s="237" t="s">
        <v>3331</v>
      </c>
      <c r="D29" s="237" t="s">
        <v>3332</v>
      </c>
      <c r="E29" s="237" t="s">
        <v>3333</v>
      </c>
      <c r="F29" s="237" t="s">
        <v>21</v>
      </c>
      <c r="G29" s="237" t="s">
        <v>21</v>
      </c>
      <c r="H29" s="237" t="s">
        <v>3334</v>
      </c>
      <c r="I29" s="237" t="s">
        <v>21</v>
      </c>
      <c r="J29" s="237" t="s">
        <v>3335</v>
      </c>
      <c r="K29" s="240" t="str">
        <f>IF(COUNTIF(L29:AY29,"&lt;&gt;")=0,"",SUMPRODUCT(((Recommendations[ImplStatus]="Implemented")+(Recommendations[ImplStatus]="Compensated"))*ISNUMBER(MATCH(Recommendations[Id],L29:AY29,0)))/COUNTIF(L29:AY29,"&lt;&gt;"))</f>
        <v/>
      </c>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53"/>
    </row>
    <row r="30" spans="1:51" ht="60" customHeight="1" x14ac:dyDescent="0.35">
      <c r="A30" s="249" t="s">
        <v>3336</v>
      </c>
      <c r="B30" s="237" t="s">
        <v>3337</v>
      </c>
      <c r="C30" s="237" t="s">
        <v>3202</v>
      </c>
      <c r="D30" s="237" t="s">
        <v>3203</v>
      </c>
      <c r="E30" s="237" t="s">
        <v>21</v>
      </c>
      <c r="F30" s="237" t="s">
        <v>3205</v>
      </c>
      <c r="G30" s="237" t="s">
        <v>21</v>
      </c>
      <c r="H30" s="237" t="s">
        <v>3338</v>
      </c>
      <c r="I30" s="237" t="s">
        <v>21</v>
      </c>
      <c r="J30" s="237" t="s">
        <v>3339</v>
      </c>
      <c r="K30" s="240" t="str">
        <f>IF(COUNTIF(L30:AY30,"&lt;&gt;")=0,"",SUMPRODUCT(((Recommendations[ImplStatus]="Implemented")+(Recommendations[ImplStatus]="Compensated"))*ISNUMBER(MATCH(Recommendations[Id],L30:AY30,0)))/COUNTIF(L30:AY30,"&lt;&gt;"))</f>
        <v/>
      </c>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53"/>
    </row>
    <row r="31" spans="1:51" ht="60" customHeight="1" outlineLevel="1" x14ac:dyDescent="0.35">
      <c r="A31" s="248" t="s">
        <v>452</v>
      </c>
      <c r="B31" s="236" t="s">
        <v>3340</v>
      </c>
      <c r="C31" s="236"/>
      <c r="D31" s="236"/>
      <c r="E31" s="236"/>
      <c r="F31" s="236"/>
      <c r="G31" s="236"/>
      <c r="H31" s="236"/>
      <c r="I31" s="236"/>
      <c r="J31" s="236"/>
      <c r="K31" s="239" t="str">
        <f>IF(COUNTIF(L31:AY31,"&lt;&gt;")=0,"",SUMPRODUCT(((Recommendations[ImplStatus]="Implemented")+(Recommendations[ImplStatus]="Compensated"))*ISNUMBER(MATCH(Recommendations[Id],L31:AY31,0)))/COUNTIF(L31:AY31,"&lt;&gt;"))</f>
        <v/>
      </c>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52"/>
    </row>
    <row r="32" spans="1:51" ht="60" customHeight="1" x14ac:dyDescent="0.35">
      <c r="A32" s="249" t="s">
        <v>3341</v>
      </c>
      <c r="B32" s="237" t="s">
        <v>3342</v>
      </c>
      <c r="C32" s="237" t="s">
        <v>3343</v>
      </c>
      <c r="D32" s="237" t="s">
        <v>3344</v>
      </c>
      <c r="E32" s="237" t="s">
        <v>21</v>
      </c>
      <c r="F32" s="237" t="s">
        <v>21</v>
      </c>
      <c r="G32" s="237" t="s">
        <v>3345</v>
      </c>
      <c r="H32" s="237" t="s">
        <v>3346</v>
      </c>
      <c r="I32" s="237" t="s">
        <v>21</v>
      </c>
      <c r="J32" s="237" t="s">
        <v>3347</v>
      </c>
      <c r="K32" s="240">
        <f>IF(COUNTIF(L32:AY32,"&lt;&gt;")=0,"",SUMPRODUCT(((Recommendations[ImplStatus]="Implemented")+(Recommendations[ImplStatus]="Compensated"))*ISNUMBER(MATCH(Recommendations[Id],L32:AY32,0)))/COUNTIF(L32:AY32,"&lt;&gt;"))</f>
        <v>0</v>
      </c>
      <c r="L32" s="243" t="s">
        <v>119</v>
      </c>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53"/>
    </row>
    <row r="33" spans="1:51" ht="60" customHeight="1" x14ac:dyDescent="0.35">
      <c r="A33" s="249" t="s">
        <v>3348</v>
      </c>
      <c r="B33" s="237" t="s">
        <v>3349</v>
      </c>
      <c r="C33" s="237" t="s">
        <v>3350</v>
      </c>
      <c r="D33" s="237" t="s">
        <v>3351</v>
      </c>
      <c r="E33" s="237" t="s">
        <v>21</v>
      </c>
      <c r="F33" s="237" t="s">
        <v>3352</v>
      </c>
      <c r="G33" s="237" t="s">
        <v>21</v>
      </c>
      <c r="H33" s="237" t="s">
        <v>3353</v>
      </c>
      <c r="I33" s="237" t="s">
        <v>3354</v>
      </c>
      <c r="J33" s="237" t="s">
        <v>3355</v>
      </c>
      <c r="K33" s="240" t="str">
        <f>IF(COUNTIF(L33:AY33,"&lt;&gt;")=0,"",SUMPRODUCT(((Recommendations[ImplStatus]="Implemented")+(Recommendations[ImplStatus]="Compensated"))*ISNUMBER(MATCH(Recommendations[Id],L33:AY33,0)))/COUNTIF(L33:AY33,"&lt;&gt;"))</f>
        <v/>
      </c>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53"/>
    </row>
    <row r="34" spans="1:51" ht="60" customHeight="1" x14ac:dyDescent="0.35">
      <c r="A34" s="249" t="s">
        <v>3356</v>
      </c>
      <c r="B34" s="237" t="s">
        <v>3357</v>
      </c>
      <c r="C34" s="237" t="s">
        <v>3358</v>
      </c>
      <c r="D34" s="237" t="s">
        <v>3359</v>
      </c>
      <c r="E34" s="237" t="s">
        <v>21</v>
      </c>
      <c r="F34" s="237" t="s">
        <v>21</v>
      </c>
      <c r="G34" s="237" t="s">
        <v>21</v>
      </c>
      <c r="H34" s="237" t="s">
        <v>3360</v>
      </c>
      <c r="I34" s="237" t="s">
        <v>21</v>
      </c>
      <c r="J34" s="237" t="s">
        <v>3361</v>
      </c>
      <c r="K34" s="240" t="str">
        <f>IF(COUNTIF(L34:AY34,"&lt;&gt;")=0,"",SUMPRODUCT(((Recommendations[ImplStatus]="Implemented")+(Recommendations[ImplStatus]="Compensated"))*ISNUMBER(MATCH(Recommendations[Id],L34:AY34,0)))/COUNTIF(L34:AY34,"&lt;&gt;"))</f>
        <v/>
      </c>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53"/>
    </row>
    <row r="35" spans="1:51" ht="60" customHeight="1" x14ac:dyDescent="0.35">
      <c r="A35" s="249" t="s">
        <v>3362</v>
      </c>
      <c r="B35" s="237" t="s">
        <v>3363</v>
      </c>
      <c r="C35" s="237" t="s">
        <v>3364</v>
      </c>
      <c r="D35" s="237" t="s">
        <v>3365</v>
      </c>
      <c r="E35" s="237" t="s">
        <v>21</v>
      </c>
      <c r="F35" s="237" t="s">
        <v>3366</v>
      </c>
      <c r="G35" s="237" t="s">
        <v>21</v>
      </c>
      <c r="H35" s="237" t="s">
        <v>3367</v>
      </c>
      <c r="I35" s="237" t="s">
        <v>21</v>
      </c>
      <c r="J35" s="237" t="s">
        <v>3368</v>
      </c>
      <c r="K35" s="240">
        <f>IF(COUNTIF(L35:AY35,"&lt;&gt;")=0,"",SUMPRODUCT(((Recommendations[ImplStatus]="Implemented")+(Recommendations[ImplStatus]="Compensated"))*ISNUMBER(MATCH(Recommendations[Id],L35:AY35,0)))/COUNTIF(L35:AY35,"&lt;&gt;"))</f>
        <v>0</v>
      </c>
      <c r="L35" s="243" t="s">
        <v>87</v>
      </c>
      <c r="M35" s="243" t="s">
        <v>114</v>
      </c>
      <c r="N35" s="243"/>
      <c r="O35" s="243"/>
      <c r="P35" s="243"/>
      <c r="Q35" s="243"/>
      <c r="R35" s="243"/>
      <c r="S35" s="243"/>
      <c r="T35" s="243"/>
      <c r="U35" s="243"/>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53"/>
    </row>
    <row r="36" spans="1:51" ht="60" customHeight="1" x14ac:dyDescent="0.35">
      <c r="A36" s="249" t="s">
        <v>3369</v>
      </c>
      <c r="B36" s="237" t="s">
        <v>3370</v>
      </c>
      <c r="C36" s="237" t="s">
        <v>3371</v>
      </c>
      <c r="D36" s="237" t="s">
        <v>3372</v>
      </c>
      <c r="E36" s="237" t="s">
        <v>21</v>
      </c>
      <c r="F36" s="237" t="s">
        <v>21</v>
      </c>
      <c r="G36" s="237" t="s">
        <v>3373</v>
      </c>
      <c r="H36" s="237" t="s">
        <v>3374</v>
      </c>
      <c r="I36" s="237" t="s">
        <v>21</v>
      </c>
      <c r="J36" s="237" t="s">
        <v>3375</v>
      </c>
      <c r="K36" s="240" t="str">
        <f>IF(COUNTIF(L36:AY36,"&lt;&gt;")=0,"",SUMPRODUCT(((Recommendations[ImplStatus]="Implemented")+(Recommendations[ImplStatus]="Compensated"))*ISNUMBER(MATCH(Recommendations[Id],L36:AY36,0)))/COUNTIF(L36:AY36,"&lt;&gt;"))</f>
        <v/>
      </c>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53"/>
    </row>
    <row r="37" spans="1:51" ht="60" customHeight="1" x14ac:dyDescent="0.35">
      <c r="A37" s="249" t="s">
        <v>3376</v>
      </c>
      <c r="B37" s="237" t="s">
        <v>3377</v>
      </c>
      <c r="C37" s="237" t="s">
        <v>3378</v>
      </c>
      <c r="D37" s="237" t="s">
        <v>3379</v>
      </c>
      <c r="E37" s="237" t="s">
        <v>21</v>
      </c>
      <c r="F37" s="237" t="s">
        <v>3380</v>
      </c>
      <c r="G37" s="237" t="s">
        <v>3381</v>
      </c>
      <c r="H37" s="237" t="s">
        <v>3382</v>
      </c>
      <c r="I37" s="237" t="s">
        <v>21</v>
      </c>
      <c r="J37" s="237" t="s">
        <v>3383</v>
      </c>
      <c r="K37" s="240" t="str">
        <f>IF(COUNTIF(L37:AY37,"&lt;&gt;")=0,"",SUMPRODUCT(((Recommendations[ImplStatus]="Implemented")+(Recommendations[ImplStatus]="Compensated"))*ISNUMBER(MATCH(Recommendations[Id],L37:AY37,0)))/COUNTIF(L37:AY37,"&lt;&gt;"))</f>
        <v/>
      </c>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53"/>
    </row>
    <row r="38" spans="1:51" ht="60" customHeight="1" x14ac:dyDescent="0.35">
      <c r="A38" s="249" t="s">
        <v>3384</v>
      </c>
      <c r="B38" s="237" t="s">
        <v>3385</v>
      </c>
      <c r="C38" s="237" t="s">
        <v>3386</v>
      </c>
      <c r="D38" s="237" t="s">
        <v>3387</v>
      </c>
      <c r="E38" s="237" t="s">
        <v>21</v>
      </c>
      <c r="F38" s="237" t="s">
        <v>3380</v>
      </c>
      <c r="G38" s="237" t="s">
        <v>3388</v>
      </c>
      <c r="H38" s="237" t="s">
        <v>3389</v>
      </c>
      <c r="I38" s="237" t="s">
        <v>3390</v>
      </c>
      <c r="J38" s="237" t="s">
        <v>3391</v>
      </c>
      <c r="K38" s="240" t="str">
        <f>IF(COUNTIF(L38:AY38,"&lt;&gt;")=0,"",SUMPRODUCT(((Recommendations[ImplStatus]="Implemented")+(Recommendations[ImplStatus]="Compensated"))*ISNUMBER(MATCH(Recommendations[Id],L38:AY38,0)))/COUNTIF(L38:AY38,"&lt;&gt;"))</f>
        <v/>
      </c>
      <c r="L38" s="243"/>
      <c r="M38" s="243"/>
      <c r="N38" s="243"/>
      <c r="O38" s="243"/>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53"/>
    </row>
    <row r="39" spans="1:51" ht="60" customHeight="1" outlineLevel="1" x14ac:dyDescent="0.35">
      <c r="A39" s="248" t="s">
        <v>456</v>
      </c>
      <c r="B39" s="236" t="s">
        <v>3392</v>
      </c>
      <c r="C39" s="236"/>
      <c r="D39" s="236"/>
      <c r="E39" s="236"/>
      <c r="F39" s="236"/>
      <c r="G39" s="236"/>
      <c r="H39" s="236"/>
      <c r="I39" s="236"/>
      <c r="J39" s="236"/>
      <c r="K39" s="239" t="str">
        <f>IF(COUNTIF(L39:AY39,"&lt;&gt;")=0,"",SUMPRODUCT(((Recommendations[ImplStatus]="Implemented")+(Recommendations[ImplStatus]="Compensated"))*ISNUMBER(MATCH(Recommendations[Id],L39:AY39,0)))/COUNTIF(L39:AY39,"&lt;&gt;"))</f>
        <v/>
      </c>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52"/>
    </row>
    <row r="40" spans="1:51" ht="60" customHeight="1" x14ac:dyDescent="0.35">
      <c r="A40" s="249" t="s">
        <v>3393</v>
      </c>
      <c r="B40" s="237" t="s">
        <v>3394</v>
      </c>
      <c r="C40" s="237" t="s">
        <v>3395</v>
      </c>
      <c r="D40" s="237" t="s">
        <v>3396</v>
      </c>
      <c r="E40" s="237" t="s">
        <v>21</v>
      </c>
      <c r="F40" s="237" t="s">
        <v>21</v>
      </c>
      <c r="G40" s="237" t="s">
        <v>21</v>
      </c>
      <c r="H40" s="237" t="s">
        <v>3397</v>
      </c>
      <c r="I40" s="237" t="s">
        <v>3398</v>
      </c>
      <c r="J40" s="237" t="s">
        <v>3399</v>
      </c>
      <c r="K40" s="240" t="str">
        <f>IF(COUNTIF(L40:AY40,"&lt;&gt;")=0,"",SUMPRODUCT(((Recommendations[ImplStatus]="Implemented")+(Recommendations[ImplStatus]="Compensated"))*ISNUMBER(MATCH(Recommendations[Id],L40:AY40,0)))/COUNTIF(L40:AY40,"&lt;&gt;"))</f>
        <v/>
      </c>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53"/>
    </row>
    <row r="41" spans="1:51" ht="60" customHeight="1" x14ac:dyDescent="0.35">
      <c r="A41" s="249" t="s">
        <v>3400</v>
      </c>
      <c r="B41" s="237" t="s">
        <v>3401</v>
      </c>
      <c r="C41" s="237" t="s">
        <v>3402</v>
      </c>
      <c r="D41" s="237" t="s">
        <v>21</v>
      </c>
      <c r="E41" s="237" t="s">
        <v>21</v>
      </c>
      <c r="F41" s="237" t="s">
        <v>21</v>
      </c>
      <c r="G41" s="237" t="s">
        <v>21</v>
      </c>
      <c r="H41" s="237" t="s">
        <v>3403</v>
      </c>
      <c r="I41" s="237" t="s">
        <v>21</v>
      </c>
      <c r="J41" s="237" t="s">
        <v>3404</v>
      </c>
      <c r="K41" s="240" t="str">
        <f>IF(COUNTIF(L41:AY41,"&lt;&gt;")=0,"",SUMPRODUCT(((Recommendations[ImplStatus]="Implemented")+(Recommendations[ImplStatus]="Compensated"))*ISNUMBER(MATCH(Recommendations[Id],L41:AY41,0)))/COUNTIF(L41:AY41,"&lt;&gt;"))</f>
        <v/>
      </c>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53"/>
    </row>
    <row r="42" spans="1:51" ht="60" customHeight="1" outlineLevel="1" x14ac:dyDescent="0.35">
      <c r="A42" s="247" t="s">
        <v>3405</v>
      </c>
      <c r="B42" s="235" t="s">
        <v>3406</v>
      </c>
      <c r="C42" s="235"/>
      <c r="D42" s="235"/>
      <c r="E42" s="235"/>
      <c r="F42" s="235"/>
      <c r="G42" s="235"/>
      <c r="H42" s="235"/>
      <c r="I42" s="235"/>
      <c r="J42" s="235"/>
      <c r="K42" s="238" t="str">
        <f>IF(COUNTIF(L42:AY42,"&lt;&gt;")=0,"",SUMPRODUCT(((Recommendations[ImplStatus]="Implemented")+(Recommendations[ImplStatus]="Compensated"))*ISNUMBER(MATCH(Recommendations[Id],L42:AY42,0)))/COUNTIF(L42:AY42,"&lt;&gt;"))</f>
        <v/>
      </c>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51"/>
    </row>
    <row r="43" spans="1:51" ht="60" customHeight="1" outlineLevel="1" x14ac:dyDescent="0.35">
      <c r="A43" s="248" t="s">
        <v>479</v>
      </c>
      <c r="B43" s="236" t="s">
        <v>3407</v>
      </c>
      <c r="C43" s="236"/>
      <c r="D43" s="236"/>
      <c r="E43" s="236"/>
      <c r="F43" s="236"/>
      <c r="G43" s="236"/>
      <c r="H43" s="236"/>
      <c r="I43" s="236"/>
      <c r="J43" s="236"/>
      <c r="K43" s="239" t="str">
        <f>IF(COUNTIF(L43:AY43,"&lt;&gt;")=0,"",SUMPRODUCT(((Recommendations[ImplStatus]="Implemented")+(Recommendations[ImplStatus]="Compensated"))*ISNUMBER(MATCH(Recommendations[Id],L43:AY43,0)))/COUNTIF(L43:AY43,"&lt;&gt;"))</f>
        <v/>
      </c>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52"/>
    </row>
    <row r="44" spans="1:51" ht="60" customHeight="1" x14ac:dyDescent="0.35">
      <c r="A44" s="249" t="s">
        <v>3408</v>
      </c>
      <c r="B44" s="237" t="s">
        <v>3409</v>
      </c>
      <c r="C44" s="237" t="s">
        <v>3410</v>
      </c>
      <c r="D44" s="237" t="s">
        <v>3411</v>
      </c>
      <c r="E44" s="237" t="s">
        <v>3197</v>
      </c>
      <c r="F44" s="237" t="s">
        <v>21</v>
      </c>
      <c r="G44" s="237" t="s">
        <v>21</v>
      </c>
      <c r="H44" s="237" t="s">
        <v>3412</v>
      </c>
      <c r="I44" s="237" t="s">
        <v>21</v>
      </c>
      <c r="J44" s="237" t="s">
        <v>3413</v>
      </c>
      <c r="K44" s="240" t="str">
        <f>IF(COUNTIF(L44:AY44,"&lt;&gt;")=0,"",SUMPRODUCT(((Recommendations[ImplStatus]="Implemented")+(Recommendations[ImplStatus]="Compensated"))*ISNUMBER(MATCH(Recommendations[Id],L44:AY44,0)))/COUNTIF(L44:AY44,"&lt;&gt;"))</f>
        <v/>
      </c>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53"/>
    </row>
    <row r="45" spans="1:51" ht="60" customHeight="1" x14ac:dyDescent="0.35">
      <c r="A45" s="249" t="s">
        <v>3414</v>
      </c>
      <c r="B45" s="237" t="s">
        <v>3415</v>
      </c>
      <c r="C45" s="237" t="s">
        <v>3416</v>
      </c>
      <c r="D45" s="237" t="s">
        <v>3203</v>
      </c>
      <c r="E45" s="237" t="s">
        <v>21</v>
      </c>
      <c r="F45" s="237" t="s">
        <v>3205</v>
      </c>
      <c r="G45" s="237" t="s">
        <v>21</v>
      </c>
      <c r="H45" s="237" t="s">
        <v>3417</v>
      </c>
      <c r="I45" s="237" t="s">
        <v>21</v>
      </c>
      <c r="J45" s="237" t="s">
        <v>3418</v>
      </c>
      <c r="K45" s="240" t="str">
        <f>IF(COUNTIF(L45:AY45,"&lt;&gt;")=0,"",SUMPRODUCT(((Recommendations[ImplStatus]="Implemented")+(Recommendations[ImplStatus]="Compensated"))*ISNUMBER(MATCH(Recommendations[Id],L45:AY45,0)))/COUNTIF(L45:AY45,"&lt;&gt;"))</f>
        <v/>
      </c>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53"/>
    </row>
    <row r="46" spans="1:51" ht="60" customHeight="1" outlineLevel="1" x14ac:dyDescent="0.35">
      <c r="A46" s="248" t="s">
        <v>485</v>
      </c>
      <c r="B46" s="236" t="s">
        <v>3419</v>
      </c>
      <c r="C46" s="236"/>
      <c r="D46" s="236"/>
      <c r="E46" s="236"/>
      <c r="F46" s="236"/>
      <c r="G46" s="236"/>
      <c r="H46" s="236"/>
      <c r="I46" s="236"/>
      <c r="J46" s="236"/>
      <c r="K46" s="239" t="str">
        <f>IF(COUNTIF(L46:AY46,"&lt;&gt;")=0,"",SUMPRODUCT(((Recommendations[ImplStatus]="Implemented")+(Recommendations[ImplStatus]="Compensated"))*ISNUMBER(MATCH(Recommendations[Id],L46:AY46,0)))/COUNTIF(L46:AY46,"&lt;&gt;"))</f>
        <v/>
      </c>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52"/>
    </row>
    <row r="47" spans="1:51" ht="60" customHeight="1" x14ac:dyDescent="0.35">
      <c r="A47" s="249" t="s">
        <v>3420</v>
      </c>
      <c r="B47" s="237" t="s">
        <v>3421</v>
      </c>
      <c r="C47" s="237" t="s">
        <v>3422</v>
      </c>
      <c r="D47" s="237" t="s">
        <v>3423</v>
      </c>
      <c r="E47" s="237" t="s">
        <v>21</v>
      </c>
      <c r="F47" s="237" t="s">
        <v>3424</v>
      </c>
      <c r="G47" s="237" t="s">
        <v>3425</v>
      </c>
      <c r="H47" s="237" t="s">
        <v>3426</v>
      </c>
      <c r="I47" s="237" t="s">
        <v>3427</v>
      </c>
      <c r="J47" s="237" t="s">
        <v>3428</v>
      </c>
      <c r="K47" s="240" t="str">
        <f>IF(COUNTIF(L47:AY47,"&lt;&gt;")=0,"",SUMPRODUCT(((Recommendations[ImplStatus]="Implemented")+(Recommendations[ImplStatus]="Compensated"))*ISNUMBER(MATCH(Recommendations[Id],L47:AY47,0)))/COUNTIF(L47:AY47,"&lt;&gt;"))</f>
        <v/>
      </c>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53"/>
    </row>
    <row r="48" spans="1:51" ht="60" customHeight="1" outlineLevel="1" x14ac:dyDescent="0.35">
      <c r="A48" s="248" t="s">
        <v>489</v>
      </c>
      <c r="B48" s="236" t="s">
        <v>3429</v>
      </c>
      <c r="C48" s="236"/>
      <c r="D48" s="236"/>
      <c r="E48" s="236"/>
      <c r="F48" s="236"/>
      <c r="G48" s="236"/>
      <c r="H48" s="236"/>
      <c r="I48" s="236"/>
      <c r="J48" s="236"/>
      <c r="K48" s="239" t="str">
        <f>IF(COUNTIF(L48:AY48,"&lt;&gt;")=0,"",SUMPRODUCT(((Recommendations[ImplStatus]="Implemented")+(Recommendations[ImplStatus]="Compensated"))*ISNUMBER(MATCH(Recommendations[Id],L48:AY48,0)))/COUNTIF(L48:AY48,"&lt;&gt;"))</f>
        <v/>
      </c>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52"/>
    </row>
    <row r="49" spans="1:51" ht="60" customHeight="1" x14ac:dyDescent="0.35">
      <c r="A49" s="249" t="s">
        <v>3430</v>
      </c>
      <c r="B49" s="237" t="s">
        <v>3431</v>
      </c>
      <c r="C49" s="237" t="s">
        <v>3432</v>
      </c>
      <c r="D49" s="237" t="s">
        <v>3433</v>
      </c>
      <c r="E49" s="237" t="s">
        <v>3434</v>
      </c>
      <c r="F49" s="237" t="s">
        <v>21</v>
      </c>
      <c r="G49" s="237" t="s">
        <v>21</v>
      </c>
      <c r="H49" s="237" t="s">
        <v>3435</v>
      </c>
      <c r="I49" s="237" t="s">
        <v>3436</v>
      </c>
      <c r="J49" s="237" t="s">
        <v>3437</v>
      </c>
      <c r="K49" s="240" t="str">
        <f>IF(COUNTIF(L49:AY49,"&lt;&gt;")=0,"",SUMPRODUCT(((Recommendations[ImplStatus]="Implemented")+(Recommendations[ImplStatus]="Compensated"))*ISNUMBER(MATCH(Recommendations[Id],L49:AY49,0)))/COUNTIF(L49:AY49,"&lt;&gt;"))</f>
        <v/>
      </c>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53"/>
    </row>
    <row r="50" spans="1:51" ht="60" customHeight="1" x14ac:dyDescent="0.35">
      <c r="A50" s="249" t="s">
        <v>3438</v>
      </c>
      <c r="B50" s="237" t="s">
        <v>3439</v>
      </c>
      <c r="C50" s="237" t="s">
        <v>3440</v>
      </c>
      <c r="D50" s="237" t="s">
        <v>21</v>
      </c>
      <c r="E50" s="237" t="s">
        <v>3441</v>
      </c>
      <c r="F50" s="237" t="s">
        <v>3442</v>
      </c>
      <c r="G50" s="237" t="s">
        <v>21</v>
      </c>
      <c r="H50" s="237" t="s">
        <v>3435</v>
      </c>
      <c r="I50" s="237" t="s">
        <v>3443</v>
      </c>
      <c r="J50" s="237" t="s">
        <v>3444</v>
      </c>
      <c r="K50" s="240" t="str">
        <f>IF(COUNTIF(L50:AY50,"&lt;&gt;")=0,"",SUMPRODUCT(((Recommendations[ImplStatus]="Implemented")+(Recommendations[ImplStatus]="Compensated"))*ISNUMBER(MATCH(Recommendations[Id],L50:AY50,0)))/COUNTIF(L50:AY50,"&lt;&gt;"))</f>
        <v/>
      </c>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53"/>
    </row>
    <row r="51" spans="1:51" ht="60" customHeight="1" x14ac:dyDescent="0.35">
      <c r="A51" s="249" t="s">
        <v>3445</v>
      </c>
      <c r="B51" s="237" t="s">
        <v>3446</v>
      </c>
      <c r="C51" s="237" t="s">
        <v>3447</v>
      </c>
      <c r="D51" s="237" t="s">
        <v>21</v>
      </c>
      <c r="E51" s="237" t="s">
        <v>21</v>
      </c>
      <c r="F51" s="237" t="s">
        <v>3448</v>
      </c>
      <c r="G51" s="237" t="s">
        <v>21</v>
      </c>
      <c r="H51" s="237" t="s">
        <v>3435</v>
      </c>
      <c r="I51" s="237" t="s">
        <v>3449</v>
      </c>
      <c r="J51" s="237" t="s">
        <v>3450</v>
      </c>
      <c r="K51" s="240" t="str">
        <f>IF(COUNTIF(L51:AY51,"&lt;&gt;")=0,"",SUMPRODUCT(((Recommendations[ImplStatus]="Implemented")+(Recommendations[ImplStatus]="Compensated"))*ISNUMBER(MATCH(Recommendations[Id],L51:AY51,0)))/COUNTIF(L51:AY51,"&lt;&gt;"))</f>
        <v/>
      </c>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53"/>
    </row>
    <row r="52" spans="1:51" ht="60" customHeight="1" x14ac:dyDescent="0.35">
      <c r="A52" s="249" t="s">
        <v>3451</v>
      </c>
      <c r="B52" s="237" t="s">
        <v>3452</v>
      </c>
      <c r="C52" s="237" t="s">
        <v>3453</v>
      </c>
      <c r="D52" s="237" t="s">
        <v>21</v>
      </c>
      <c r="E52" s="237" t="s">
        <v>21</v>
      </c>
      <c r="F52" s="237" t="s">
        <v>3454</v>
      </c>
      <c r="G52" s="237" t="s">
        <v>21</v>
      </c>
      <c r="H52" s="237" t="s">
        <v>3435</v>
      </c>
      <c r="I52" s="237" t="s">
        <v>3455</v>
      </c>
      <c r="J52" s="237" t="s">
        <v>3456</v>
      </c>
      <c r="K52" s="240" t="str">
        <f>IF(COUNTIF(L52:AY52,"&lt;&gt;")=0,"",SUMPRODUCT(((Recommendations[ImplStatus]="Implemented")+(Recommendations[ImplStatus]="Compensated"))*ISNUMBER(MATCH(Recommendations[Id],L52:AY52,0)))/COUNTIF(L52:AY52,"&lt;&gt;"))</f>
        <v/>
      </c>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53"/>
    </row>
    <row r="53" spans="1:51" ht="60" customHeight="1" x14ac:dyDescent="0.35">
      <c r="A53" s="249" t="s">
        <v>3457</v>
      </c>
      <c r="B53" s="237" t="s">
        <v>3458</v>
      </c>
      <c r="C53" s="237" t="s">
        <v>3459</v>
      </c>
      <c r="D53" s="237" t="s">
        <v>3460</v>
      </c>
      <c r="E53" s="237" t="s">
        <v>3461</v>
      </c>
      <c r="F53" s="237" t="s">
        <v>21</v>
      </c>
      <c r="G53" s="237" t="s">
        <v>21</v>
      </c>
      <c r="H53" s="237" t="s">
        <v>3462</v>
      </c>
      <c r="I53" s="237" t="s">
        <v>21</v>
      </c>
      <c r="J53" s="237" t="s">
        <v>3463</v>
      </c>
      <c r="K53" s="240" t="str">
        <f>IF(COUNTIF(L53:AY53,"&lt;&gt;")=0,"",SUMPRODUCT(((Recommendations[ImplStatus]="Implemented")+(Recommendations[ImplStatus]="Compensated"))*ISNUMBER(MATCH(Recommendations[Id],L53:AY53,0)))/COUNTIF(L53:AY53,"&lt;&gt;"))</f>
        <v/>
      </c>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53"/>
    </row>
    <row r="54" spans="1:51" ht="60" customHeight="1" x14ac:dyDescent="0.35">
      <c r="A54" s="249" t="s">
        <v>3464</v>
      </c>
      <c r="B54" s="237" t="s">
        <v>3465</v>
      </c>
      <c r="C54" s="237" t="s">
        <v>3459</v>
      </c>
      <c r="D54" s="237" t="s">
        <v>3460</v>
      </c>
      <c r="E54" s="237" t="s">
        <v>21</v>
      </c>
      <c r="F54" s="237" t="s">
        <v>21</v>
      </c>
      <c r="G54" s="237" t="s">
        <v>21</v>
      </c>
      <c r="H54" s="237" t="s">
        <v>3466</v>
      </c>
      <c r="I54" s="237" t="s">
        <v>3467</v>
      </c>
      <c r="J54" s="237" t="s">
        <v>3468</v>
      </c>
      <c r="K54" s="240" t="str">
        <f>IF(COUNTIF(L54:AY54,"&lt;&gt;")=0,"",SUMPRODUCT(((Recommendations[ImplStatus]="Implemented")+(Recommendations[ImplStatus]="Compensated"))*ISNUMBER(MATCH(Recommendations[Id],L54:AY54,0)))/COUNTIF(L54:AY54,"&lt;&gt;"))</f>
        <v/>
      </c>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53"/>
    </row>
    <row r="55" spans="1:51" ht="60" customHeight="1" outlineLevel="1" x14ac:dyDescent="0.35">
      <c r="A55" s="248" t="s">
        <v>493</v>
      </c>
      <c r="B55" s="236" t="s">
        <v>3469</v>
      </c>
      <c r="C55" s="236"/>
      <c r="D55" s="236"/>
      <c r="E55" s="236"/>
      <c r="F55" s="236"/>
      <c r="G55" s="236"/>
      <c r="H55" s="236"/>
      <c r="I55" s="236"/>
      <c r="J55" s="236"/>
      <c r="K55" s="239" t="str">
        <f>IF(COUNTIF(L55:AY55,"&lt;&gt;")=0,"",SUMPRODUCT(((Recommendations[ImplStatus]="Implemented")+(Recommendations[ImplStatus]="Compensated"))*ISNUMBER(MATCH(Recommendations[Id],L55:AY55,0)))/COUNTIF(L55:AY55,"&lt;&gt;"))</f>
        <v/>
      </c>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52"/>
    </row>
    <row r="56" spans="1:51" ht="60" customHeight="1" x14ac:dyDescent="0.35">
      <c r="A56" s="249" t="s">
        <v>3470</v>
      </c>
      <c r="B56" s="237" t="s">
        <v>3471</v>
      </c>
      <c r="C56" s="237" t="s">
        <v>3472</v>
      </c>
      <c r="D56" s="237" t="s">
        <v>3473</v>
      </c>
      <c r="E56" s="237" t="s">
        <v>3474</v>
      </c>
      <c r="F56" s="237" t="s">
        <v>21</v>
      </c>
      <c r="G56" s="237" t="s">
        <v>3475</v>
      </c>
      <c r="H56" s="237" t="s">
        <v>21</v>
      </c>
      <c r="I56" s="237" t="s">
        <v>21</v>
      </c>
      <c r="J56" s="237" t="s">
        <v>3476</v>
      </c>
      <c r="K56" s="240" t="str">
        <f>IF(COUNTIF(L56:AY56,"&lt;&gt;")=0,"",SUMPRODUCT(((Recommendations[ImplStatus]="Implemented")+(Recommendations[ImplStatus]="Compensated"))*ISNUMBER(MATCH(Recommendations[Id],L56:AY56,0)))/COUNTIF(L56:AY56,"&lt;&gt;"))</f>
        <v/>
      </c>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53"/>
    </row>
    <row r="57" spans="1:51" ht="60" customHeight="1" x14ac:dyDescent="0.35">
      <c r="A57" s="249" t="s">
        <v>3477</v>
      </c>
      <c r="B57" s="237" t="s">
        <v>3478</v>
      </c>
      <c r="C57" s="237" t="s">
        <v>3479</v>
      </c>
      <c r="D57" s="237" t="s">
        <v>3480</v>
      </c>
      <c r="E57" s="237" t="s">
        <v>3481</v>
      </c>
      <c r="F57" s="237" t="s">
        <v>21</v>
      </c>
      <c r="G57" s="237" t="s">
        <v>3482</v>
      </c>
      <c r="H57" s="237" t="s">
        <v>3483</v>
      </c>
      <c r="I57" s="237" t="s">
        <v>21</v>
      </c>
      <c r="J57" s="237" t="s">
        <v>3484</v>
      </c>
      <c r="K57" s="240" t="str">
        <f>IF(COUNTIF(L57:AY57,"&lt;&gt;")=0,"",SUMPRODUCT(((Recommendations[ImplStatus]="Implemented")+(Recommendations[ImplStatus]="Compensated"))*ISNUMBER(MATCH(Recommendations[Id],L57:AY57,0)))/COUNTIF(L57:AY57,"&lt;&gt;"))</f>
        <v/>
      </c>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53"/>
    </row>
    <row r="58" spans="1:51" ht="60" customHeight="1" outlineLevel="1" x14ac:dyDescent="0.35">
      <c r="A58" s="248" t="s">
        <v>497</v>
      </c>
      <c r="B58" s="236" t="s">
        <v>3485</v>
      </c>
      <c r="C58" s="236"/>
      <c r="D58" s="236"/>
      <c r="E58" s="236"/>
      <c r="F58" s="236"/>
      <c r="G58" s="236"/>
      <c r="H58" s="236"/>
      <c r="I58" s="236"/>
      <c r="J58" s="236"/>
      <c r="K58" s="239" t="str">
        <f>IF(COUNTIF(L58:AY58,"&lt;&gt;")=0,"",SUMPRODUCT(((Recommendations[ImplStatus]="Implemented")+(Recommendations[ImplStatus]="Compensated"))*ISNUMBER(MATCH(Recommendations[Id],L58:AY58,0)))/COUNTIF(L58:AY58,"&lt;&gt;"))</f>
        <v/>
      </c>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52"/>
    </row>
    <row r="59" spans="1:51" ht="60" customHeight="1" x14ac:dyDescent="0.35">
      <c r="A59" s="249" t="s">
        <v>3486</v>
      </c>
      <c r="B59" s="237" t="s">
        <v>3487</v>
      </c>
      <c r="C59" s="237" t="s">
        <v>3488</v>
      </c>
      <c r="D59" s="237" t="s">
        <v>3489</v>
      </c>
      <c r="E59" s="237" t="s">
        <v>21</v>
      </c>
      <c r="F59" s="237" t="s">
        <v>21</v>
      </c>
      <c r="G59" s="237" t="s">
        <v>3490</v>
      </c>
      <c r="H59" s="237" t="s">
        <v>3491</v>
      </c>
      <c r="I59" s="237" t="s">
        <v>3492</v>
      </c>
      <c r="J59" s="237" t="s">
        <v>3493</v>
      </c>
      <c r="K59" s="240" t="str">
        <f>IF(COUNTIF(L59:AY59,"&lt;&gt;")=0,"",SUMPRODUCT(((Recommendations[ImplStatus]="Implemented")+(Recommendations[ImplStatus]="Compensated"))*ISNUMBER(MATCH(Recommendations[Id],L59:AY59,0)))/COUNTIF(L59:AY59,"&lt;&gt;"))</f>
        <v/>
      </c>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53"/>
    </row>
    <row r="60" spans="1:51" ht="60" customHeight="1" x14ac:dyDescent="0.35">
      <c r="A60" s="249" t="s">
        <v>3494</v>
      </c>
      <c r="B60" s="237" t="s">
        <v>3495</v>
      </c>
      <c r="C60" s="237" t="s">
        <v>3496</v>
      </c>
      <c r="D60" s="237" t="s">
        <v>21</v>
      </c>
      <c r="E60" s="237" t="s">
        <v>3497</v>
      </c>
      <c r="F60" s="237" t="s">
        <v>3498</v>
      </c>
      <c r="G60" s="237" t="s">
        <v>21</v>
      </c>
      <c r="H60" s="237" t="s">
        <v>3499</v>
      </c>
      <c r="I60" s="237" t="s">
        <v>3500</v>
      </c>
      <c r="J60" s="237" t="s">
        <v>3501</v>
      </c>
      <c r="K60" s="240" t="str">
        <f>IF(COUNTIF(L60:AY60,"&lt;&gt;")=0,"",SUMPRODUCT(((Recommendations[ImplStatus]="Implemented")+(Recommendations[ImplStatus]="Compensated"))*ISNUMBER(MATCH(Recommendations[Id],L60:AY60,0)))/COUNTIF(L60:AY60,"&lt;&gt;"))</f>
        <v/>
      </c>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53"/>
    </row>
    <row r="61" spans="1:51" ht="60" customHeight="1" x14ac:dyDescent="0.35">
      <c r="A61" s="249" t="s">
        <v>3502</v>
      </c>
      <c r="B61" s="237" t="s">
        <v>3503</v>
      </c>
      <c r="C61" s="237" t="s">
        <v>3504</v>
      </c>
      <c r="D61" s="237" t="s">
        <v>21</v>
      </c>
      <c r="E61" s="237" t="s">
        <v>21</v>
      </c>
      <c r="F61" s="237" t="s">
        <v>21</v>
      </c>
      <c r="G61" s="237" t="s">
        <v>3505</v>
      </c>
      <c r="H61" s="237" t="s">
        <v>3506</v>
      </c>
      <c r="I61" s="237" t="s">
        <v>3507</v>
      </c>
      <c r="J61" s="237" t="s">
        <v>3508</v>
      </c>
      <c r="K61" s="240" t="str">
        <f>IF(COUNTIF(L61:AY61,"&lt;&gt;")=0,"",SUMPRODUCT(((Recommendations[ImplStatus]="Implemented")+(Recommendations[ImplStatus]="Compensated"))*ISNUMBER(MATCH(Recommendations[Id],L61:AY61,0)))/COUNTIF(L61:AY61,"&lt;&gt;"))</f>
        <v/>
      </c>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53"/>
    </row>
    <row r="62" spans="1:51" ht="60" customHeight="1" x14ac:dyDescent="0.35">
      <c r="A62" s="249" t="s">
        <v>3509</v>
      </c>
      <c r="B62" s="237" t="s">
        <v>3510</v>
      </c>
      <c r="C62" s="237" t="s">
        <v>3511</v>
      </c>
      <c r="D62" s="237" t="s">
        <v>3512</v>
      </c>
      <c r="E62" s="237" t="s">
        <v>21</v>
      </c>
      <c r="F62" s="237" t="s">
        <v>21</v>
      </c>
      <c r="G62" s="237" t="s">
        <v>21</v>
      </c>
      <c r="H62" s="237" t="s">
        <v>3513</v>
      </c>
      <c r="I62" s="237" t="s">
        <v>3514</v>
      </c>
      <c r="J62" s="237" t="s">
        <v>3515</v>
      </c>
      <c r="K62" s="240" t="str">
        <f>IF(COUNTIF(L62:AY62,"&lt;&gt;")=0,"",SUMPRODUCT(((Recommendations[ImplStatus]="Implemented")+(Recommendations[ImplStatus]="Compensated"))*ISNUMBER(MATCH(Recommendations[Id],L62:AY62,0)))/COUNTIF(L62:AY62,"&lt;&gt;"))</f>
        <v/>
      </c>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53"/>
    </row>
    <row r="63" spans="1:51" ht="60" customHeight="1" outlineLevel="1" x14ac:dyDescent="0.35">
      <c r="A63" s="248" t="s">
        <v>501</v>
      </c>
      <c r="B63" s="236" t="s">
        <v>3516</v>
      </c>
      <c r="C63" s="236"/>
      <c r="D63" s="236"/>
      <c r="E63" s="236"/>
      <c r="F63" s="236"/>
      <c r="G63" s="236"/>
      <c r="H63" s="236"/>
      <c r="I63" s="236"/>
      <c r="J63" s="236"/>
      <c r="K63" s="239" t="str">
        <f>IF(COUNTIF(L63:AY63,"&lt;&gt;")=0,"",SUMPRODUCT(((Recommendations[ImplStatus]="Implemented")+(Recommendations[ImplStatus]="Compensated"))*ISNUMBER(MATCH(Recommendations[Id],L63:AY63,0)))/COUNTIF(L63:AY63,"&lt;&gt;"))</f>
        <v/>
      </c>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52"/>
    </row>
    <row r="64" spans="1:51" ht="60" customHeight="1" x14ac:dyDescent="0.35">
      <c r="A64" s="249" t="s">
        <v>3517</v>
      </c>
      <c r="B64" s="237" t="s">
        <v>3518</v>
      </c>
      <c r="C64" s="237" t="s">
        <v>3519</v>
      </c>
      <c r="D64" s="237" t="s">
        <v>3520</v>
      </c>
      <c r="E64" s="237" t="s">
        <v>21</v>
      </c>
      <c r="F64" s="237" t="s">
        <v>21</v>
      </c>
      <c r="G64" s="237" t="s">
        <v>3521</v>
      </c>
      <c r="H64" s="237" t="s">
        <v>3522</v>
      </c>
      <c r="I64" s="237" t="s">
        <v>3523</v>
      </c>
      <c r="J64" s="237" t="s">
        <v>3524</v>
      </c>
      <c r="K64" s="240" t="str">
        <f>IF(COUNTIF(L64:AY64,"&lt;&gt;")=0,"",SUMPRODUCT(((Recommendations[ImplStatus]="Implemented")+(Recommendations[ImplStatus]="Compensated"))*ISNUMBER(MATCH(Recommendations[Id],L64:AY64,0)))/COUNTIF(L64:AY64,"&lt;&gt;"))</f>
        <v/>
      </c>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53"/>
    </row>
    <row r="65" spans="1:51" ht="60" customHeight="1" x14ac:dyDescent="0.35">
      <c r="A65" s="249" t="s">
        <v>3525</v>
      </c>
      <c r="B65" s="237" t="s">
        <v>3526</v>
      </c>
      <c r="C65" s="237" t="s">
        <v>3527</v>
      </c>
      <c r="D65" s="237" t="s">
        <v>3528</v>
      </c>
      <c r="E65" s="237" t="s">
        <v>21</v>
      </c>
      <c r="F65" s="237" t="s">
        <v>21</v>
      </c>
      <c r="G65" s="237" t="s">
        <v>21</v>
      </c>
      <c r="H65" s="237" t="s">
        <v>3529</v>
      </c>
      <c r="I65" s="237" t="s">
        <v>3530</v>
      </c>
      <c r="J65" s="237" t="s">
        <v>3531</v>
      </c>
      <c r="K65" s="240" t="str">
        <f>IF(COUNTIF(L65:AY65,"&lt;&gt;")=0,"",SUMPRODUCT(((Recommendations[ImplStatus]="Implemented")+(Recommendations[ImplStatus]="Compensated"))*ISNUMBER(MATCH(Recommendations[Id],L65:AY65,0)))/COUNTIF(L65:AY65,"&lt;&gt;"))</f>
        <v/>
      </c>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53"/>
    </row>
    <row r="66" spans="1:51" ht="60" customHeight="1" x14ac:dyDescent="0.35">
      <c r="A66" s="249" t="s">
        <v>3532</v>
      </c>
      <c r="B66" s="237" t="s">
        <v>3533</v>
      </c>
      <c r="C66" s="237" t="s">
        <v>3534</v>
      </c>
      <c r="D66" s="237" t="s">
        <v>3535</v>
      </c>
      <c r="E66" s="237" t="s">
        <v>21</v>
      </c>
      <c r="F66" s="237" t="s">
        <v>21</v>
      </c>
      <c r="G66" s="237" t="s">
        <v>21</v>
      </c>
      <c r="H66" s="237" t="s">
        <v>3536</v>
      </c>
      <c r="I66" s="237" t="s">
        <v>3537</v>
      </c>
      <c r="J66" s="237" t="s">
        <v>3538</v>
      </c>
      <c r="K66" s="240" t="str">
        <f>IF(COUNTIF(L66:AY66,"&lt;&gt;")=0,"",SUMPRODUCT(((Recommendations[ImplStatus]="Implemented")+(Recommendations[ImplStatus]="Compensated"))*ISNUMBER(MATCH(Recommendations[Id],L66:AY66,0)))/COUNTIF(L66:AY66,"&lt;&gt;"))</f>
        <v/>
      </c>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53"/>
    </row>
    <row r="67" spans="1:51" ht="60" customHeight="1" x14ac:dyDescent="0.35">
      <c r="A67" s="249" t="s">
        <v>3539</v>
      </c>
      <c r="B67" s="237" t="s">
        <v>3540</v>
      </c>
      <c r="C67" s="237" t="s">
        <v>3541</v>
      </c>
      <c r="D67" s="237" t="s">
        <v>3542</v>
      </c>
      <c r="E67" s="237" t="s">
        <v>21</v>
      </c>
      <c r="F67" s="237" t="s">
        <v>21</v>
      </c>
      <c r="G67" s="237" t="s">
        <v>21</v>
      </c>
      <c r="H67" s="237" t="s">
        <v>3543</v>
      </c>
      <c r="I67" s="237" t="s">
        <v>21</v>
      </c>
      <c r="J67" s="237" t="s">
        <v>3544</v>
      </c>
      <c r="K67" s="240" t="str">
        <f>IF(COUNTIF(L67:AY67,"&lt;&gt;")=0,"",SUMPRODUCT(((Recommendations[ImplStatus]="Implemented")+(Recommendations[ImplStatus]="Compensated"))*ISNUMBER(MATCH(Recommendations[Id],L67:AY67,0)))/COUNTIF(L67:AY67,"&lt;&gt;"))</f>
        <v/>
      </c>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53"/>
    </row>
    <row r="68" spans="1:51" ht="60" customHeight="1" x14ac:dyDescent="0.35">
      <c r="A68" s="249" t="s">
        <v>3545</v>
      </c>
      <c r="B68" s="237" t="s">
        <v>3546</v>
      </c>
      <c r="C68" s="237" t="s">
        <v>3547</v>
      </c>
      <c r="D68" s="237" t="s">
        <v>21</v>
      </c>
      <c r="E68" s="237" t="s">
        <v>21</v>
      </c>
      <c r="F68" s="237" t="s">
        <v>21</v>
      </c>
      <c r="G68" s="237" t="s">
        <v>21</v>
      </c>
      <c r="H68" s="237" t="s">
        <v>3548</v>
      </c>
      <c r="I68" s="237" t="s">
        <v>21</v>
      </c>
      <c r="J68" s="237" t="s">
        <v>3549</v>
      </c>
      <c r="K68" s="240" t="str">
        <f>IF(COUNTIF(L68:AY68,"&lt;&gt;")=0,"",SUMPRODUCT(((Recommendations[ImplStatus]="Implemented")+(Recommendations[ImplStatus]="Compensated"))*ISNUMBER(MATCH(Recommendations[Id],L68:AY68,0)))/COUNTIF(L68:AY68,"&lt;&gt;"))</f>
        <v/>
      </c>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53"/>
    </row>
    <row r="69" spans="1:51" ht="60" customHeight="1" outlineLevel="1" x14ac:dyDescent="0.35">
      <c r="A69" s="248" t="s">
        <v>505</v>
      </c>
      <c r="B69" s="236" t="s">
        <v>3550</v>
      </c>
      <c r="C69" s="236"/>
      <c r="D69" s="236"/>
      <c r="E69" s="236"/>
      <c r="F69" s="236"/>
      <c r="G69" s="236"/>
      <c r="H69" s="236"/>
      <c r="I69" s="236"/>
      <c r="J69" s="236"/>
      <c r="K69" s="239" t="str">
        <f>IF(COUNTIF(L69:AY69,"&lt;&gt;")=0,"",SUMPRODUCT(((Recommendations[ImplStatus]="Implemented")+(Recommendations[ImplStatus]="Compensated"))*ISNUMBER(MATCH(Recommendations[Id],L69:AY69,0)))/COUNTIF(L69:AY69,"&lt;&gt;"))</f>
        <v/>
      </c>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52"/>
    </row>
    <row r="70" spans="1:51" ht="60" customHeight="1" x14ac:dyDescent="0.35">
      <c r="A70" s="249" t="s">
        <v>3551</v>
      </c>
      <c r="B70" s="237" t="s">
        <v>3552</v>
      </c>
      <c r="C70" s="237" t="s">
        <v>3553</v>
      </c>
      <c r="D70" s="237" t="s">
        <v>21</v>
      </c>
      <c r="E70" s="237" t="s">
        <v>21</v>
      </c>
      <c r="F70" s="237" t="s">
        <v>21</v>
      </c>
      <c r="G70" s="237" t="s">
        <v>3554</v>
      </c>
      <c r="H70" s="237" t="s">
        <v>3555</v>
      </c>
      <c r="I70" s="237" t="s">
        <v>21</v>
      </c>
      <c r="J70" s="237" t="s">
        <v>3556</v>
      </c>
      <c r="K70" s="240" t="str">
        <f>IF(COUNTIF(L70:AY70,"&lt;&gt;")=0,"",SUMPRODUCT(((Recommendations[ImplStatus]="Implemented")+(Recommendations[ImplStatus]="Compensated"))*ISNUMBER(MATCH(Recommendations[Id],L70:AY70,0)))/COUNTIF(L70:AY70,"&lt;&gt;"))</f>
        <v/>
      </c>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53"/>
    </row>
    <row r="71" spans="1:51" ht="60" customHeight="1" x14ac:dyDescent="0.35">
      <c r="A71" s="249" t="s">
        <v>3557</v>
      </c>
      <c r="B71" s="237" t="s">
        <v>3558</v>
      </c>
      <c r="C71" s="237" t="s">
        <v>3559</v>
      </c>
      <c r="D71" s="237" t="s">
        <v>21</v>
      </c>
      <c r="E71" s="237" t="s">
        <v>21</v>
      </c>
      <c r="F71" s="237" t="s">
        <v>21</v>
      </c>
      <c r="G71" s="237" t="s">
        <v>21</v>
      </c>
      <c r="H71" s="237" t="s">
        <v>3560</v>
      </c>
      <c r="I71" s="237" t="s">
        <v>21</v>
      </c>
      <c r="J71" s="237" t="s">
        <v>3561</v>
      </c>
      <c r="K71" s="240" t="str">
        <f>IF(COUNTIF(L71:AY71,"&lt;&gt;")=0,"",SUMPRODUCT(((Recommendations[ImplStatus]="Implemented")+(Recommendations[ImplStatus]="Compensated"))*ISNUMBER(MATCH(Recommendations[Id],L71:AY71,0)))/COUNTIF(L71:AY71,"&lt;&gt;"))</f>
        <v/>
      </c>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53"/>
    </row>
    <row r="72" spans="1:51" ht="60" customHeight="1" x14ac:dyDescent="0.35">
      <c r="A72" s="249" t="s">
        <v>3562</v>
      </c>
      <c r="B72" s="237" t="s">
        <v>3563</v>
      </c>
      <c r="C72" s="237" t="s">
        <v>3564</v>
      </c>
      <c r="D72" s="237" t="s">
        <v>3565</v>
      </c>
      <c r="E72" s="237" t="s">
        <v>3566</v>
      </c>
      <c r="F72" s="237" t="s">
        <v>21</v>
      </c>
      <c r="G72" s="237" t="s">
        <v>21</v>
      </c>
      <c r="H72" s="237" t="s">
        <v>3567</v>
      </c>
      <c r="I72" s="237" t="s">
        <v>21</v>
      </c>
      <c r="J72" s="237" t="s">
        <v>3568</v>
      </c>
      <c r="K72" s="240" t="str">
        <f>IF(COUNTIF(L72:AY72,"&lt;&gt;")=0,"",SUMPRODUCT(((Recommendations[ImplStatus]="Implemented")+(Recommendations[ImplStatus]="Compensated"))*ISNUMBER(MATCH(Recommendations[Id],L72:AY72,0)))/COUNTIF(L72:AY72,"&lt;&gt;"))</f>
        <v/>
      </c>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53"/>
    </row>
    <row r="73" spans="1:51" ht="60" customHeight="1" x14ac:dyDescent="0.35">
      <c r="A73" s="249" t="s">
        <v>3569</v>
      </c>
      <c r="B73" s="237" t="s">
        <v>3570</v>
      </c>
      <c r="C73" s="237" t="s">
        <v>3571</v>
      </c>
      <c r="D73" s="237" t="s">
        <v>3572</v>
      </c>
      <c r="E73" s="237" t="s">
        <v>3566</v>
      </c>
      <c r="F73" s="237" t="s">
        <v>21</v>
      </c>
      <c r="G73" s="237" t="s">
        <v>3573</v>
      </c>
      <c r="H73" s="237" t="s">
        <v>3574</v>
      </c>
      <c r="I73" s="237" t="s">
        <v>21</v>
      </c>
      <c r="J73" s="237" t="s">
        <v>3575</v>
      </c>
      <c r="K73" s="240" t="str">
        <f>IF(COUNTIF(L73:AY73,"&lt;&gt;")=0,"",SUMPRODUCT(((Recommendations[ImplStatus]="Implemented")+(Recommendations[ImplStatus]="Compensated"))*ISNUMBER(MATCH(Recommendations[Id],L73:AY73,0)))/COUNTIF(L73:AY73,"&lt;&gt;"))</f>
        <v/>
      </c>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53"/>
    </row>
    <row r="74" spans="1:51" ht="60" customHeight="1" x14ac:dyDescent="0.35">
      <c r="A74" s="249" t="s">
        <v>3576</v>
      </c>
      <c r="B74" s="237" t="s">
        <v>3577</v>
      </c>
      <c r="C74" s="237" t="s">
        <v>3578</v>
      </c>
      <c r="D74" s="237" t="s">
        <v>3572</v>
      </c>
      <c r="E74" s="237" t="s">
        <v>3579</v>
      </c>
      <c r="F74" s="237" t="s">
        <v>21</v>
      </c>
      <c r="G74" s="237" t="s">
        <v>3580</v>
      </c>
      <c r="H74" s="237" t="s">
        <v>3581</v>
      </c>
      <c r="I74" s="237" t="s">
        <v>3582</v>
      </c>
      <c r="J74" s="237" t="s">
        <v>3583</v>
      </c>
      <c r="K74" s="240" t="str">
        <f>IF(COUNTIF(L74:AY74,"&lt;&gt;")=0,"",SUMPRODUCT(((Recommendations[ImplStatus]="Implemented")+(Recommendations[ImplStatus]="Compensated"))*ISNUMBER(MATCH(Recommendations[Id],L74:AY74,0)))/COUNTIF(L74:AY74,"&lt;&gt;"))</f>
        <v/>
      </c>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53"/>
    </row>
    <row r="75" spans="1:51" ht="60" customHeight="1" x14ac:dyDescent="0.35">
      <c r="A75" s="249" t="s">
        <v>3584</v>
      </c>
      <c r="B75" s="237" t="s">
        <v>3585</v>
      </c>
      <c r="C75" s="237" t="s">
        <v>3586</v>
      </c>
      <c r="D75" s="237" t="s">
        <v>3587</v>
      </c>
      <c r="E75" s="237" t="s">
        <v>3579</v>
      </c>
      <c r="F75" s="237" t="s">
        <v>3588</v>
      </c>
      <c r="G75" s="237" t="s">
        <v>3589</v>
      </c>
      <c r="H75" s="237" t="s">
        <v>3590</v>
      </c>
      <c r="I75" s="237" t="s">
        <v>3591</v>
      </c>
      <c r="J75" s="237" t="s">
        <v>3592</v>
      </c>
      <c r="K75" s="240" t="str">
        <f>IF(COUNTIF(L75:AY75,"&lt;&gt;")=0,"",SUMPRODUCT(((Recommendations[ImplStatus]="Implemented")+(Recommendations[ImplStatus]="Compensated"))*ISNUMBER(MATCH(Recommendations[Id],L75:AY75,0)))/COUNTIF(L75:AY75,"&lt;&gt;"))</f>
        <v/>
      </c>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53"/>
    </row>
    <row r="76" spans="1:51" ht="60" customHeight="1" x14ac:dyDescent="0.35">
      <c r="A76" s="249" t="s">
        <v>3593</v>
      </c>
      <c r="B76" s="237" t="s">
        <v>3594</v>
      </c>
      <c r="C76" s="237" t="s">
        <v>3595</v>
      </c>
      <c r="D76" s="237" t="s">
        <v>3596</v>
      </c>
      <c r="E76" s="237" t="s">
        <v>21</v>
      </c>
      <c r="F76" s="237" t="s">
        <v>21</v>
      </c>
      <c r="G76" s="237" t="s">
        <v>21</v>
      </c>
      <c r="H76" s="237" t="s">
        <v>3597</v>
      </c>
      <c r="I76" s="237" t="s">
        <v>21</v>
      </c>
      <c r="J76" s="237" t="s">
        <v>21</v>
      </c>
      <c r="K76" s="240" t="str">
        <f>IF(COUNTIF(L76:AY76,"&lt;&gt;")=0,"",SUMPRODUCT(((Recommendations[ImplStatus]="Implemented")+(Recommendations[ImplStatus]="Compensated"))*ISNUMBER(MATCH(Recommendations[Id],L76:AY76,0)))/COUNTIF(L76:AY76,"&lt;&gt;"))</f>
        <v/>
      </c>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53"/>
    </row>
    <row r="77" spans="1:51" ht="60" customHeight="1" x14ac:dyDescent="0.35">
      <c r="A77" s="249" t="s">
        <v>3598</v>
      </c>
      <c r="B77" s="237" t="s">
        <v>3599</v>
      </c>
      <c r="C77" s="237" t="s">
        <v>3600</v>
      </c>
      <c r="D77" s="237" t="s">
        <v>21</v>
      </c>
      <c r="E77" s="237" t="s">
        <v>21</v>
      </c>
      <c r="F77" s="237" t="s">
        <v>21</v>
      </c>
      <c r="G77" s="237" t="s">
        <v>3601</v>
      </c>
      <c r="H77" s="237" t="s">
        <v>3602</v>
      </c>
      <c r="I77" s="237" t="s">
        <v>21</v>
      </c>
      <c r="J77" s="237" t="s">
        <v>3603</v>
      </c>
      <c r="K77" s="240" t="str">
        <f>IF(COUNTIF(L77:AY77,"&lt;&gt;")=0,"",SUMPRODUCT(((Recommendations[ImplStatus]="Implemented")+(Recommendations[ImplStatus]="Compensated"))*ISNUMBER(MATCH(Recommendations[Id],L77:AY77,0)))/COUNTIF(L77:AY77,"&lt;&gt;"))</f>
        <v/>
      </c>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53"/>
    </row>
    <row r="78" spans="1:51" ht="60" customHeight="1" x14ac:dyDescent="0.35">
      <c r="A78" s="249" t="s">
        <v>3604</v>
      </c>
      <c r="B78" s="237" t="s">
        <v>3605</v>
      </c>
      <c r="C78" s="237" t="s">
        <v>3606</v>
      </c>
      <c r="D78" s="237" t="s">
        <v>21</v>
      </c>
      <c r="E78" s="237" t="s">
        <v>21</v>
      </c>
      <c r="F78" s="237" t="s">
        <v>21</v>
      </c>
      <c r="G78" s="237" t="s">
        <v>3607</v>
      </c>
      <c r="H78" s="237" t="s">
        <v>3608</v>
      </c>
      <c r="I78" s="237" t="s">
        <v>3609</v>
      </c>
      <c r="J78" s="237" t="s">
        <v>3610</v>
      </c>
      <c r="K78" s="240" t="str">
        <f>IF(COUNTIF(L78:AY78,"&lt;&gt;")=0,"",SUMPRODUCT(((Recommendations[ImplStatus]="Implemented")+(Recommendations[ImplStatus]="Compensated"))*ISNUMBER(MATCH(Recommendations[Id],L78:AY78,0)))/COUNTIF(L78:AY78,"&lt;&gt;"))</f>
        <v/>
      </c>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53"/>
    </row>
    <row r="79" spans="1:51" ht="60" customHeight="1" outlineLevel="1" x14ac:dyDescent="0.35">
      <c r="A79" s="247" t="s">
        <v>3611</v>
      </c>
      <c r="B79" s="235" t="s">
        <v>3612</v>
      </c>
      <c r="C79" s="235"/>
      <c r="D79" s="235"/>
      <c r="E79" s="235"/>
      <c r="F79" s="235"/>
      <c r="G79" s="235"/>
      <c r="H79" s="235"/>
      <c r="I79" s="235"/>
      <c r="J79" s="235"/>
      <c r="K79" s="238" t="str">
        <f>IF(COUNTIF(L79:AY79,"&lt;&gt;")=0,"",SUMPRODUCT(((Recommendations[ImplStatus]="Implemented")+(Recommendations[ImplStatus]="Compensated"))*ISNUMBER(MATCH(Recommendations[Id],L79:AY79,0)))/COUNTIF(L79:AY79,"&lt;&gt;"))</f>
        <v/>
      </c>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51"/>
    </row>
    <row r="80" spans="1:51" ht="60" customHeight="1" outlineLevel="1" x14ac:dyDescent="0.35">
      <c r="A80" s="248" t="s">
        <v>539</v>
      </c>
      <c r="B80" s="236" t="s">
        <v>3613</v>
      </c>
      <c r="C80" s="236"/>
      <c r="D80" s="236"/>
      <c r="E80" s="236"/>
      <c r="F80" s="236"/>
      <c r="G80" s="236"/>
      <c r="H80" s="236"/>
      <c r="I80" s="236"/>
      <c r="J80" s="236"/>
      <c r="K80" s="239" t="str">
        <f>IF(COUNTIF(L80:AY80,"&lt;&gt;")=0,"",SUMPRODUCT(((Recommendations[ImplStatus]="Implemented")+(Recommendations[ImplStatus]="Compensated"))*ISNUMBER(MATCH(Recommendations[Id],L80:AY80,0)))/COUNTIF(L80:AY80,"&lt;&gt;"))</f>
        <v/>
      </c>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52"/>
    </row>
    <row r="81" spans="1:51" ht="60" customHeight="1" x14ac:dyDescent="0.35">
      <c r="A81" s="249" t="s">
        <v>3614</v>
      </c>
      <c r="B81" s="237" t="s">
        <v>3615</v>
      </c>
      <c r="C81" s="237" t="s">
        <v>3616</v>
      </c>
      <c r="D81" s="237" t="s">
        <v>3411</v>
      </c>
      <c r="E81" s="237" t="s">
        <v>3617</v>
      </c>
      <c r="F81" s="237" t="s">
        <v>21</v>
      </c>
      <c r="G81" s="237" t="s">
        <v>21</v>
      </c>
      <c r="H81" s="237" t="s">
        <v>3618</v>
      </c>
      <c r="I81" s="237" t="s">
        <v>21</v>
      </c>
      <c r="J81" s="237" t="s">
        <v>3619</v>
      </c>
      <c r="K81" s="240" t="str">
        <f>IF(COUNTIF(L81:AY81,"&lt;&gt;")=0,"",SUMPRODUCT(((Recommendations[ImplStatus]="Implemented")+(Recommendations[ImplStatus]="Compensated"))*ISNUMBER(MATCH(Recommendations[Id],L81:AY81,0)))/COUNTIF(L81:AY81,"&lt;&gt;"))</f>
        <v/>
      </c>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53"/>
    </row>
    <row r="82" spans="1:51" ht="60" customHeight="1" x14ac:dyDescent="0.35">
      <c r="A82" s="249" t="s">
        <v>3620</v>
      </c>
      <c r="B82" s="237" t="s">
        <v>3621</v>
      </c>
      <c r="C82" s="237" t="s">
        <v>3202</v>
      </c>
      <c r="D82" s="237" t="s">
        <v>3203</v>
      </c>
      <c r="E82" s="237" t="s">
        <v>21</v>
      </c>
      <c r="F82" s="237" t="s">
        <v>3205</v>
      </c>
      <c r="G82" s="237" t="s">
        <v>21</v>
      </c>
      <c r="H82" s="237" t="s">
        <v>3622</v>
      </c>
      <c r="I82" s="237" t="s">
        <v>21</v>
      </c>
      <c r="J82" s="237" t="s">
        <v>3623</v>
      </c>
      <c r="K82" s="240" t="str">
        <f>IF(COUNTIF(L82:AY82,"&lt;&gt;")=0,"",SUMPRODUCT(((Recommendations[ImplStatus]="Implemented")+(Recommendations[ImplStatus]="Compensated"))*ISNUMBER(MATCH(Recommendations[Id],L82:AY82,0)))/COUNTIF(L82:AY82,"&lt;&gt;"))</f>
        <v/>
      </c>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53"/>
    </row>
    <row r="83" spans="1:51" ht="60" customHeight="1" outlineLevel="1" x14ac:dyDescent="0.35">
      <c r="A83" s="248" t="s">
        <v>544</v>
      </c>
      <c r="B83" s="236" t="s">
        <v>3624</v>
      </c>
      <c r="C83" s="236"/>
      <c r="D83" s="236"/>
      <c r="E83" s="236"/>
      <c r="F83" s="236"/>
      <c r="G83" s="236"/>
      <c r="H83" s="236"/>
      <c r="I83" s="236"/>
      <c r="J83" s="236"/>
      <c r="K83" s="239" t="str">
        <f>IF(COUNTIF(L83:AY83,"&lt;&gt;")=0,"",SUMPRODUCT(((Recommendations[ImplStatus]="Implemented")+(Recommendations[ImplStatus]="Compensated"))*ISNUMBER(MATCH(Recommendations[Id],L83:AY83,0)))/COUNTIF(L83:AY83,"&lt;&gt;"))</f>
        <v/>
      </c>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52"/>
    </row>
    <row r="84" spans="1:51" ht="60" customHeight="1" x14ac:dyDescent="0.35">
      <c r="A84" s="249" t="s">
        <v>3625</v>
      </c>
      <c r="B84" s="237" t="s">
        <v>3626</v>
      </c>
      <c r="C84" s="237" t="s">
        <v>3627</v>
      </c>
      <c r="D84" s="237" t="s">
        <v>3628</v>
      </c>
      <c r="E84" s="237" t="s">
        <v>21</v>
      </c>
      <c r="F84" s="237" t="s">
        <v>3629</v>
      </c>
      <c r="G84" s="237" t="s">
        <v>3630</v>
      </c>
      <c r="H84" s="237" t="s">
        <v>3631</v>
      </c>
      <c r="I84" s="237" t="s">
        <v>3632</v>
      </c>
      <c r="J84" s="237" t="s">
        <v>3633</v>
      </c>
      <c r="K84" s="240">
        <f>IF(COUNTIF(L84:AY84,"&lt;&gt;")=0,"",SUMPRODUCT(((Recommendations[ImplStatus]="Implemented")+(Recommendations[ImplStatus]="Compensated"))*ISNUMBER(MATCH(Recommendations[Id],L84:AY84,0)))/COUNTIF(L84:AY84,"&lt;&gt;"))</f>
        <v>0</v>
      </c>
      <c r="L84" s="243" t="s">
        <v>14</v>
      </c>
      <c r="M84" s="243" t="s">
        <v>31</v>
      </c>
      <c r="N84" s="243" t="s">
        <v>41</v>
      </c>
      <c r="O84" s="243" t="s">
        <v>44</v>
      </c>
      <c r="P84" s="243" t="s">
        <v>47</v>
      </c>
      <c r="Q84" s="243" t="s">
        <v>50</v>
      </c>
      <c r="R84" s="243" t="s">
        <v>61</v>
      </c>
      <c r="S84" s="243" t="s">
        <v>83</v>
      </c>
      <c r="T84" s="243" t="s">
        <v>97</v>
      </c>
      <c r="U84" s="243" t="s">
        <v>108</v>
      </c>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43"/>
      <c r="AV84" s="243"/>
      <c r="AW84" s="243"/>
      <c r="AX84" s="243"/>
      <c r="AY84" s="253"/>
    </row>
    <row r="85" spans="1:51" ht="60" customHeight="1" x14ac:dyDescent="0.35">
      <c r="A85" s="249" t="s">
        <v>3634</v>
      </c>
      <c r="B85" s="237" t="s">
        <v>3635</v>
      </c>
      <c r="C85" s="237" t="s">
        <v>3636</v>
      </c>
      <c r="D85" s="237" t="s">
        <v>3637</v>
      </c>
      <c r="E85" s="237" t="s">
        <v>21</v>
      </c>
      <c r="F85" s="237" t="s">
        <v>21</v>
      </c>
      <c r="G85" s="237" t="s">
        <v>21</v>
      </c>
      <c r="H85" s="237" t="s">
        <v>3638</v>
      </c>
      <c r="I85" s="237" t="s">
        <v>3639</v>
      </c>
      <c r="J85" s="237" t="s">
        <v>3640</v>
      </c>
      <c r="K85" s="240" t="str">
        <f>IF(COUNTIF(L85:AY85,"&lt;&gt;")=0,"",SUMPRODUCT(((Recommendations[ImplStatus]="Implemented")+(Recommendations[ImplStatus]="Compensated"))*ISNUMBER(MATCH(Recommendations[Id],L85:AY85,0)))/COUNTIF(L85:AY85,"&lt;&gt;"))</f>
        <v/>
      </c>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53"/>
    </row>
    <row r="86" spans="1:51" ht="60" customHeight="1" x14ac:dyDescent="0.35">
      <c r="A86" s="249" t="s">
        <v>3641</v>
      </c>
      <c r="B86" s="237" t="s">
        <v>3642</v>
      </c>
      <c r="C86" s="237" t="s">
        <v>3643</v>
      </c>
      <c r="D86" s="237" t="s">
        <v>3644</v>
      </c>
      <c r="E86" s="237" t="s">
        <v>21</v>
      </c>
      <c r="F86" s="237" t="s">
        <v>21</v>
      </c>
      <c r="G86" s="237" t="s">
        <v>3645</v>
      </c>
      <c r="H86" s="237" t="s">
        <v>3646</v>
      </c>
      <c r="I86" s="237" t="s">
        <v>21</v>
      </c>
      <c r="J86" s="237" t="s">
        <v>3647</v>
      </c>
      <c r="K86" s="240" t="str">
        <f>IF(COUNTIF(L86:AY86,"&lt;&gt;")=0,"",SUMPRODUCT(((Recommendations[ImplStatus]="Implemented")+(Recommendations[ImplStatus]="Compensated"))*ISNUMBER(MATCH(Recommendations[Id],L86:AY86,0)))/COUNTIF(L86:AY86,"&lt;&gt;"))</f>
        <v/>
      </c>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53"/>
    </row>
    <row r="87" spans="1:51" ht="60" customHeight="1" x14ac:dyDescent="0.35">
      <c r="A87" s="249" t="s">
        <v>3648</v>
      </c>
      <c r="B87" s="237" t="s">
        <v>3649</v>
      </c>
      <c r="C87" s="237" t="s">
        <v>3650</v>
      </c>
      <c r="D87" s="237" t="s">
        <v>3651</v>
      </c>
      <c r="E87" s="237" t="s">
        <v>21</v>
      </c>
      <c r="F87" s="237" t="s">
        <v>3652</v>
      </c>
      <c r="G87" s="237" t="s">
        <v>21</v>
      </c>
      <c r="H87" s="237" t="s">
        <v>3653</v>
      </c>
      <c r="I87" s="237" t="s">
        <v>3654</v>
      </c>
      <c r="J87" s="237" t="s">
        <v>3655</v>
      </c>
      <c r="K87" s="240" t="str">
        <f>IF(COUNTIF(L87:AY87,"&lt;&gt;")=0,"",SUMPRODUCT(((Recommendations[ImplStatus]="Implemented")+(Recommendations[ImplStatus]="Compensated"))*ISNUMBER(MATCH(Recommendations[Id],L87:AY87,0)))/COUNTIF(L87:AY87,"&lt;&gt;"))</f>
        <v/>
      </c>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53"/>
    </row>
    <row r="88" spans="1:51" ht="60" customHeight="1" outlineLevel="1" x14ac:dyDescent="0.35">
      <c r="A88" s="247" t="s">
        <v>3656</v>
      </c>
      <c r="B88" s="235" t="s">
        <v>3657</v>
      </c>
      <c r="C88" s="235"/>
      <c r="D88" s="235"/>
      <c r="E88" s="235"/>
      <c r="F88" s="235"/>
      <c r="G88" s="235"/>
      <c r="H88" s="235"/>
      <c r="I88" s="235"/>
      <c r="J88" s="235"/>
      <c r="K88" s="238" t="str">
        <f>IF(COUNTIF(L88:AY88,"&lt;&gt;")=0,"",SUMPRODUCT(((Recommendations[ImplStatus]="Implemented")+(Recommendations[ImplStatus]="Compensated"))*ISNUMBER(MATCH(Recommendations[Id],L88:AY88,0)))/COUNTIF(L88:AY88,"&lt;&gt;"))</f>
        <v/>
      </c>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51"/>
    </row>
    <row r="89" spans="1:51" ht="60" customHeight="1" outlineLevel="1" x14ac:dyDescent="0.35">
      <c r="A89" s="248" t="s">
        <v>591</v>
      </c>
      <c r="B89" s="236" t="s">
        <v>3658</v>
      </c>
      <c r="C89" s="236"/>
      <c r="D89" s="236"/>
      <c r="E89" s="236"/>
      <c r="F89" s="236"/>
      <c r="G89" s="236"/>
      <c r="H89" s="236"/>
      <c r="I89" s="236"/>
      <c r="J89" s="236"/>
      <c r="K89" s="239" t="str">
        <f>IF(COUNTIF(L89:AY89,"&lt;&gt;")=0,"",SUMPRODUCT(((Recommendations[ImplStatus]="Implemented")+(Recommendations[ImplStatus]="Compensated"))*ISNUMBER(MATCH(Recommendations[Id],L89:AY89,0)))/COUNTIF(L89:AY89,"&lt;&gt;"))</f>
        <v/>
      </c>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52"/>
    </row>
    <row r="90" spans="1:51" ht="60" customHeight="1" x14ac:dyDescent="0.35">
      <c r="A90" s="249" t="s">
        <v>3659</v>
      </c>
      <c r="B90" s="237" t="s">
        <v>3660</v>
      </c>
      <c r="C90" s="237" t="s">
        <v>3661</v>
      </c>
      <c r="D90" s="237" t="s">
        <v>3411</v>
      </c>
      <c r="E90" s="237" t="s">
        <v>3197</v>
      </c>
      <c r="F90" s="237" t="s">
        <v>21</v>
      </c>
      <c r="G90" s="237" t="s">
        <v>21</v>
      </c>
      <c r="H90" s="237" t="s">
        <v>3662</v>
      </c>
      <c r="I90" s="237" t="s">
        <v>21</v>
      </c>
      <c r="J90" s="237" t="s">
        <v>3663</v>
      </c>
      <c r="K90" s="240" t="str">
        <f>IF(COUNTIF(L90:AY90,"&lt;&gt;")=0,"",SUMPRODUCT(((Recommendations[ImplStatus]="Implemented")+(Recommendations[ImplStatus]="Compensated"))*ISNUMBER(MATCH(Recommendations[Id],L90:AY90,0)))/COUNTIF(L90:AY90,"&lt;&gt;"))</f>
        <v/>
      </c>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53"/>
    </row>
    <row r="91" spans="1:51" ht="60" customHeight="1" x14ac:dyDescent="0.35">
      <c r="A91" s="249" t="s">
        <v>3664</v>
      </c>
      <c r="B91" s="237" t="s">
        <v>3665</v>
      </c>
      <c r="C91" s="237" t="s">
        <v>3666</v>
      </c>
      <c r="D91" s="237" t="s">
        <v>3203</v>
      </c>
      <c r="E91" s="237" t="s">
        <v>21</v>
      </c>
      <c r="F91" s="237" t="s">
        <v>3205</v>
      </c>
      <c r="G91" s="237" t="s">
        <v>21</v>
      </c>
      <c r="H91" s="237" t="s">
        <v>3667</v>
      </c>
      <c r="I91" s="237" t="s">
        <v>21</v>
      </c>
      <c r="J91" s="237" t="s">
        <v>3668</v>
      </c>
      <c r="K91" s="240" t="str">
        <f>IF(COUNTIF(L91:AY91,"&lt;&gt;")=0,"",SUMPRODUCT(((Recommendations[ImplStatus]="Implemented")+(Recommendations[ImplStatus]="Compensated"))*ISNUMBER(MATCH(Recommendations[Id],L91:AY91,0)))/COUNTIF(L91:AY91,"&lt;&gt;"))</f>
        <v/>
      </c>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53"/>
    </row>
    <row r="92" spans="1:51" ht="60" customHeight="1" outlineLevel="1" x14ac:dyDescent="0.35">
      <c r="A92" s="248" t="s">
        <v>595</v>
      </c>
      <c r="B92" s="236" t="s">
        <v>3669</v>
      </c>
      <c r="C92" s="236"/>
      <c r="D92" s="236"/>
      <c r="E92" s="236"/>
      <c r="F92" s="236"/>
      <c r="G92" s="236"/>
      <c r="H92" s="236"/>
      <c r="I92" s="236"/>
      <c r="J92" s="236"/>
      <c r="K92" s="239" t="str">
        <f>IF(COUNTIF(L92:AY92,"&lt;&gt;")=0,"",SUMPRODUCT(((Recommendations[ImplStatus]="Implemented")+(Recommendations[ImplStatus]="Compensated"))*ISNUMBER(MATCH(Recommendations[Id],L92:AY92,0)))/COUNTIF(L92:AY92,"&lt;&gt;"))</f>
        <v/>
      </c>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52"/>
    </row>
    <row r="93" spans="1:51" ht="60" customHeight="1" x14ac:dyDescent="0.35">
      <c r="A93" s="249" t="s">
        <v>3670</v>
      </c>
      <c r="B93" s="237" t="s">
        <v>3671</v>
      </c>
      <c r="C93" s="237" t="s">
        <v>3672</v>
      </c>
      <c r="D93" s="237" t="s">
        <v>3673</v>
      </c>
      <c r="E93" s="237" t="s">
        <v>3674</v>
      </c>
      <c r="F93" s="237" t="s">
        <v>21</v>
      </c>
      <c r="G93" s="237" t="s">
        <v>21</v>
      </c>
      <c r="H93" s="237" t="s">
        <v>3675</v>
      </c>
      <c r="I93" s="237" t="s">
        <v>21</v>
      </c>
      <c r="J93" s="237" t="s">
        <v>3676</v>
      </c>
      <c r="K93" s="240" t="str">
        <f>IF(COUNTIF(L93:AY93,"&lt;&gt;")=0,"",SUMPRODUCT(((Recommendations[ImplStatus]="Implemented")+(Recommendations[ImplStatus]="Compensated"))*ISNUMBER(MATCH(Recommendations[Id],L93:AY93,0)))/COUNTIF(L93:AY93,"&lt;&gt;"))</f>
        <v/>
      </c>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53"/>
    </row>
    <row r="94" spans="1:51" ht="60" customHeight="1" x14ac:dyDescent="0.35">
      <c r="A94" s="249" t="s">
        <v>3677</v>
      </c>
      <c r="B94" s="237" t="s">
        <v>3678</v>
      </c>
      <c r="C94" s="237" t="s">
        <v>3679</v>
      </c>
      <c r="D94" s="237" t="s">
        <v>3680</v>
      </c>
      <c r="E94" s="237" t="s">
        <v>21</v>
      </c>
      <c r="F94" s="237" t="s">
        <v>3681</v>
      </c>
      <c r="G94" s="237" t="s">
        <v>21</v>
      </c>
      <c r="H94" s="237" t="s">
        <v>3682</v>
      </c>
      <c r="I94" s="237" t="s">
        <v>21</v>
      </c>
      <c r="J94" s="237" t="s">
        <v>21</v>
      </c>
      <c r="K94" s="240" t="str">
        <f>IF(COUNTIF(L94:AY94,"&lt;&gt;")=0,"",SUMPRODUCT(((Recommendations[ImplStatus]="Implemented")+(Recommendations[ImplStatus]="Compensated"))*ISNUMBER(MATCH(Recommendations[Id],L94:AY94,0)))/COUNTIF(L94:AY94,"&lt;&gt;"))</f>
        <v/>
      </c>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53"/>
    </row>
    <row r="95" spans="1:51" ht="60" customHeight="1" x14ac:dyDescent="0.35">
      <c r="A95" s="249" t="s">
        <v>3683</v>
      </c>
      <c r="B95" s="237" t="s">
        <v>3684</v>
      </c>
      <c r="C95" s="237" t="s">
        <v>3685</v>
      </c>
      <c r="D95" s="237" t="s">
        <v>3686</v>
      </c>
      <c r="E95" s="237" t="s">
        <v>21</v>
      </c>
      <c r="F95" s="237" t="s">
        <v>21</v>
      </c>
      <c r="G95" s="237" t="s">
        <v>21</v>
      </c>
      <c r="H95" s="237" t="s">
        <v>3687</v>
      </c>
      <c r="I95" s="237" t="s">
        <v>3688</v>
      </c>
      <c r="J95" s="237" t="s">
        <v>3689</v>
      </c>
      <c r="K95" s="240" t="str">
        <f>IF(COUNTIF(L95:AY95,"&lt;&gt;")=0,"",SUMPRODUCT(((Recommendations[ImplStatus]="Implemented")+(Recommendations[ImplStatus]="Compensated"))*ISNUMBER(MATCH(Recommendations[Id],L95:AY95,0)))/COUNTIF(L95:AY95,"&lt;&gt;"))</f>
        <v/>
      </c>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53"/>
    </row>
    <row r="96" spans="1:51" ht="60" customHeight="1" x14ac:dyDescent="0.35">
      <c r="A96" s="249" t="s">
        <v>3690</v>
      </c>
      <c r="B96" s="237" t="s">
        <v>3691</v>
      </c>
      <c r="C96" s="237" t="s">
        <v>3692</v>
      </c>
      <c r="D96" s="237" t="s">
        <v>21</v>
      </c>
      <c r="E96" s="237" t="s">
        <v>21</v>
      </c>
      <c r="F96" s="237" t="s">
        <v>21</v>
      </c>
      <c r="G96" s="237" t="s">
        <v>21</v>
      </c>
      <c r="H96" s="237" t="s">
        <v>3693</v>
      </c>
      <c r="I96" s="237" t="s">
        <v>3639</v>
      </c>
      <c r="J96" s="237" t="s">
        <v>3694</v>
      </c>
      <c r="K96" s="240" t="str">
        <f>IF(COUNTIF(L96:AY96,"&lt;&gt;")=0,"",SUMPRODUCT(((Recommendations[ImplStatus]="Implemented")+(Recommendations[ImplStatus]="Compensated"))*ISNUMBER(MATCH(Recommendations[Id],L96:AY96,0)))/COUNTIF(L96:AY96,"&lt;&gt;"))</f>
        <v/>
      </c>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53"/>
    </row>
    <row r="97" spans="1:51" ht="60" customHeight="1" outlineLevel="1" x14ac:dyDescent="0.35">
      <c r="A97" s="248" t="s">
        <v>599</v>
      </c>
      <c r="B97" s="236" t="s">
        <v>3695</v>
      </c>
      <c r="C97" s="236"/>
      <c r="D97" s="236"/>
      <c r="E97" s="236"/>
      <c r="F97" s="236"/>
      <c r="G97" s="236"/>
      <c r="H97" s="236"/>
      <c r="I97" s="236"/>
      <c r="J97" s="236"/>
      <c r="K97" s="239" t="str">
        <f>IF(COUNTIF(L97:AY97,"&lt;&gt;")=0,"",SUMPRODUCT(((Recommendations[ImplStatus]="Implemented")+(Recommendations[ImplStatus]="Compensated"))*ISNUMBER(MATCH(Recommendations[Id],L97:AY97,0)))/COUNTIF(L97:AY97,"&lt;&gt;"))</f>
        <v/>
      </c>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52"/>
    </row>
    <row r="98" spans="1:51" ht="60" customHeight="1" x14ac:dyDescent="0.35">
      <c r="A98" s="249" t="s">
        <v>3696</v>
      </c>
      <c r="B98" s="237" t="s">
        <v>3697</v>
      </c>
      <c r="C98" s="237" t="s">
        <v>3698</v>
      </c>
      <c r="D98" s="237" t="s">
        <v>3699</v>
      </c>
      <c r="E98" s="237" t="s">
        <v>21</v>
      </c>
      <c r="F98" s="237" t="s">
        <v>21</v>
      </c>
      <c r="G98" s="237" t="s">
        <v>21</v>
      </c>
      <c r="H98" s="237" t="s">
        <v>3700</v>
      </c>
      <c r="I98" s="237" t="s">
        <v>21</v>
      </c>
      <c r="J98" s="237" t="s">
        <v>3701</v>
      </c>
      <c r="K98" s="240" t="str">
        <f>IF(COUNTIF(L98:AY98,"&lt;&gt;")=0,"",SUMPRODUCT(((Recommendations[ImplStatus]="Implemented")+(Recommendations[ImplStatus]="Compensated"))*ISNUMBER(MATCH(Recommendations[Id],L98:AY98,0)))/COUNTIF(L98:AY98,"&lt;&gt;"))</f>
        <v/>
      </c>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53"/>
    </row>
    <row r="99" spans="1:51" ht="60" customHeight="1" x14ac:dyDescent="0.35">
      <c r="A99" s="249" t="s">
        <v>3702</v>
      </c>
      <c r="B99" s="237" t="s">
        <v>3703</v>
      </c>
      <c r="C99" s="237" t="s">
        <v>3704</v>
      </c>
      <c r="D99" s="237" t="s">
        <v>3705</v>
      </c>
      <c r="E99" s="237" t="s">
        <v>3706</v>
      </c>
      <c r="F99" s="237" t="s">
        <v>21</v>
      </c>
      <c r="G99" s="237" t="s">
        <v>21</v>
      </c>
      <c r="H99" s="237" t="s">
        <v>3707</v>
      </c>
      <c r="I99" s="237" t="s">
        <v>21</v>
      </c>
      <c r="J99" s="237" t="s">
        <v>3708</v>
      </c>
      <c r="K99" s="240" t="str">
        <f>IF(COUNTIF(L99:AY99,"&lt;&gt;")=0,"",SUMPRODUCT(((Recommendations[ImplStatus]="Implemented")+(Recommendations[ImplStatus]="Compensated"))*ISNUMBER(MATCH(Recommendations[Id],L99:AY99,0)))/COUNTIF(L99:AY99,"&lt;&gt;"))</f>
        <v/>
      </c>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53"/>
    </row>
    <row r="100" spans="1:51" ht="60" customHeight="1" x14ac:dyDescent="0.35">
      <c r="A100" s="249" t="s">
        <v>3709</v>
      </c>
      <c r="B100" s="237" t="s">
        <v>3710</v>
      </c>
      <c r="C100" s="237" t="s">
        <v>3711</v>
      </c>
      <c r="D100" s="237" t="s">
        <v>21</v>
      </c>
      <c r="E100" s="237" t="s">
        <v>21</v>
      </c>
      <c r="F100" s="237" t="s">
        <v>21</v>
      </c>
      <c r="G100" s="237" t="s">
        <v>21</v>
      </c>
      <c r="H100" s="237" t="s">
        <v>3712</v>
      </c>
      <c r="I100" s="237" t="s">
        <v>3713</v>
      </c>
      <c r="J100" s="237" t="s">
        <v>3714</v>
      </c>
      <c r="K100" s="240" t="str">
        <f>IF(COUNTIF(L100:AY100,"&lt;&gt;")=0,"",SUMPRODUCT(((Recommendations[ImplStatus]="Implemented")+(Recommendations[ImplStatus]="Compensated"))*ISNUMBER(MATCH(Recommendations[Id],L100:AY100,0)))/COUNTIF(L100:AY100,"&lt;&gt;"))</f>
        <v/>
      </c>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53"/>
    </row>
    <row r="101" spans="1:51" ht="60" customHeight="1" x14ac:dyDescent="0.35">
      <c r="A101" s="249" t="s">
        <v>3715</v>
      </c>
      <c r="B101" s="237" t="s">
        <v>3716</v>
      </c>
      <c r="C101" s="237" t="s">
        <v>3717</v>
      </c>
      <c r="D101" s="237" t="s">
        <v>21</v>
      </c>
      <c r="E101" s="237" t="s">
        <v>21</v>
      </c>
      <c r="F101" s="237" t="s">
        <v>21</v>
      </c>
      <c r="G101" s="237" t="s">
        <v>21</v>
      </c>
      <c r="H101" s="237" t="s">
        <v>3718</v>
      </c>
      <c r="I101" s="237" t="s">
        <v>3639</v>
      </c>
      <c r="J101" s="237" t="s">
        <v>3719</v>
      </c>
      <c r="K101" s="240" t="str">
        <f>IF(COUNTIF(L101:AY101,"&lt;&gt;")=0,"",SUMPRODUCT(((Recommendations[ImplStatus]="Implemented")+(Recommendations[ImplStatus]="Compensated"))*ISNUMBER(MATCH(Recommendations[Id],L101:AY101,0)))/COUNTIF(L101:AY101,"&lt;&gt;"))</f>
        <v/>
      </c>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53"/>
    </row>
    <row r="102" spans="1:51" ht="60" customHeight="1" x14ac:dyDescent="0.35">
      <c r="A102" s="249" t="s">
        <v>3720</v>
      </c>
      <c r="B102" s="237" t="s">
        <v>3721</v>
      </c>
      <c r="C102" s="237" t="s">
        <v>3722</v>
      </c>
      <c r="D102" s="237" t="s">
        <v>3723</v>
      </c>
      <c r="E102" s="237" t="s">
        <v>21</v>
      </c>
      <c r="F102" s="237" t="s">
        <v>21</v>
      </c>
      <c r="G102" s="237" t="s">
        <v>21</v>
      </c>
      <c r="H102" s="237" t="s">
        <v>3724</v>
      </c>
      <c r="I102" s="237" t="s">
        <v>21</v>
      </c>
      <c r="J102" s="237" t="s">
        <v>3725</v>
      </c>
      <c r="K102" s="240" t="str">
        <f>IF(COUNTIF(L102:AY102,"&lt;&gt;")=0,"",SUMPRODUCT(((Recommendations[ImplStatus]="Implemented")+(Recommendations[ImplStatus]="Compensated"))*ISNUMBER(MATCH(Recommendations[Id],L102:AY102,0)))/COUNTIF(L102:AY102,"&lt;&gt;"))</f>
        <v/>
      </c>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53"/>
    </row>
    <row r="103" spans="1:51" ht="60" customHeight="1" x14ac:dyDescent="0.35">
      <c r="A103" s="249" t="s">
        <v>3726</v>
      </c>
      <c r="B103" s="237" t="s">
        <v>3727</v>
      </c>
      <c r="C103" s="237" t="s">
        <v>3728</v>
      </c>
      <c r="D103" s="237" t="s">
        <v>3723</v>
      </c>
      <c r="E103" s="237" t="s">
        <v>21</v>
      </c>
      <c r="F103" s="237" t="s">
        <v>3729</v>
      </c>
      <c r="G103" s="237" t="s">
        <v>21</v>
      </c>
      <c r="H103" s="237" t="s">
        <v>3730</v>
      </c>
      <c r="I103" s="237" t="s">
        <v>3731</v>
      </c>
      <c r="J103" s="237" t="s">
        <v>3732</v>
      </c>
      <c r="K103" s="240" t="str">
        <f>IF(COUNTIF(L103:AY103,"&lt;&gt;")=0,"",SUMPRODUCT(((Recommendations[ImplStatus]="Implemented")+(Recommendations[ImplStatus]="Compensated"))*ISNUMBER(MATCH(Recommendations[Id],L103:AY103,0)))/COUNTIF(L103:AY103,"&lt;&gt;"))</f>
        <v/>
      </c>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53"/>
    </row>
    <row r="104" spans="1:51" ht="60" customHeight="1" outlineLevel="1" x14ac:dyDescent="0.35">
      <c r="A104" s="248" t="s">
        <v>603</v>
      </c>
      <c r="B104" s="236" t="s">
        <v>3733</v>
      </c>
      <c r="C104" s="236"/>
      <c r="D104" s="236"/>
      <c r="E104" s="236"/>
      <c r="F104" s="236"/>
      <c r="G104" s="236"/>
      <c r="H104" s="236"/>
      <c r="I104" s="236"/>
      <c r="J104" s="236"/>
      <c r="K104" s="239" t="str">
        <f>IF(COUNTIF(L104:AY104,"&lt;&gt;")=0,"",SUMPRODUCT(((Recommendations[ImplStatus]="Implemented")+(Recommendations[ImplStatus]="Compensated"))*ISNUMBER(MATCH(Recommendations[Id],L104:AY104,0)))/COUNTIF(L104:AY104,"&lt;&gt;"))</f>
        <v/>
      </c>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52"/>
    </row>
    <row r="105" spans="1:51" ht="60" customHeight="1" x14ac:dyDescent="0.35">
      <c r="A105" s="249" t="s">
        <v>3734</v>
      </c>
      <c r="B105" s="237" t="s">
        <v>3735</v>
      </c>
      <c r="C105" s="237" t="s">
        <v>3736</v>
      </c>
      <c r="D105" s="237" t="s">
        <v>3737</v>
      </c>
      <c r="E105" s="237" t="s">
        <v>3738</v>
      </c>
      <c r="F105" s="237" t="s">
        <v>21</v>
      </c>
      <c r="G105" s="237" t="s">
        <v>21</v>
      </c>
      <c r="H105" s="237" t="s">
        <v>3739</v>
      </c>
      <c r="I105" s="237" t="s">
        <v>3740</v>
      </c>
      <c r="J105" s="237" t="s">
        <v>3741</v>
      </c>
      <c r="K105" s="240" t="str">
        <f>IF(COUNTIF(L105:AY105,"&lt;&gt;")=0,"",SUMPRODUCT(((Recommendations[ImplStatus]="Implemented")+(Recommendations[ImplStatus]="Compensated"))*ISNUMBER(MATCH(Recommendations[Id],L105:AY105,0)))/COUNTIF(L105:AY105,"&lt;&gt;"))</f>
        <v/>
      </c>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53"/>
    </row>
    <row r="106" spans="1:51" ht="60" customHeight="1" outlineLevel="1" x14ac:dyDescent="0.35">
      <c r="A106" s="247" t="s">
        <v>3742</v>
      </c>
      <c r="B106" s="235" t="s">
        <v>3743</v>
      </c>
      <c r="C106" s="235"/>
      <c r="D106" s="235"/>
      <c r="E106" s="235"/>
      <c r="F106" s="235"/>
      <c r="G106" s="235"/>
      <c r="H106" s="235"/>
      <c r="I106" s="235"/>
      <c r="J106" s="235"/>
      <c r="K106" s="238" t="str">
        <f>IF(COUNTIF(L106:AY106,"&lt;&gt;")=0,"",SUMPRODUCT(((Recommendations[ImplStatus]="Implemented")+(Recommendations[ImplStatus]="Compensated"))*ISNUMBER(MATCH(Recommendations[Id],L106:AY106,0)))/COUNTIF(L106:AY106,"&lt;&gt;"))</f>
        <v/>
      </c>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51"/>
    </row>
    <row r="107" spans="1:51" ht="60" customHeight="1" outlineLevel="1" x14ac:dyDescent="0.35">
      <c r="A107" s="248" t="s">
        <v>617</v>
      </c>
      <c r="B107" s="236" t="s">
        <v>3744</v>
      </c>
      <c r="C107" s="236"/>
      <c r="D107" s="236"/>
      <c r="E107" s="236"/>
      <c r="F107" s="236"/>
      <c r="G107" s="236"/>
      <c r="H107" s="236"/>
      <c r="I107" s="236"/>
      <c r="J107" s="236"/>
      <c r="K107" s="239" t="str">
        <f>IF(COUNTIF(L107:AY107,"&lt;&gt;")=0,"",SUMPRODUCT(((Recommendations[ImplStatus]="Implemented")+(Recommendations[ImplStatus]="Compensated"))*ISNUMBER(MATCH(Recommendations[Id],L107:AY107,0)))/COUNTIF(L107:AY107,"&lt;&gt;"))</f>
        <v/>
      </c>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52"/>
    </row>
    <row r="108" spans="1:51" ht="60" customHeight="1" x14ac:dyDescent="0.35">
      <c r="A108" s="249" t="s">
        <v>3745</v>
      </c>
      <c r="B108" s="237" t="s">
        <v>3746</v>
      </c>
      <c r="C108" s="237" t="s">
        <v>3747</v>
      </c>
      <c r="D108" s="237" t="s">
        <v>3411</v>
      </c>
      <c r="E108" s="237" t="s">
        <v>3197</v>
      </c>
      <c r="F108" s="237" t="s">
        <v>21</v>
      </c>
      <c r="G108" s="237" t="s">
        <v>21</v>
      </c>
      <c r="H108" s="237" t="s">
        <v>3748</v>
      </c>
      <c r="I108" s="237" t="s">
        <v>21</v>
      </c>
      <c r="J108" s="237" t="s">
        <v>3749</v>
      </c>
      <c r="K108" s="240" t="str">
        <f>IF(COUNTIF(L108:AY108,"&lt;&gt;")=0,"",SUMPRODUCT(((Recommendations[ImplStatus]="Implemented")+(Recommendations[ImplStatus]="Compensated"))*ISNUMBER(MATCH(Recommendations[Id],L108:AY108,0)))/COUNTIF(L108:AY108,"&lt;&gt;"))</f>
        <v/>
      </c>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53"/>
    </row>
    <row r="109" spans="1:51" ht="60" customHeight="1" x14ac:dyDescent="0.35">
      <c r="A109" s="249" t="s">
        <v>3750</v>
      </c>
      <c r="B109" s="237" t="s">
        <v>3751</v>
      </c>
      <c r="C109" s="237" t="s">
        <v>3752</v>
      </c>
      <c r="D109" s="237" t="s">
        <v>3203</v>
      </c>
      <c r="E109" s="237" t="s">
        <v>21</v>
      </c>
      <c r="F109" s="237" t="s">
        <v>3205</v>
      </c>
      <c r="G109" s="237" t="s">
        <v>21</v>
      </c>
      <c r="H109" s="237" t="s">
        <v>3753</v>
      </c>
      <c r="I109" s="237" t="s">
        <v>21</v>
      </c>
      <c r="J109" s="237" t="s">
        <v>3754</v>
      </c>
      <c r="K109" s="240" t="str">
        <f>IF(COUNTIF(L109:AY109,"&lt;&gt;")=0,"",SUMPRODUCT(((Recommendations[ImplStatus]="Implemented")+(Recommendations[ImplStatus]="Compensated"))*ISNUMBER(MATCH(Recommendations[Id],L109:AY109,0)))/COUNTIF(L109:AY109,"&lt;&gt;"))</f>
        <v/>
      </c>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53"/>
    </row>
    <row r="110" spans="1:51" ht="60" customHeight="1" outlineLevel="1" x14ac:dyDescent="0.35">
      <c r="A110" s="248" t="s">
        <v>621</v>
      </c>
      <c r="B110" s="236" t="s">
        <v>3755</v>
      </c>
      <c r="C110" s="236"/>
      <c r="D110" s="236"/>
      <c r="E110" s="236"/>
      <c r="F110" s="236"/>
      <c r="G110" s="236"/>
      <c r="H110" s="236"/>
      <c r="I110" s="236"/>
      <c r="J110" s="236"/>
      <c r="K110" s="239" t="str">
        <f>IF(COUNTIF(L110:AY110,"&lt;&gt;")=0,"",SUMPRODUCT(((Recommendations[ImplStatus]="Implemented")+(Recommendations[ImplStatus]="Compensated"))*ISNUMBER(MATCH(Recommendations[Id],L110:AY110,0)))/COUNTIF(L110:AY110,"&lt;&gt;"))</f>
        <v/>
      </c>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52"/>
    </row>
    <row r="111" spans="1:51" ht="60" customHeight="1" x14ac:dyDescent="0.35">
      <c r="A111" s="249" t="s">
        <v>3756</v>
      </c>
      <c r="B111" s="237" t="s">
        <v>3757</v>
      </c>
      <c r="C111" s="237" t="s">
        <v>3758</v>
      </c>
      <c r="D111" s="237" t="s">
        <v>3759</v>
      </c>
      <c r="E111" s="237" t="s">
        <v>21</v>
      </c>
      <c r="F111" s="237" t="s">
        <v>3760</v>
      </c>
      <c r="G111" s="237" t="s">
        <v>21</v>
      </c>
      <c r="H111" s="237" t="s">
        <v>3761</v>
      </c>
      <c r="I111" s="237" t="s">
        <v>3762</v>
      </c>
      <c r="J111" s="237" t="s">
        <v>3763</v>
      </c>
      <c r="K111" s="240" t="str">
        <f>IF(COUNTIF(L111:AY111,"&lt;&gt;")=0,"",SUMPRODUCT(((Recommendations[ImplStatus]="Implemented")+(Recommendations[ImplStatus]="Compensated"))*ISNUMBER(MATCH(Recommendations[Id],L111:AY111,0)))/COUNTIF(L111:AY111,"&lt;&gt;"))</f>
        <v/>
      </c>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53"/>
    </row>
    <row r="112" spans="1:51" ht="60" customHeight="1" x14ac:dyDescent="0.35">
      <c r="A112" s="249" t="s">
        <v>3764</v>
      </c>
      <c r="B112" s="237" t="s">
        <v>3765</v>
      </c>
      <c r="C112" s="237" t="s">
        <v>3766</v>
      </c>
      <c r="D112" s="237" t="s">
        <v>3767</v>
      </c>
      <c r="E112" s="237" t="s">
        <v>21</v>
      </c>
      <c r="F112" s="237" t="s">
        <v>21</v>
      </c>
      <c r="G112" s="237" t="s">
        <v>21</v>
      </c>
      <c r="H112" s="237" t="s">
        <v>3768</v>
      </c>
      <c r="I112" s="237" t="s">
        <v>21</v>
      </c>
      <c r="J112" s="237" t="s">
        <v>3769</v>
      </c>
      <c r="K112" s="240" t="str">
        <f>IF(COUNTIF(L112:AY112,"&lt;&gt;")=0,"",SUMPRODUCT(((Recommendations[ImplStatus]="Implemented")+(Recommendations[ImplStatus]="Compensated"))*ISNUMBER(MATCH(Recommendations[Id],L112:AY112,0)))/COUNTIF(L112:AY112,"&lt;&gt;"))</f>
        <v/>
      </c>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53"/>
    </row>
    <row r="113" spans="1:51" ht="60" customHeight="1" x14ac:dyDescent="0.35">
      <c r="A113" s="249" t="s">
        <v>3770</v>
      </c>
      <c r="B113" s="237" t="s">
        <v>3771</v>
      </c>
      <c r="C113" s="237" t="s">
        <v>3772</v>
      </c>
      <c r="D113" s="237" t="s">
        <v>3773</v>
      </c>
      <c r="E113" s="237" t="s">
        <v>21</v>
      </c>
      <c r="F113" s="237" t="s">
        <v>21</v>
      </c>
      <c r="G113" s="237" t="s">
        <v>21</v>
      </c>
      <c r="H113" s="237" t="s">
        <v>3774</v>
      </c>
      <c r="I113" s="237" t="s">
        <v>3775</v>
      </c>
      <c r="J113" s="237" t="s">
        <v>3776</v>
      </c>
      <c r="K113" s="240" t="str">
        <f>IF(COUNTIF(L113:AY113,"&lt;&gt;")=0,"",SUMPRODUCT(((Recommendations[ImplStatus]="Implemented")+(Recommendations[ImplStatus]="Compensated"))*ISNUMBER(MATCH(Recommendations[Id],L113:AY113,0)))/COUNTIF(L113:AY113,"&lt;&gt;"))</f>
        <v/>
      </c>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53"/>
    </row>
    <row r="114" spans="1:51" ht="60" customHeight="1" x14ac:dyDescent="0.35">
      <c r="A114" s="249" t="s">
        <v>3777</v>
      </c>
      <c r="B114" s="237" t="s">
        <v>3778</v>
      </c>
      <c r="C114" s="237" t="s">
        <v>3779</v>
      </c>
      <c r="D114" s="237" t="s">
        <v>3780</v>
      </c>
      <c r="E114" s="237" t="s">
        <v>21</v>
      </c>
      <c r="F114" s="237" t="s">
        <v>21</v>
      </c>
      <c r="G114" s="237" t="s">
        <v>3781</v>
      </c>
      <c r="H114" s="237" t="s">
        <v>3782</v>
      </c>
      <c r="I114" s="237" t="s">
        <v>3783</v>
      </c>
      <c r="J114" s="237" t="s">
        <v>3784</v>
      </c>
      <c r="K114" s="240" t="str">
        <f>IF(COUNTIF(L114:AY114,"&lt;&gt;")=0,"",SUMPRODUCT(((Recommendations[ImplStatus]="Implemented")+(Recommendations[ImplStatus]="Compensated"))*ISNUMBER(MATCH(Recommendations[Id],L114:AY114,0)))/COUNTIF(L114:AY114,"&lt;&gt;"))</f>
        <v/>
      </c>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53"/>
    </row>
    <row r="115" spans="1:51" ht="60" customHeight="1" x14ac:dyDescent="0.35">
      <c r="A115" s="249" t="s">
        <v>3785</v>
      </c>
      <c r="B115" s="237" t="s">
        <v>3786</v>
      </c>
      <c r="C115" s="237" t="s">
        <v>3787</v>
      </c>
      <c r="D115" s="237" t="s">
        <v>3788</v>
      </c>
      <c r="E115" s="237" t="s">
        <v>21</v>
      </c>
      <c r="F115" s="237" t="s">
        <v>3789</v>
      </c>
      <c r="G115" s="237" t="s">
        <v>21</v>
      </c>
      <c r="H115" s="237" t="s">
        <v>3790</v>
      </c>
      <c r="I115" s="237" t="s">
        <v>3790</v>
      </c>
      <c r="J115" s="237" t="s">
        <v>3791</v>
      </c>
      <c r="K115" s="240" t="str">
        <f>IF(COUNTIF(L115:AY115,"&lt;&gt;")=0,"",SUMPRODUCT(((Recommendations[ImplStatus]="Implemented")+(Recommendations[ImplStatus]="Compensated"))*ISNUMBER(MATCH(Recommendations[Id],L115:AY115,0)))/COUNTIF(L115:AY115,"&lt;&gt;"))</f>
        <v/>
      </c>
      <c r="L115" s="243"/>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53"/>
    </row>
    <row r="116" spans="1:51" ht="60" customHeight="1" outlineLevel="1" x14ac:dyDescent="0.35">
      <c r="A116" s="248" t="s">
        <v>625</v>
      </c>
      <c r="B116" s="236" t="s">
        <v>3792</v>
      </c>
      <c r="C116" s="236"/>
      <c r="D116" s="236"/>
      <c r="E116" s="236"/>
      <c r="F116" s="236"/>
      <c r="G116" s="236"/>
      <c r="H116" s="236"/>
      <c r="I116" s="236"/>
      <c r="J116" s="236"/>
      <c r="K116" s="239" t="str">
        <f>IF(COUNTIF(L116:AY116,"&lt;&gt;")=0,"",SUMPRODUCT(((Recommendations[ImplStatus]="Implemented")+(Recommendations[ImplStatus]="Compensated"))*ISNUMBER(MATCH(Recommendations[Id],L116:AY116,0)))/COUNTIF(L116:AY116,"&lt;&gt;"))</f>
        <v/>
      </c>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52"/>
    </row>
    <row r="117" spans="1:51" ht="60" customHeight="1" x14ac:dyDescent="0.35">
      <c r="A117" s="249" t="s">
        <v>3793</v>
      </c>
      <c r="B117" s="237" t="s">
        <v>3794</v>
      </c>
      <c r="C117" s="237" t="s">
        <v>3795</v>
      </c>
      <c r="D117" s="237" t="s">
        <v>3796</v>
      </c>
      <c r="E117" s="237" t="s">
        <v>21</v>
      </c>
      <c r="F117" s="237" t="s">
        <v>3797</v>
      </c>
      <c r="G117" s="237" t="s">
        <v>3798</v>
      </c>
      <c r="H117" s="237" t="s">
        <v>3799</v>
      </c>
      <c r="I117" s="237" t="s">
        <v>3800</v>
      </c>
      <c r="J117" s="237" t="s">
        <v>3801</v>
      </c>
      <c r="K117" s="240" t="str">
        <f>IF(COUNTIF(L117:AY117,"&lt;&gt;")=0,"",SUMPRODUCT(((Recommendations[ImplStatus]="Implemented")+(Recommendations[ImplStatus]="Compensated"))*ISNUMBER(MATCH(Recommendations[Id],L117:AY117,0)))/COUNTIF(L117:AY117,"&lt;&gt;"))</f>
        <v/>
      </c>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53"/>
    </row>
    <row r="118" spans="1:51" ht="60" customHeight="1" x14ac:dyDescent="0.35">
      <c r="A118" s="249" t="s">
        <v>3802</v>
      </c>
      <c r="B118" s="237" t="s">
        <v>3803</v>
      </c>
      <c r="C118" s="237" t="s">
        <v>3804</v>
      </c>
      <c r="D118" s="237" t="s">
        <v>3805</v>
      </c>
      <c r="E118" s="237" t="s">
        <v>21</v>
      </c>
      <c r="F118" s="237" t="s">
        <v>21</v>
      </c>
      <c r="G118" s="237" t="s">
        <v>21</v>
      </c>
      <c r="H118" s="237" t="s">
        <v>3806</v>
      </c>
      <c r="I118" s="237" t="s">
        <v>3639</v>
      </c>
      <c r="J118" s="237" t="s">
        <v>3807</v>
      </c>
      <c r="K118" s="240" t="str">
        <f>IF(COUNTIF(L118:AY118,"&lt;&gt;")=0,"",SUMPRODUCT(((Recommendations[ImplStatus]="Implemented")+(Recommendations[ImplStatus]="Compensated"))*ISNUMBER(MATCH(Recommendations[Id],L118:AY118,0)))/COUNTIF(L118:AY118,"&lt;&gt;"))</f>
        <v/>
      </c>
      <c r="L118" s="243"/>
      <c r="M118" s="243"/>
      <c r="N118" s="243"/>
      <c r="O118" s="243"/>
      <c r="P118" s="243"/>
      <c r="Q118" s="24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53"/>
    </row>
    <row r="119" spans="1:51" ht="60" customHeight="1" x14ac:dyDescent="0.35">
      <c r="A119" s="249" t="s">
        <v>3808</v>
      </c>
      <c r="B119" s="237" t="s">
        <v>3809</v>
      </c>
      <c r="C119" s="237" t="s">
        <v>3810</v>
      </c>
      <c r="D119" s="237" t="s">
        <v>3811</v>
      </c>
      <c r="E119" s="237" t="s">
        <v>21</v>
      </c>
      <c r="F119" s="237" t="s">
        <v>3812</v>
      </c>
      <c r="G119" s="237" t="s">
        <v>21</v>
      </c>
      <c r="H119" s="237" t="s">
        <v>3813</v>
      </c>
      <c r="I119" s="237" t="s">
        <v>3814</v>
      </c>
      <c r="J119" s="237" t="s">
        <v>3815</v>
      </c>
      <c r="K119" s="240" t="str">
        <f>IF(COUNTIF(L119:AY119,"&lt;&gt;")=0,"",SUMPRODUCT(((Recommendations[ImplStatus]="Implemented")+(Recommendations[ImplStatus]="Compensated"))*ISNUMBER(MATCH(Recommendations[Id],L119:AY119,0)))/COUNTIF(L119:AY119,"&lt;&gt;"))</f>
        <v/>
      </c>
      <c r="L119" s="243"/>
      <c r="M119" s="243"/>
      <c r="N119" s="243"/>
      <c r="O119" s="243"/>
      <c r="P119" s="243"/>
      <c r="Q119" s="24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53"/>
    </row>
    <row r="120" spans="1:51" ht="60" customHeight="1" outlineLevel="1" x14ac:dyDescent="0.35">
      <c r="A120" s="248" t="s">
        <v>629</v>
      </c>
      <c r="B120" s="236" t="s">
        <v>3816</v>
      </c>
      <c r="C120" s="236"/>
      <c r="D120" s="236"/>
      <c r="E120" s="236"/>
      <c r="F120" s="236"/>
      <c r="G120" s="236"/>
      <c r="H120" s="236"/>
      <c r="I120" s="236"/>
      <c r="J120" s="236"/>
      <c r="K120" s="239" t="str">
        <f>IF(COUNTIF(L120:AY120,"&lt;&gt;")=0,"",SUMPRODUCT(((Recommendations[ImplStatus]="Implemented")+(Recommendations[ImplStatus]="Compensated"))*ISNUMBER(MATCH(Recommendations[Id],L120:AY120,0)))/COUNTIF(L120:AY120,"&lt;&gt;"))</f>
        <v/>
      </c>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52"/>
    </row>
    <row r="121" spans="1:51" ht="60" customHeight="1" x14ac:dyDescent="0.35">
      <c r="A121" s="249" t="s">
        <v>3817</v>
      </c>
      <c r="B121" s="237" t="s">
        <v>3818</v>
      </c>
      <c r="C121" s="237" t="s">
        <v>21</v>
      </c>
      <c r="D121" s="237" t="s">
        <v>21</v>
      </c>
      <c r="E121" s="237" t="s">
        <v>21</v>
      </c>
      <c r="F121" s="237" t="s">
        <v>21</v>
      </c>
      <c r="G121" s="237" t="s">
        <v>21</v>
      </c>
      <c r="H121" s="237" t="s">
        <v>21</v>
      </c>
      <c r="I121" s="237" t="s">
        <v>21</v>
      </c>
      <c r="J121" s="237" t="s">
        <v>21</v>
      </c>
      <c r="K121" s="240" t="str">
        <f>IF(COUNTIF(L121:AY121,"&lt;&gt;")=0,"",SUMPRODUCT(((Recommendations[ImplStatus]="Implemented")+(Recommendations[ImplStatus]="Compensated"))*ISNUMBER(MATCH(Recommendations[Id],L121:AY121,0)))/COUNTIF(L121:AY121,"&lt;&gt;"))</f>
        <v/>
      </c>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53"/>
    </row>
    <row r="122" spans="1:51" ht="60" customHeight="1" x14ac:dyDescent="0.35">
      <c r="A122" s="249" t="s">
        <v>3819</v>
      </c>
      <c r="B122" s="237" t="s">
        <v>3820</v>
      </c>
      <c r="C122" s="237" t="s">
        <v>3821</v>
      </c>
      <c r="D122" s="237" t="s">
        <v>3822</v>
      </c>
      <c r="E122" s="237" t="s">
        <v>21</v>
      </c>
      <c r="F122" s="237" t="s">
        <v>3823</v>
      </c>
      <c r="G122" s="237" t="s">
        <v>21</v>
      </c>
      <c r="H122" s="237" t="s">
        <v>3824</v>
      </c>
      <c r="I122" s="237" t="s">
        <v>3825</v>
      </c>
      <c r="J122" s="237" t="s">
        <v>3826</v>
      </c>
      <c r="K122" s="240" t="str">
        <f>IF(COUNTIF(L122:AY122,"&lt;&gt;")=0,"",SUMPRODUCT(((Recommendations[ImplStatus]="Implemented")+(Recommendations[ImplStatus]="Compensated"))*ISNUMBER(MATCH(Recommendations[Id],L122:AY122,0)))/COUNTIF(L122:AY122,"&lt;&gt;"))</f>
        <v/>
      </c>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53"/>
    </row>
    <row r="123" spans="1:51" ht="60" customHeight="1" x14ac:dyDescent="0.35">
      <c r="A123" s="249" t="s">
        <v>3827</v>
      </c>
      <c r="B123" s="237" t="s">
        <v>3828</v>
      </c>
      <c r="C123" s="237" t="s">
        <v>3829</v>
      </c>
      <c r="D123" s="237" t="s">
        <v>3830</v>
      </c>
      <c r="E123" s="237" t="s">
        <v>21</v>
      </c>
      <c r="F123" s="237" t="s">
        <v>3831</v>
      </c>
      <c r="G123" s="237" t="s">
        <v>21</v>
      </c>
      <c r="H123" s="237" t="s">
        <v>3832</v>
      </c>
      <c r="I123" s="237" t="s">
        <v>21</v>
      </c>
      <c r="J123" s="237" t="s">
        <v>3833</v>
      </c>
      <c r="K123" s="240" t="str">
        <f>IF(COUNTIF(L123:AY123,"&lt;&gt;")=0,"",SUMPRODUCT(((Recommendations[ImplStatus]="Implemented")+(Recommendations[ImplStatus]="Compensated"))*ISNUMBER(MATCH(Recommendations[Id],L123:AY123,0)))/COUNTIF(L123:AY123,"&lt;&gt;"))</f>
        <v/>
      </c>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53"/>
    </row>
    <row r="124" spans="1:51" ht="60" customHeight="1" outlineLevel="1" x14ac:dyDescent="0.35">
      <c r="A124" s="248" t="s">
        <v>633</v>
      </c>
      <c r="B124" s="236" t="s">
        <v>3834</v>
      </c>
      <c r="C124" s="236"/>
      <c r="D124" s="236"/>
      <c r="E124" s="236"/>
      <c r="F124" s="236"/>
      <c r="G124" s="236"/>
      <c r="H124" s="236"/>
      <c r="I124" s="236"/>
      <c r="J124" s="236"/>
      <c r="K124" s="239" t="str">
        <f>IF(COUNTIF(L124:AY124,"&lt;&gt;")=0,"",SUMPRODUCT(((Recommendations[ImplStatus]="Implemented")+(Recommendations[ImplStatus]="Compensated"))*ISNUMBER(MATCH(Recommendations[Id],L124:AY124,0)))/COUNTIF(L124:AY124,"&lt;&gt;"))</f>
        <v/>
      </c>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52"/>
    </row>
    <row r="125" spans="1:51" ht="60" customHeight="1" x14ac:dyDescent="0.35">
      <c r="A125" s="249" t="s">
        <v>3835</v>
      </c>
      <c r="B125" s="237" t="s">
        <v>3836</v>
      </c>
      <c r="C125" s="237" t="s">
        <v>3837</v>
      </c>
      <c r="D125" s="237" t="s">
        <v>3838</v>
      </c>
      <c r="E125" s="237" t="s">
        <v>21</v>
      </c>
      <c r="F125" s="237" t="s">
        <v>21</v>
      </c>
      <c r="G125" s="237" t="s">
        <v>21</v>
      </c>
      <c r="H125" s="237" t="s">
        <v>3839</v>
      </c>
      <c r="I125" s="237" t="s">
        <v>21</v>
      </c>
      <c r="J125" s="237" t="s">
        <v>3840</v>
      </c>
      <c r="K125" s="240" t="str">
        <f>IF(COUNTIF(L125:AY125,"&lt;&gt;")=0,"",SUMPRODUCT(((Recommendations[ImplStatus]="Implemented")+(Recommendations[ImplStatus]="Compensated"))*ISNUMBER(MATCH(Recommendations[Id],L125:AY125,0)))/COUNTIF(L125:AY125,"&lt;&gt;"))</f>
        <v/>
      </c>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53"/>
    </row>
    <row r="126" spans="1:51" ht="60" customHeight="1" x14ac:dyDescent="0.35">
      <c r="A126" s="249" t="s">
        <v>3841</v>
      </c>
      <c r="B126" s="237" t="s">
        <v>3842</v>
      </c>
      <c r="C126" s="237" t="s">
        <v>3843</v>
      </c>
      <c r="D126" s="237" t="s">
        <v>3844</v>
      </c>
      <c r="E126" s="237" t="s">
        <v>21</v>
      </c>
      <c r="F126" s="237" t="s">
        <v>3845</v>
      </c>
      <c r="G126" s="237" t="s">
        <v>21</v>
      </c>
      <c r="H126" s="237" t="s">
        <v>3846</v>
      </c>
      <c r="I126" s="237" t="s">
        <v>3847</v>
      </c>
      <c r="J126" s="237" t="s">
        <v>3848</v>
      </c>
      <c r="K126" s="240" t="str">
        <f>IF(COUNTIF(L126:AY126,"&lt;&gt;")=0,"",SUMPRODUCT(((Recommendations[ImplStatus]="Implemented")+(Recommendations[ImplStatus]="Compensated"))*ISNUMBER(MATCH(Recommendations[Id],L126:AY126,0)))/COUNTIF(L126:AY126,"&lt;&gt;"))</f>
        <v/>
      </c>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53"/>
    </row>
    <row r="127" spans="1:51" ht="60" customHeight="1" x14ac:dyDescent="0.35">
      <c r="A127" s="249" t="s">
        <v>3849</v>
      </c>
      <c r="B127" s="237" t="s">
        <v>3850</v>
      </c>
      <c r="C127" s="237" t="s">
        <v>3851</v>
      </c>
      <c r="D127" s="237" t="s">
        <v>3852</v>
      </c>
      <c r="E127" s="237" t="s">
        <v>3853</v>
      </c>
      <c r="F127" s="237" t="s">
        <v>21</v>
      </c>
      <c r="G127" s="237" t="s">
        <v>21</v>
      </c>
      <c r="H127" s="237" t="s">
        <v>3854</v>
      </c>
      <c r="I127" s="237" t="s">
        <v>21</v>
      </c>
      <c r="J127" s="237" t="s">
        <v>3855</v>
      </c>
      <c r="K127" s="240" t="str">
        <f>IF(COUNTIF(L127:AY127,"&lt;&gt;")=0,"",SUMPRODUCT(((Recommendations[ImplStatus]="Implemented")+(Recommendations[ImplStatus]="Compensated"))*ISNUMBER(MATCH(Recommendations[Id],L127:AY127,0)))/COUNTIF(L127:AY127,"&lt;&gt;"))</f>
        <v/>
      </c>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53"/>
    </row>
    <row r="128" spans="1:51" ht="60" customHeight="1" x14ac:dyDescent="0.35">
      <c r="A128" s="249" t="s">
        <v>3856</v>
      </c>
      <c r="B128" s="237" t="s">
        <v>3857</v>
      </c>
      <c r="C128" s="237" t="s">
        <v>3858</v>
      </c>
      <c r="D128" s="237" t="s">
        <v>21</v>
      </c>
      <c r="E128" s="237" t="s">
        <v>21</v>
      </c>
      <c r="F128" s="237" t="s">
        <v>21</v>
      </c>
      <c r="G128" s="237" t="s">
        <v>21</v>
      </c>
      <c r="H128" s="237" t="s">
        <v>3859</v>
      </c>
      <c r="I128" s="237" t="s">
        <v>3860</v>
      </c>
      <c r="J128" s="237" t="s">
        <v>3861</v>
      </c>
      <c r="K128" s="240" t="str">
        <f>IF(COUNTIF(L128:AY128,"&lt;&gt;")=0,"",SUMPRODUCT(((Recommendations[ImplStatus]="Implemented")+(Recommendations[ImplStatus]="Compensated"))*ISNUMBER(MATCH(Recommendations[Id],L128:AY128,0)))/COUNTIF(L128:AY128,"&lt;&gt;"))</f>
        <v/>
      </c>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53"/>
    </row>
    <row r="129" spans="1:51" ht="60" customHeight="1" x14ac:dyDescent="0.35">
      <c r="A129" s="249" t="s">
        <v>3862</v>
      </c>
      <c r="B129" s="237" t="s">
        <v>3863</v>
      </c>
      <c r="C129" s="237" t="s">
        <v>3864</v>
      </c>
      <c r="D129" s="237" t="s">
        <v>21</v>
      </c>
      <c r="E129" s="237" t="s">
        <v>3865</v>
      </c>
      <c r="F129" s="237" t="s">
        <v>21</v>
      </c>
      <c r="G129" s="237" t="s">
        <v>21</v>
      </c>
      <c r="H129" s="237" t="s">
        <v>3866</v>
      </c>
      <c r="I129" s="237" t="s">
        <v>21</v>
      </c>
      <c r="J129" s="237" t="s">
        <v>3867</v>
      </c>
      <c r="K129" s="240" t="str">
        <f>IF(COUNTIF(L129:AY129,"&lt;&gt;")=0,"",SUMPRODUCT(((Recommendations[ImplStatus]="Implemented")+(Recommendations[ImplStatus]="Compensated"))*ISNUMBER(MATCH(Recommendations[Id],L129:AY129,0)))/COUNTIF(L129:AY129,"&lt;&gt;"))</f>
        <v/>
      </c>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53"/>
    </row>
    <row r="130" spans="1:51" ht="60" customHeight="1" x14ac:dyDescent="0.35">
      <c r="A130" s="249" t="s">
        <v>3868</v>
      </c>
      <c r="B130" s="237" t="s">
        <v>3869</v>
      </c>
      <c r="C130" s="237" t="s">
        <v>3870</v>
      </c>
      <c r="D130" s="237" t="s">
        <v>21</v>
      </c>
      <c r="E130" s="237" t="s">
        <v>21</v>
      </c>
      <c r="F130" s="237" t="s">
        <v>21</v>
      </c>
      <c r="G130" s="237" t="s">
        <v>21</v>
      </c>
      <c r="H130" s="237" t="s">
        <v>3871</v>
      </c>
      <c r="I130" s="237" t="s">
        <v>21</v>
      </c>
      <c r="J130" s="237" t="s">
        <v>3872</v>
      </c>
      <c r="K130" s="240" t="str">
        <f>IF(COUNTIF(L130:AY130,"&lt;&gt;")=0,"",SUMPRODUCT(((Recommendations[ImplStatus]="Implemented")+(Recommendations[ImplStatus]="Compensated"))*ISNUMBER(MATCH(Recommendations[Id],L130:AY130,0)))/COUNTIF(L130:AY130,"&lt;&gt;"))</f>
        <v/>
      </c>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53"/>
    </row>
    <row r="131" spans="1:51" ht="60" customHeight="1" outlineLevel="1" x14ac:dyDescent="0.35">
      <c r="A131" s="247" t="s">
        <v>3873</v>
      </c>
      <c r="B131" s="235" t="s">
        <v>3874</v>
      </c>
      <c r="C131" s="235"/>
      <c r="D131" s="235"/>
      <c r="E131" s="235"/>
      <c r="F131" s="235"/>
      <c r="G131" s="235"/>
      <c r="H131" s="235"/>
      <c r="I131" s="235"/>
      <c r="J131" s="235"/>
      <c r="K131" s="238" t="str">
        <f>IF(COUNTIF(L131:AY131,"&lt;&gt;")=0,"",SUMPRODUCT(((Recommendations[ImplStatus]="Implemented")+(Recommendations[ImplStatus]="Compensated"))*ISNUMBER(MATCH(Recommendations[Id],L131:AY131,0)))/COUNTIF(L131:AY131,"&lt;&gt;"))</f>
        <v/>
      </c>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51"/>
    </row>
    <row r="132" spans="1:51" ht="60" customHeight="1" outlineLevel="1" x14ac:dyDescent="0.35">
      <c r="A132" s="248" t="s">
        <v>651</v>
      </c>
      <c r="B132" s="236" t="s">
        <v>3875</v>
      </c>
      <c r="C132" s="236"/>
      <c r="D132" s="236"/>
      <c r="E132" s="236"/>
      <c r="F132" s="236"/>
      <c r="G132" s="236"/>
      <c r="H132" s="236"/>
      <c r="I132" s="236"/>
      <c r="J132" s="236"/>
      <c r="K132" s="239" t="str">
        <f>IF(COUNTIF(L132:AY132,"&lt;&gt;")=0,"",SUMPRODUCT(((Recommendations[ImplStatus]="Implemented")+(Recommendations[ImplStatus]="Compensated"))*ISNUMBER(MATCH(Recommendations[Id],L132:AY132,0)))/COUNTIF(L132:AY132,"&lt;&gt;"))</f>
        <v/>
      </c>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52"/>
    </row>
    <row r="133" spans="1:51" ht="60" customHeight="1" x14ac:dyDescent="0.35">
      <c r="A133" s="249" t="s">
        <v>3876</v>
      </c>
      <c r="B133" s="237" t="s">
        <v>3877</v>
      </c>
      <c r="C133" s="237" t="s">
        <v>3878</v>
      </c>
      <c r="D133" s="237" t="s">
        <v>3411</v>
      </c>
      <c r="E133" s="237" t="s">
        <v>3197</v>
      </c>
      <c r="F133" s="237" t="s">
        <v>21</v>
      </c>
      <c r="G133" s="237" t="s">
        <v>21</v>
      </c>
      <c r="H133" s="237" t="s">
        <v>3879</v>
      </c>
      <c r="I133" s="237" t="s">
        <v>21</v>
      </c>
      <c r="J133" s="237" t="s">
        <v>3880</v>
      </c>
      <c r="K133" s="240" t="str">
        <f>IF(COUNTIF(L133:AY133,"&lt;&gt;")=0,"",SUMPRODUCT(((Recommendations[ImplStatus]="Implemented")+(Recommendations[ImplStatus]="Compensated"))*ISNUMBER(MATCH(Recommendations[Id],L133:AY133,0)))/COUNTIF(L133:AY133,"&lt;&gt;"))</f>
        <v/>
      </c>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53"/>
    </row>
    <row r="134" spans="1:51" ht="60" customHeight="1" x14ac:dyDescent="0.35">
      <c r="A134" s="249" t="s">
        <v>3881</v>
      </c>
      <c r="B134" s="237" t="s">
        <v>3882</v>
      </c>
      <c r="C134" s="237" t="s">
        <v>3416</v>
      </c>
      <c r="D134" s="237" t="s">
        <v>3203</v>
      </c>
      <c r="E134" s="237" t="s">
        <v>21</v>
      </c>
      <c r="F134" s="237" t="s">
        <v>3205</v>
      </c>
      <c r="G134" s="237" t="s">
        <v>21</v>
      </c>
      <c r="H134" s="237" t="s">
        <v>3883</v>
      </c>
      <c r="I134" s="237" t="s">
        <v>21</v>
      </c>
      <c r="J134" s="237" t="s">
        <v>3884</v>
      </c>
      <c r="K134" s="240" t="str">
        <f>IF(COUNTIF(L134:AY134,"&lt;&gt;")=0,"",SUMPRODUCT(((Recommendations[ImplStatus]="Implemented")+(Recommendations[ImplStatus]="Compensated"))*ISNUMBER(MATCH(Recommendations[Id],L134:AY134,0)))/COUNTIF(L134:AY134,"&lt;&gt;"))</f>
        <v/>
      </c>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53"/>
    </row>
    <row r="135" spans="1:51" ht="60" customHeight="1" outlineLevel="1" x14ac:dyDescent="0.35">
      <c r="A135" s="248" t="s">
        <v>655</v>
      </c>
      <c r="B135" s="236" t="s">
        <v>3885</v>
      </c>
      <c r="C135" s="236"/>
      <c r="D135" s="236"/>
      <c r="E135" s="236"/>
      <c r="F135" s="236"/>
      <c r="G135" s="236"/>
      <c r="H135" s="236"/>
      <c r="I135" s="236"/>
      <c r="J135" s="236"/>
      <c r="K135" s="239" t="str">
        <f>IF(COUNTIF(L135:AY135,"&lt;&gt;")=0,"",SUMPRODUCT(((Recommendations[ImplStatus]="Implemented")+(Recommendations[ImplStatus]="Compensated"))*ISNUMBER(MATCH(Recommendations[Id],L135:AY135,0)))/COUNTIF(L135:AY135,"&lt;&gt;"))</f>
        <v/>
      </c>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52"/>
    </row>
    <row r="136" spans="1:51" ht="60" customHeight="1" x14ac:dyDescent="0.35">
      <c r="A136" s="249" t="s">
        <v>3886</v>
      </c>
      <c r="B136" s="237" t="s">
        <v>3887</v>
      </c>
      <c r="C136" s="237" t="s">
        <v>3888</v>
      </c>
      <c r="D136" s="237" t="s">
        <v>3889</v>
      </c>
      <c r="E136" s="237" t="s">
        <v>3890</v>
      </c>
      <c r="F136" s="237" t="s">
        <v>3891</v>
      </c>
      <c r="G136" s="237" t="s">
        <v>21</v>
      </c>
      <c r="H136" s="237" t="s">
        <v>3892</v>
      </c>
      <c r="I136" s="237" t="s">
        <v>21</v>
      </c>
      <c r="J136" s="237" t="s">
        <v>3893</v>
      </c>
      <c r="K136" s="240" t="str">
        <f>IF(COUNTIF(L136:AY136,"&lt;&gt;")=0,"",SUMPRODUCT(((Recommendations[ImplStatus]="Implemented")+(Recommendations[ImplStatus]="Compensated"))*ISNUMBER(MATCH(Recommendations[Id],L136:AY136,0)))/COUNTIF(L136:AY136,"&lt;&gt;"))</f>
        <v/>
      </c>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53"/>
    </row>
    <row r="137" spans="1:51" ht="60" customHeight="1" x14ac:dyDescent="0.35">
      <c r="A137" s="249" t="s">
        <v>3894</v>
      </c>
      <c r="B137" s="237" t="s">
        <v>3895</v>
      </c>
      <c r="C137" s="237" t="s">
        <v>3896</v>
      </c>
      <c r="D137" s="237" t="s">
        <v>3897</v>
      </c>
      <c r="E137" s="237" t="s">
        <v>21</v>
      </c>
      <c r="F137" s="237" t="s">
        <v>21</v>
      </c>
      <c r="G137" s="237" t="s">
        <v>21</v>
      </c>
      <c r="H137" s="237" t="s">
        <v>3898</v>
      </c>
      <c r="I137" s="237" t="s">
        <v>21</v>
      </c>
      <c r="J137" s="237" t="s">
        <v>3899</v>
      </c>
      <c r="K137" s="240" t="str">
        <f>IF(COUNTIF(L137:AY137,"&lt;&gt;")=0,"",SUMPRODUCT(((Recommendations[ImplStatus]="Implemented")+(Recommendations[ImplStatus]="Compensated"))*ISNUMBER(MATCH(Recommendations[Id],L137:AY137,0)))/COUNTIF(L137:AY137,"&lt;&gt;"))</f>
        <v/>
      </c>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53"/>
    </row>
    <row r="138" spans="1:51" ht="60" customHeight="1" x14ac:dyDescent="0.35">
      <c r="A138" s="249" t="s">
        <v>3900</v>
      </c>
      <c r="B138" s="237" t="s">
        <v>3901</v>
      </c>
      <c r="C138" s="237" t="s">
        <v>3902</v>
      </c>
      <c r="D138" s="237" t="s">
        <v>21</v>
      </c>
      <c r="E138" s="237" t="s">
        <v>21</v>
      </c>
      <c r="F138" s="237" t="s">
        <v>21</v>
      </c>
      <c r="G138" s="237" t="s">
        <v>21</v>
      </c>
      <c r="H138" s="237" t="s">
        <v>3903</v>
      </c>
      <c r="I138" s="237" t="s">
        <v>21</v>
      </c>
      <c r="J138" s="237" t="s">
        <v>3904</v>
      </c>
      <c r="K138" s="240" t="str">
        <f>IF(COUNTIF(L138:AY138,"&lt;&gt;")=0,"",SUMPRODUCT(((Recommendations[ImplStatus]="Implemented")+(Recommendations[ImplStatus]="Compensated"))*ISNUMBER(MATCH(Recommendations[Id],L138:AY138,0)))/COUNTIF(L138:AY138,"&lt;&gt;"))</f>
        <v/>
      </c>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53"/>
    </row>
    <row r="139" spans="1:51" ht="60" customHeight="1" x14ac:dyDescent="0.35">
      <c r="A139" s="249" t="s">
        <v>3905</v>
      </c>
      <c r="B139" s="237" t="s">
        <v>3906</v>
      </c>
      <c r="C139" s="237" t="s">
        <v>3907</v>
      </c>
      <c r="D139" s="237" t="s">
        <v>3908</v>
      </c>
      <c r="E139" s="237" t="s">
        <v>21</v>
      </c>
      <c r="F139" s="237" t="s">
        <v>21</v>
      </c>
      <c r="G139" s="237" t="s">
        <v>21</v>
      </c>
      <c r="H139" s="237" t="s">
        <v>3909</v>
      </c>
      <c r="I139" s="237" t="s">
        <v>3910</v>
      </c>
      <c r="J139" s="237" t="s">
        <v>3911</v>
      </c>
      <c r="K139" s="240" t="str">
        <f>IF(COUNTIF(L139:AY139,"&lt;&gt;")=0,"",SUMPRODUCT(((Recommendations[ImplStatus]="Implemented")+(Recommendations[ImplStatus]="Compensated"))*ISNUMBER(MATCH(Recommendations[Id],L139:AY139,0)))/COUNTIF(L139:AY139,"&lt;&gt;"))</f>
        <v/>
      </c>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53"/>
    </row>
    <row r="140" spans="1:51" ht="60" customHeight="1" x14ac:dyDescent="0.35">
      <c r="A140" s="249" t="s">
        <v>3912</v>
      </c>
      <c r="B140" s="237" t="s">
        <v>3913</v>
      </c>
      <c r="C140" s="237" t="s">
        <v>3914</v>
      </c>
      <c r="D140" s="237" t="s">
        <v>3915</v>
      </c>
      <c r="E140" s="237" t="s">
        <v>21</v>
      </c>
      <c r="F140" s="237" t="s">
        <v>21</v>
      </c>
      <c r="G140" s="237" t="s">
        <v>21</v>
      </c>
      <c r="H140" s="237" t="s">
        <v>3916</v>
      </c>
      <c r="I140" s="237" t="s">
        <v>3639</v>
      </c>
      <c r="J140" s="237" t="s">
        <v>3917</v>
      </c>
      <c r="K140" s="240" t="str">
        <f>IF(COUNTIF(L140:AY140,"&lt;&gt;")=0,"",SUMPRODUCT(((Recommendations[ImplStatus]="Implemented")+(Recommendations[ImplStatus]="Compensated"))*ISNUMBER(MATCH(Recommendations[Id],L140:AY140,0)))/COUNTIF(L140:AY140,"&lt;&gt;"))</f>
        <v/>
      </c>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53"/>
    </row>
    <row r="141" spans="1:51" ht="60" customHeight="1" x14ac:dyDescent="0.35">
      <c r="A141" s="249" t="s">
        <v>3918</v>
      </c>
      <c r="B141" s="237" t="s">
        <v>3919</v>
      </c>
      <c r="C141" s="237" t="s">
        <v>3920</v>
      </c>
      <c r="D141" s="237" t="s">
        <v>21</v>
      </c>
      <c r="E141" s="237" t="s">
        <v>3921</v>
      </c>
      <c r="F141" s="237" t="s">
        <v>21</v>
      </c>
      <c r="G141" s="237" t="s">
        <v>21</v>
      </c>
      <c r="H141" s="237" t="s">
        <v>3922</v>
      </c>
      <c r="I141" s="237" t="s">
        <v>3639</v>
      </c>
      <c r="J141" s="237" t="s">
        <v>3923</v>
      </c>
      <c r="K141" s="240" t="str">
        <f>IF(COUNTIF(L141:AY141,"&lt;&gt;")=0,"",SUMPRODUCT(((Recommendations[ImplStatus]="Implemented")+(Recommendations[ImplStatus]="Compensated"))*ISNUMBER(MATCH(Recommendations[Id],L141:AY141,0)))/COUNTIF(L141:AY141,"&lt;&gt;"))</f>
        <v/>
      </c>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53"/>
    </row>
    <row r="142" spans="1:51" ht="60" customHeight="1" x14ac:dyDescent="0.35">
      <c r="A142" s="249" t="s">
        <v>3924</v>
      </c>
      <c r="B142" s="237" t="s">
        <v>3925</v>
      </c>
      <c r="C142" s="237" t="s">
        <v>3926</v>
      </c>
      <c r="D142" s="237" t="s">
        <v>3927</v>
      </c>
      <c r="E142" s="237" t="s">
        <v>3921</v>
      </c>
      <c r="F142" s="237" t="s">
        <v>21</v>
      </c>
      <c r="G142" s="237" t="s">
        <v>21</v>
      </c>
      <c r="H142" s="237" t="s">
        <v>3928</v>
      </c>
      <c r="I142" s="237" t="s">
        <v>3929</v>
      </c>
      <c r="J142" s="237" t="s">
        <v>3930</v>
      </c>
      <c r="K142" s="240" t="str">
        <f>IF(COUNTIF(L142:AY142,"&lt;&gt;")=0,"",SUMPRODUCT(((Recommendations[ImplStatus]="Implemented")+(Recommendations[ImplStatus]="Compensated"))*ISNUMBER(MATCH(Recommendations[Id],L142:AY142,0)))/COUNTIF(L142:AY142,"&lt;&gt;"))</f>
        <v/>
      </c>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53"/>
    </row>
    <row r="143" spans="1:51" ht="60" customHeight="1" outlineLevel="1" x14ac:dyDescent="0.35">
      <c r="A143" s="248" t="s">
        <v>659</v>
      </c>
      <c r="B143" s="236" t="s">
        <v>3931</v>
      </c>
      <c r="C143" s="236"/>
      <c r="D143" s="236"/>
      <c r="E143" s="236"/>
      <c r="F143" s="236"/>
      <c r="G143" s="236"/>
      <c r="H143" s="236"/>
      <c r="I143" s="236"/>
      <c r="J143" s="236"/>
      <c r="K143" s="239" t="str">
        <f>IF(COUNTIF(L143:AY143,"&lt;&gt;")=0,"",SUMPRODUCT(((Recommendations[ImplStatus]="Implemented")+(Recommendations[ImplStatus]="Compensated"))*ISNUMBER(MATCH(Recommendations[Id],L143:AY143,0)))/COUNTIF(L143:AY143,"&lt;&gt;"))</f>
        <v/>
      </c>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52"/>
    </row>
    <row r="144" spans="1:51" ht="60" customHeight="1" x14ac:dyDescent="0.35">
      <c r="A144" s="249" t="s">
        <v>3932</v>
      </c>
      <c r="B144" s="237" t="s">
        <v>3933</v>
      </c>
      <c r="C144" s="237" t="s">
        <v>3934</v>
      </c>
      <c r="D144" s="237" t="s">
        <v>21</v>
      </c>
      <c r="E144" s="237" t="s">
        <v>21</v>
      </c>
      <c r="F144" s="237" t="s">
        <v>21</v>
      </c>
      <c r="G144" s="237" t="s">
        <v>21</v>
      </c>
      <c r="H144" s="237" t="s">
        <v>3935</v>
      </c>
      <c r="I144" s="237" t="s">
        <v>21</v>
      </c>
      <c r="J144" s="237" t="s">
        <v>3936</v>
      </c>
      <c r="K144" s="240" t="str">
        <f>IF(COUNTIF(L144:AY144,"&lt;&gt;")=0,"",SUMPRODUCT(((Recommendations[ImplStatus]="Implemented")+(Recommendations[ImplStatus]="Compensated"))*ISNUMBER(MATCH(Recommendations[Id],L144:AY144,0)))/COUNTIF(L144:AY144,"&lt;&gt;"))</f>
        <v/>
      </c>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53"/>
    </row>
    <row r="145" spans="1:51" ht="60" customHeight="1" x14ac:dyDescent="0.35">
      <c r="A145" s="249" t="s">
        <v>3937</v>
      </c>
      <c r="B145" s="237" t="s">
        <v>3938</v>
      </c>
      <c r="C145" s="237" t="s">
        <v>3939</v>
      </c>
      <c r="D145" s="237" t="s">
        <v>21</v>
      </c>
      <c r="E145" s="237" t="s">
        <v>21</v>
      </c>
      <c r="F145" s="237" t="s">
        <v>21</v>
      </c>
      <c r="G145" s="237" t="s">
        <v>21</v>
      </c>
      <c r="H145" s="237" t="s">
        <v>3940</v>
      </c>
      <c r="I145" s="237" t="s">
        <v>21</v>
      </c>
      <c r="J145" s="237" t="s">
        <v>3941</v>
      </c>
      <c r="K145" s="240" t="str">
        <f>IF(COUNTIF(L145:AY145,"&lt;&gt;")=0,"",SUMPRODUCT(((Recommendations[ImplStatus]="Implemented")+(Recommendations[ImplStatus]="Compensated"))*ISNUMBER(MATCH(Recommendations[Id],L145:AY145,0)))/COUNTIF(L145:AY145,"&lt;&gt;"))</f>
        <v/>
      </c>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53"/>
    </row>
    <row r="146" spans="1:51" ht="60" customHeight="1" x14ac:dyDescent="0.35">
      <c r="A146" s="249" t="s">
        <v>3942</v>
      </c>
      <c r="B146" s="237" t="s">
        <v>3943</v>
      </c>
      <c r="C146" s="237" t="s">
        <v>3944</v>
      </c>
      <c r="D146" s="237" t="s">
        <v>3945</v>
      </c>
      <c r="E146" s="237" t="s">
        <v>21</v>
      </c>
      <c r="F146" s="237" t="s">
        <v>21</v>
      </c>
      <c r="G146" s="237" t="s">
        <v>21</v>
      </c>
      <c r="H146" s="237" t="s">
        <v>3946</v>
      </c>
      <c r="I146" s="237" t="s">
        <v>21</v>
      </c>
      <c r="J146" s="237" t="s">
        <v>3947</v>
      </c>
      <c r="K146" s="240" t="str">
        <f>IF(COUNTIF(L146:AY146,"&lt;&gt;")=0,"",SUMPRODUCT(((Recommendations[ImplStatus]="Implemented")+(Recommendations[ImplStatus]="Compensated"))*ISNUMBER(MATCH(Recommendations[Id],L146:AY146,0)))/COUNTIF(L146:AY146,"&lt;&gt;"))</f>
        <v/>
      </c>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53"/>
    </row>
    <row r="147" spans="1:51" ht="60" customHeight="1" outlineLevel="1" x14ac:dyDescent="0.35">
      <c r="A147" s="247" t="s">
        <v>3948</v>
      </c>
      <c r="B147" s="235" t="s">
        <v>3949</v>
      </c>
      <c r="C147" s="235"/>
      <c r="D147" s="235"/>
      <c r="E147" s="235"/>
      <c r="F147" s="235"/>
      <c r="G147" s="235"/>
      <c r="H147" s="235"/>
      <c r="I147" s="235"/>
      <c r="J147" s="235"/>
      <c r="K147" s="238" t="str">
        <f>IF(COUNTIF(L147:AY147,"&lt;&gt;")=0,"",SUMPRODUCT(((Recommendations[ImplStatus]="Implemented")+(Recommendations[ImplStatus]="Compensated"))*ISNUMBER(MATCH(Recommendations[Id],L147:AY147,0)))/COUNTIF(L147:AY147,"&lt;&gt;"))</f>
        <v/>
      </c>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51"/>
    </row>
    <row r="148" spans="1:51" ht="60" customHeight="1" outlineLevel="1" x14ac:dyDescent="0.35">
      <c r="A148" s="248" t="s">
        <v>681</v>
      </c>
      <c r="B148" s="236" t="s">
        <v>3950</v>
      </c>
      <c r="C148" s="236"/>
      <c r="D148" s="236"/>
      <c r="E148" s="236"/>
      <c r="F148" s="236"/>
      <c r="G148" s="236"/>
      <c r="H148" s="236"/>
      <c r="I148" s="236"/>
      <c r="J148" s="236"/>
      <c r="K148" s="239" t="str">
        <f>IF(COUNTIF(L148:AY148,"&lt;&gt;")=0,"",SUMPRODUCT(((Recommendations[ImplStatus]="Implemented")+(Recommendations[ImplStatus]="Compensated"))*ISNUMBER(MATCH(Recommendations[Id],L148:AY148,0)))/COUNTIF(L148:AY148,"&lt;&gt;"))</f>
        <v/>
      </c>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52"/>
    </row>
    <row r="149" spans="1:51" ht="60" customHeight="1" x14ac:dyDescent="0.35">
      <c r="A149" s="249" t="s">
        <v>3951</v>
      </c>
      <c r="B149" s="237" t="s">
        <v>3952</v>
      </c>
      <c r="C149" s="237" t="s">
        <v>3953</v>
      </c>
      <c r="D149" s="237" t="s">
        <v>3411</v>
      </c>
      <c r="E149" s="237" t="s">
        <v>3197</v>
      </c>
      <c r="F149" s="237" t="s">
        <v>21</v>
      </c>
      <c r="G149" s="237" t="s">
        <v>21</v>
      </c>
      <c r="H149" s="237" t="s">
        <v>3954</v>
      </c>
      <c r="I149" s="237" t="s">
        <v>21</v>
      </c>
      <c r="J149" s="237" t="s">
        <v>3955</v>
      </c>
      <c r="K149" s="240" t="str">
        <f>IF(COUNTIF(L149:AY149,"&lt;&gt;")=0,"",SUMPRODUCT(((Recommendations[ImplStatus]="Implemented")+(Recommendations[ImplStatus]="Compensated"))*ISNUMBER(MATCH(Recommendations[Id],L149:AY149,0)))/COUNTIF(L149:AY149,"&lt;&gt;"))</f>
        <v/>
      </c>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53"/>
    </row>
    <row r="150" spans="1:51" ht="60" customHeight="1" x14ac:dyDescent="0.35">
      <c r="A150" s="249" t="s">
        <v>3956</v>
      </c>
      <c r="B150" s="237" t="s">
        <v>3957</v>
      </c>
      <c r="C150" s="237" t="s">
        <v>3202</v>
      </c>
      <c r="D150" s="237" t="s">
        <v>3203</v>
      </c>
      <c r="E150" s="237" t="s">
        <v>21</v>
      </c>
      <c r="F150" s="237" t="s">
        <v>3205</v>
      </c>
      <c r="G150" s="237" t="s">
        <v>21</v>
      </c>
      <c r="H150" s="237" t="s">
        <v>3958</v>
      </c>
      <c r="I150" s="237" t="s">
        <v>21</v>
      </c>
      <c r="J150" s="237" t="s">
        <v>3959</v>
      </c>
      <c r="K150" s="240" t="str">
        <f>IF(COUNTIF(L150:AY150,"&lt;&gt;")=0,"",SUMPRODUCT(((Recommendations[ImplStatus]="Implemented")+(Recommendations[ImplStatus]="Compensated"))*ISNUMBER(MATCH(Recommendations[Id],L150:AY150,0)))/COUNTIF(L150:AY150,"&lt;&gt;"))</f>
        <v/>
      </c>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53"/>
    </row>
    <row r="151" spans="1:51" ht="60" customHeight="1" outlineLevel="1" x14ac:dyDescent="0.35">
      <c r="A151" s="248" t="s">
        <v>685</v>
      </c>
      <c r="B151" s="236" t="s">
        <v>3960</v>
      </c>
      <c r="C151" s="236"/>
      <c r="D151" s="236"/>
      <c r="E151" s="236"/>
      <c r="F151" s="236"/>
      <c r="G151" s="236"/>
      <c r="H151" s="236"/>
      <c r="I151" s="236"/>
      <c r="J151" s="236"/>
      <c r="K151" s="239" t="str">
        <f>IF(COUNTIF(L151:AY151,"&lt;&gt;")=0,"",SUMPRODUCT(((Recommendations[ImplStatus]="Implemented")+(Recommendations[ImplStatus]="Compensated"))*ISNUMBER(MATCH(Recommendations[Id],L151:AY151,0)))/COUNTIF(L151:AY151,"&lt;&gt;"))</f>
        <v/>
      </c>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52"/>
    </row>
    <row r="152" spans="1:51" ht="60" customHeight="1" x14ac:dyDescent="0.35">
      <c r="A152" s="249" t="s">
        <v>3961</v>
      </c>
      <c r="B152" s="237" t="s">
        <v>3962</v>
      </c>
      <c r="C152" s="237" t="s">
        <v>3963</v>
      </c>
      <c r="D152" s="237" t="s">
        <v>21</v>
      </c>
      <c r="E152" s="237" t="s">
        <v>21</v>
      </c>
      <c r="F152" s="237" t="s">
        <v>21</v>
      </c>
      <c r="G152" s="237" t="s">
        <v>21</v>
      </c>
      <c r="H152" s="237" t="s">
        <v>3964</v>
      </c>
      <c r="I152" s="237" t="s">
        <v>3965</v>
      </c>
      <c r="J152" s="237" t="s">
        <v>3966</v>
      </c>
      <c r="K152" s="240" t="str">
        <f>IF(COUNTIF(L152:AY152,"&lt;&gt;")=0,"",SUMPRODUCT(((Recommendations[ImplStatus]="Implemented")+(Recommendations[ImplStatus]="Compensated"))*ISNUMBER(MATCH(Recommendations[Id],L152:AY152,0)))/COUNTIF(L152:AY152,"&lt;&gt;"))</f>
        <v/>
      </c>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53"/>
    </row>
    <row r="153" spans="1:51" ht="60" customHeight="1" x14ac:dyDescent="0.35">
      <c r="A153" s="249" t="s">
        <v>3967</v>
      </c>
      <c r="B153" s="237" t="s">
        <v>3968</v>
      </c>
      <c r="C153" s="237" t="s">
        <v>3969</v>
      </c>
      <c r="D153" s="237" t="s">
        <v>3970</v>
      </c>
      <c r="E153" s="237" t="s">
        <v>21</v>
      </c>
      <c r="F153" s="237" t="s">
        <v>3971</v>
      </c>
      <c r="G153" s="237" t="s">
        <v>21</v>
      </c>
      <c r="H153" s="237" t="s">
        <v>3972</v>
      </c>
      <c r="I153" s="237" t="s">
        <v>3973</v>
      </c>
      <c r="J153" s="237" t="s">
        <v>3974</v>
      </c>
      <c r="K153" s="240" t="str">
        <f>IF(COUNTIF(L153:AY153,"&lt;&gt;")=0,"",SUMPRODUCT(((Recommendations[ImplStatus]="Implemented")+(Recommendations[ImplStatus]="Compensated"))*ISNUMBER(MATCH(Recommendations[Id],L153:AY153,0)))/COUNTIF(L153:AY153,"&lt;&gt;"))</f>
        <v/>
      </c>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53"/>
    </row>
    <row r="154" spans="1:51" ht="60" customHeight="1" x14ac:dyDescent="0.35">
      <c r="A154" s="249" t="s">
        <v>3975</v>
      </c>
      <c r="B154" s="237" t="s">
        <v>3976</v>
      </c>
      <c r="C154" s="237" t="s">
        <v>3977</v>
      </c>
      <c r="D154" s="237" t="s">
        <v>21</v>
      </c>
      <c r="E154" s="237" t="s">
        <v>21</v>
      </c>
      <c r="F154" s="237" t="s">
        <v>3978</v>
      </c>
      <c r="G154" s="237" t="s">
        <v>21</v>
      </c>
      <c r="H154" s="237" t="s">
        <v>3979</v>
      </c>
      <c r="I154" s="237" t="s">
        <v>21</v>
      </c>
      <c r="J154" s="237" t="s">
        <v>3980</v>
      </c>
      <c r="K154" s="240" t="str">
        <f>IF(COUNTIF(L154:AY154,"&lt;&gt;")=0,"",SUMPRODUCT(((Recommendations[ImplStatus]="Implemented")+(Recommendations[ImplStatus]="Compensated"))*ISNUMBER(MATCH(Recommendations[Id],L154:AY154,0)))/COUNTIF(L154:AY154,"&lt;&gt;"))</f>
        <v/>
      </c>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53"/>
    </row>
    <row r="155" spans="1:51" ht="60" customHeight="1" x14ac:dyDescent="0.35">
      <c r="A155" s="249" t="s">
        <v>3981</v>
      </c>
      <c r="B155" s="237" t="s">
        <v>3982</v>
      </c>
      <c r="C155" s="237" t="s">
        <v>3983</v>
      </c>
      <c r="D155" s="237" t="s">
        <v>21</v>
      </c>
      <c r="E155" s="237" t="s">
        <v>21</v>
      </c>
      <c r="F155" s="237" t="s">
        <v>21</v>
      </c>
      <c r="G155" s="237" t="s">
        <v>21</v>
      </c>
      <c r="H155" s="237" t="s">
        <v>3984</v>
      </c>
      <c r="I155" s="237" t="s">
        <v>3985</v>
      </c>
      <c r="J155" s="237" t="s">
        <v>3986</v>
      </c>
      <c r="K155" s="240" t="str">
        <f>IF(COUNTIF(L155:AY155,"&lt;&gt;")=0,"",SUMPRODUCT(((Recommendations[ImplStatus]="Implemented")+(Recommendations[ImplStatus]="Compensated"))*ISNUMBER(MATCH(Recommendations[Id],L155:AY155,0)))/COUNTIF(L155:AY155,"&lt;&gt;"))</f>
        <v/>
      </c>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53"/>
    </row>
    <row r="156" spans="1:51" ht="60" customHeight="1" x14ac:dyDescent="0.35">
      <c r="A156" s="249" t="s">
        <v>3987</v>
      </c>
      <c r="B156" s="237" t="s">
        <v>3988</v>
      </c>
      <c r="C156" s="237" t="s">
        <v>3989</v>
      </c>
      <c r="D156" s="237" t="s">
        <v>21</v>
      </c>
      <c r="E156" s="237" t="s">
        <v>21</v>
      </c>
      <c r="F156" s="237" t="s">
        <v>21</v>
      </c>
      <c r="G156" s="237" t="s">
        <v>21</v>
      </c>
      <c r="H156" s="237" t="s">
        <v>3990</v>
      </c>
      <c r="I156" s="237" t="s">
        <v>21</v>
      </c>
      <c r="J156" s="237" t="s">
        <v>3991</v>
      </c>
      <c r="K156" s="240" t="str">
        <f>IF(COUNTIF(L156:AY156,"&lt;&gt;")=0,"",SUMPRODUCT(((Recommendations[ImplStatus]="Implemented")+(Recommendations[ImplStatus]="Compensated"))*ISNUMBER(MATCH(Recommendations[Id],L156:AY156,0)))/COUNTIF(L156:AY156,"&lt;&gt;"))</f>
        <v/>
      </c>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53"/>
    </row>
    <row r="157" spans="1:51" ht="60" customHeight="1" x14ac:dyDescent="0.35">
      <c r="A157" s="249" t="s">
        <v>3992</v>
      </c>
      <c r="B157" s="237" t="s">
        <v>3993</v>
      </c>
      <c r="C157" s="237" t="s">
        <v>3994</v>
      </c>
      <c r="D157" s="237" t="s">
        <v>3995</v>
      </c>
      <c r="E157" s="237" t="s">
        <v>21</v>
      </c>
      <c r="F157" s="237" t="s">
        <v>21</v>
      </c>
      <c r="G157" s="237" t="s">
        <v>21</v>
      </c>
      <c r="H157" s="237" t="s">
        <v>3996</v>
      </c>
      <c r="I157" s="237" t="s">
        <v>21</v>
      </c>
      <c r="J157" s="237" t="s">
        <v>3997</v>
      </c>
      <c r="K157" s="240" t="str">
        <f>IF(COUNTIF(L157:AY157,"&lt;&gt;")=0,"",SUMPRODUCT(((Recommendations[ImplStatus]="Implemented")+(Recommendations[ImplStatus]="Compensated"))*ISNUMBER(MATCH(Recommendations[Id],L157:AY157,0)))/COUNTIF(L157:AY157,"&lt;&gt;"))</f>
        <v/>
      </c>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53"/>
    </row>
    <row r="158" spans="1:51" ht="60" customHeight="1" x14ac:dyDescent="0.35">
      <c r="A158" s="249" t="s">
        <v>3998</v>
      </c>
      <c r="B158" s="237" t="s">
        <v>3999</v>
      </c>
      <c r="C158" s="237" t="s">
        <v>4000</v>
      </c>
      <c r="D158" s="237" t="s">
        <v>4001</v>
      </c>
      <c r="E158" s="237" t="s">
        <v>21</v>
      </c>
      <c r="F158" s="237" t="s">
        <v>21</v>
      </c>
      <c r="G158" s="237" t="s">
        <v>21</v>
      </c>
      <c r="H158" s="237" t="s">
        <v>21</v>
      </c>
      <c r="I158" s="237" t="s">
        <v>21</v>
      </c>
      <c r="J158" s="237" t="s">
        <v>4002</v>
      </c>
      <c r="K158" s="240" t="str">
        <f>IF(COUNTIF(L158:AY158,"&lt;&gt;")=0,"",SUMPRODUCT(((Recommendations[ImplStatus]="Implemented")+(Recommendations[ImplStatus]="Compensated"))*ISNUMBER(MATCH(Recommendations[Id],L158:AY158,0)))/COUNTIF(L158:AY158,"&lt;&gt;"))</f>
        <v/>
      </c>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53"/>
    </row>
    <row r="159" spans="1:51" ht="60" customHeight="1" x14ac:dyDescent="0.35">
      <c r="A159" s="249" t="s">
        <v>4003</v>
      </c>
      <c r="B159" s="237" t="s">
        <v>4004</v>
      </c>
      <c r="C159" s="237" t="s">
        <v>4005</v>
      </c>
      <c r="D159" s="237" t="s">
        <v>4006</v>
      </c>
      <c r="E159" s="237" t="s">
        <v>21</v>
      </c>
      <c r="F159" s="237" t="s">
        <v>4007</v>
      </c>
      <c r="G159" s="237" t="s">
        <v>21</v>
      </c>
      <c r="H159" s="237" t="s">
        <v>4008</v>
      </c>
      <c r="I159" s="237" t="s">
        <v>4009</v>
      </c>
      <c r="J159" s="237" t="s">
        <v>4010</v>
      </c>
      <c r="K159" s="240">
        <f>IF(COUNTIF(L159:AY159,"&lt;&gt;")=0,"",SUMPRODUCT(((Recommendations[ImplStatus]="Implemented")+(Recommendations[ImplStatus]="Compensated"))*ISNUMBER(MATCH(Recommendations[Id],L159:AY159,0)))/COUNTIF(L159:AY159,"&lt;&gt;"))</f>
        <v>0</v>
      </c>
      <c r="L159" s="243" t="s">
        <v>78</v>
      </c>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53"/>
    </row>
    <row r="160" spans="1:51" ht="60" customHeight="1" outlineLevel="1" x14ac:dyDescent="0.35">
      <c r="A160" s="248" t="s">
        <v>689</v>
      </c>
      <c r="B160" s="236" t="s">
        <v>4011</v>
      </c>
      <c r="C160" s="236"/>
      <c r="D160" s="236"/>
      <c r="E160" s="236"/>
      <c r="F160" s="236"/>
      <c r="G160" s="236"/>
      <c r="H160" s="236"/>
      <c r="I160" s="236"/>
      <c r="J160" s="236"/>
      <c r="K160" s="239" t="str">
        <f>IF(COUNTIF(L160:AY160,"&lt;&gt;")=0,"",SUMPRODUCT(((Recommendations[ImplStatus]="Implemented")+(Recommendations[ImplStatus]="Compensated"))*ISNUMBER(MATCH(Recommendations[Id],L160:AY160,0)))/COUNTIF(L160:AY160,"&lt;&gt;"))</f>
        <v/>
      </c>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52"/>
    </row>
    <row r="161" spans="1:51" ht="60" customHeight="1" x14ac:dyDescent="0.35">
      <c r="A161" s="249" t="s">
        <v>4012</v>
      </c>
      <c r="B161" s="237" t="s">
        <v>4013</v>
      </c>
      <c r="C161" s="237" t="s">
        <v>4014</v>
      </c>
      <c r="D161" s="237" t="s">
        <v>4015</v>
      </c>
      <c r="E161" s="237" t="s">
        <v>21</v>
      </c>
      <c r="F161" s="237" t="s">
        <v>21</v>
      </c>
      <c r="G161" s="237" t="s">
        <v>4016</v>
      </c>
      <c r="H161" s="237" t="s">
        <v>4017</v>
      </c>
      <c r="I161" s="237" t="s">
        <v>4018</v>
      </c>
      <c r="J161" s="237" t="s">
        <v>4019</v>
      </c>
      <c r="K161" s="240" t="str">
        <f>IF(COUNTIF(L161:AY161,"&lt;&gt;")=0,"",SUMPRODUCT(((Recommendations[ImplStatus]="Implemented")+(Recommendations[ImplStatus]="Compensated"))*ISNUMBER(MATCH(Recommendations[Id],L161:AY161,0)))/COUNTIF(L161:AY161,"&lt;&gt;"))</f>
        <v/>
      </c>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53"/>
    </row>
    <row r="162" spans="1:51" ht="60" customHeight="1" x14ac:dyDescent="0.35">
      <c r="A162" s="249" t="s">
        <v>4020</v>
      </c>
      <c r="B162" s="237" t="s">
        <v>4021</v>
      </c>
      <c r="C162" s="237" t="s">
        <v>4022</v>
      </c>
      <c r="D162" s="237" t="s">
        <v>4023</v>
      </c>
      <c r="E162" s="237" t="s">
        <v>21</v>
      </c>
      <c r="F162" s="237" t="s">
        <v>21</v>
      </c>
      <c r="G162" s="237" t="s">
        <v>21</v>
      </c>
      <c r="H162" s="237" t="s">
        <v>4024</v>
      </c>
      <c r="I162" s="237" t="s">
        <v>21</v>
      </c>
      <c r="J162" s="237" t="s">
        <v>4025</v>
      </c>
      <c r="K162" s="240" t="str">
        <f>IF(COUNTIF(L162:AY162,"&lt;&gt;")=0,"",SUMPRODUCT(((Recommendations[ImplStatus]="Implemented")+(Recommendations[ImplStatus]="Compensated"))*ISNUMBER(MATCH(Recommendations[Id],L162:AY162,0)))/COUNTIF(L162:AY162,"&lt;&gt;"))</f>
        <v/>
      </c>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53"/>
    </row>
    <row r="163" spans="1:51" ht="60" customHeight="1" x14ac:dyDescent="0.35">
      <c r="A163" s="249" t="s">
        <v>4026</v>
      </c>
      <c r="B163" s="237" t="s">
        <v>4027</v>
      </c>
      <c r="C163" s="237" t="s">
        <v>4028</v>
      </c>
      <c r="D163" s="237" t="s">
        <v>4023</v>
      </c>
      <c r="E163" s="237" t="s">
        <v>21</v>
      </c>
      <c r="F163" s="237" t="s">
        <v>4029</v>
      </c>
      <c r="G163" s="237" t="s">
        <v>21</v>
      </c>
      <c r="H163" s="237" t="s">
        <v>4030</v>
      </c>
      <c r="I163" s="237" t="s">
        <v>21</v>
      </c>
      <c r="J163" s="237" t="s">
        <v>4031</v>
      </c>
      <c r="K163" s="240" t="str">
        <f>IF(COUNTIF(L163:AY163,"&lt;&gt;")=0,"",SUMPRODUCT(((Recommendations[ImplStatus]="Implemented")+(Recommendations[ImplStatus]="Compensated"))*ISNUMBER(MATCH(Recommendations[Id],L163:AY163,0)))/COUNTIF(L163:AY163,"&lt;&gt;"))</f>
        <v/>
      </c>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53"/>
    </row>
    <row r="164" spans="1:51" ht="60" customHeight="1" x14ac:dyDescent="0.35">
      <c r="A164" s="249" t="s">
        <v>4032</v>
      </c>
      <c r="B164" s="237" t="s">
        <v>4033</v>
      </c>
      <c r="C164" s="237" t="s">
        <v>4034</v>
      </c>
      <c r="D164" s="237" t="s">
        <v>4035</v>
      </c>
      <c r="E164" s="237" t="s">
        <v>21</v>
      </c>
      <c r="F164" s="237" t="s">
        <v>21</v>
      </c>
      <c r="G164" s="237" t="s">
        <v>21</v>
      </c>
      <c r="H164" s="237" t="s">
        <v>4036</v>
      </c>
      <c r="I164" s="237" t="s">
        <v>4037</v>
      </c>
      <c r="J164" s="237" t="s">
        <v>4038</v>
      </c>
      <c r="K164" s="240" t="str">
        <f>IF(COUNTIF(L164:AY164,"&lt;&gt;")=0,"",SUMPRODUCT(((Recommendations[ImplStatus]="Implemented")+(Recommendations[ImplStatus]="Compensated"))*ISNUMBER(MATCH(Recommendations[Id],L164:AY164,0)))/COUNTIF(L164:AY164,"&lt;&gt;"))</f>
        <v/>
      </c>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53"/>
    </row>
    <row r="165" spans="1:51" ht="60" customHeight="1" x14ac:dyDescent="0.35">
      <c r="A165" s="249" t="s">
        <v>4039</v>
      </c>
      <c r="B165" s="237" t="s">
        <v>4040</v>
      </c>
      <c r="C165" s="237" t="s">
        <v>4041</v>
      </c>
      <c r="D165" s="237" t="s">
        <v>21</v>
      </c>
      <c r="E165" s="237" t="s">
        <v>21</v>
      </c>
      <c r="F165" s="237" t="s">
        <v>21</v>
      </c>
      <c r="G165" s="237" t="s">
        <v>21</v>
      </c>
      <c r="H165" s="237" t="s">
        <v>4042</v>
      </c>
      <c r="I165" s="237" t="s">
        <v>21</v>
      </c>
      <c r="J165" s="237" t="s">
        <v>4043</v>
      </c>
      <c r="K165" s="240" t="str">
        <f>IF(COUNTIF(L165:AY165,"&lt;&gt;")=0,"",SUMPRODUCT(((Recommendations[ImplStatus]="Implemented")+(Recommendations[ImplStatus]="Compensated"))*ISNUMBER(MATCH(Recommendations[Id],L165:AY165,0)))/COUNTIF(L165:AY165,"&lt;&gt;"))</f>
        <v/>
      </c>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53"/>
    </row>
    <row r="166" spans="1:51" ht="60" customHeight="1" x14ac:dyDescent="0.35">
      <c r="A166" s="249" t="s">
        <v>4044</v>
      </c>
      <c r="B166" s="237" t="s">
        <v>4045</v>
      </c>
      <c r="C166" s="237" t="s">
        <v>4046</v>
      </c>
      <c r="D166" s="237" t="s">
        <v>4047</v>
      </c>
      <c r="E166" s="237" t="s">
        <v>21</v>
      </c>
      <c r="F166" s="237" t="s">
        <v>21</v>
      </c>
      <c r="G166" s="237" t="s">
        <v>21</v>
      </c>
      <c r="H166" s="237" t="s">
        <v>4048</v>
      </c>
      <c r="I166" s="237" t="s">
        <v>4049</v>
      </c>
      <c r="J166" s="237" t="s">
        <v>4050</v>
      </c>
      <c r="K166" s="240" t="str">
        <f>IF(COUNTIF(L166:AY166,"&lt;&gt;")=0,"",SUMPRODUCT(((Recommendations[ImplStatus]="Implemented")+(Recommendations[ImplStatus]="Compensated"))*ISNUMBER(MATCH(Recommendations[Id],L166:AY166,0)))/COUNTIF(L166:AY166,"&lt;&gt;"))</f>
        <v/>
      </c>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53"/>
    </row>
    <row r="167" spans="1:51" ht="60" customHeight="1" x14ac:dyDescent="0.35">
      <c r="A167" s="249" t="s">
        <v>4051</v>
      </c>
      <c r="B167" s="237" t="s">
        <v>4052</v>
      </c>
      <c r="C167" s="237" t="s">
        <v>4053</v>
      </c>
      <c r="D167" s="237" t="s">
        <v>21</v>
      </c>
      <c r="E167" s="237" t="s">
        <v>21</v>
      </c>
      <c r="F167" s="237" t="s">
        <v>21</v>
      </c>
      <c r="G167" s="237" t="s">
        <v>21</v>
      </c>
      <c r="H167" s="237" t="s">
        <v>4054</v>
      </c>
      <c r="I167" s="237" t="s">
        <v>4055</v>
      </c>
      <c r="J167" s="237" t="s">
        <v>4056</v>
      </c>
      <c r="K167" s="240" t="str">
        <f>IF(COUNTIF(L167:AY167,"&lt;&gt;")=0,"",SUMPRODUCT(((Recommendations[ImplStatus]="Implemented")+(Recommendations[ImplStatus]="Compensated"))*ISNUMBER(MATCH(Recommendations[Id],L167:AY167,0)))/COUNTIF(L167:AY167,"&lt;&gt;"))</f>
        <v/>
      </c>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53"/>
    </row>
    <row r="168" spans="1:51" ht="60" customHeight="1" x14ac:dyDescent="0.35">
      <c r="A168" s="249" t="s">
        <v>4057</v>
      </c>
      <c r="B168" s="237" t="s">
        <v>4058</v>
      </c>
      <c r="C168" s="237" t="s">
        <v>4059</v>
      </c>
      <c r="D168" s="237" t="s">
        <v>4060</v>
      </c>
      <c r="E168" s="237" t="s">
        <v>21</v>
      </c>
      <c r="F168" s="237" t="s">
        <v>21</v>
      </c>
      <c r="G168" s="237" t="s">
        <v>21</v>
      </c>
      <c r="H168" s="237" t="s">
        <v>4061</v>
      </c>
      <c r="I168" s="237" t="s">
        <v>21</v>
      </c>
      <c r="J168" s="237" t="s">
        <v>4062</v>
      </c>
      <c r="K168" s="240" t="str">
        <f>IF(COUNTIF(L168:AY168,"&lt;&gt;")=0,"",SUMPRODUCT(((Recommendations[ImplStatus]="Implemented")+(Recommendations[ImplStatus]="Compensated"))*ISNUMBER(MATCH(Recommendations[Id],L168:AY168,0)))/COUNTIF(L168:AY168,"&lt;&gt;"))</f>
        <v/>
      </c>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53"/>
    </row>
    <row r="169" spans="1:51" ht="60" customHeight="1" x14ac:dyDescent="0.35">
      <c r="A169" s="249" t="s">
        <v>4063</v>
      </c>
      <c r="B169" s="237" t="s">
        <v>4064</v>
      </c>
      <c r="C169" s="237" t="s">
        <v>4065</v>
      </c>
      <c r="D169" s="237" t="s">
        <v>4066</v>
      </c>
      <c r="E169" s="237" t="s">
        <v>21</v>
      </c>
      <c r="F169" s="237" t="s">
        <v>21</v>
      </c>
      <c r="G169" s="237" t="s">
        <v>4067</v>
      </c>
      <c r="H169" s="237" t="s">
        <v>4068</v>
      </c>
      <c r="I169" s="237" t="s">
        <v>4069</v>
      </c>
      <c r="J169" s="237" t="s">
        <v>4070</v>
      </c>
      <c r="K169" s="240" t="str">
        <f>IF(COUNTIF(L169:AY169,"&lt;&gt;")=0,"",SUMPRODUCT(((Recommendations[ImplStatus]="Implemented")+(Recommendations[ImplStatus]="Compensated"))*ISNUMBER(MATCH(Recommendations[Id],L169:AY169,0)))/COUNTIF(L169:AY169,"&lt;&gt;"))</f>
        <v/>
      </c>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53"/>
    </row>
    <row r="170" spans="1:51" ht="60" customHeight="1" x14ac:dyDescent="0.35">
      <c r="A170" s="249" t="s">
        <v>4071</v>
      </c>
      <c r="B170" s="237" t="s">
        <v>4072</v>
      </c>
      <c r="C170" s="237" t="s">
        <v>4073</v>
      </c>
      <c r="D170" s="237" t="s">
        <v>4074</v>
      </c>
      <c r="E170" s="237" t="s">
        <v>21</v>
      </c>
      <c r="F170" s="237" t="s">
        <v>21</v>
      </c>
      <c r="G170" s="237" t="s">
        <v>21</v>
      </c>
      <c r="H170" s="237" t="s">
        <v>4075</v>
      </c>
      <c r="I170" s="237" t="s">
        <v>4076</v>
      </c>
      <c r="J170" s="237" t="s">
        <v>4077</v>
      </c>
      <c r="K170" s="240" t="str">
        <f>IF(COUNTIF(L170:AY170,"&lt;&gt;")=0,"",SUMPRODUCT(((Recommendations[ImplStatus]="Implemented")+(Recommendations[ImplStatus]="Compensated"))*ISNUMBER(MATCH(Recommendations[Id],L170:AY170,0)))/COUNTIF(L170:AY170,"&lt;&gt;"))</f>
        <v/>
      </c>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53"/>
    </row>
    <row r="171" spans="1:51" ht="60" customHeight="1" x14ac:dyDescent="0.35">
      <c r="A171" s="249" t="s">
        <v>4078</v>
      </c>
      <c r="B171" s="237" t="s">
        <v>4079</v>
      </c>
      <c r="C171" s="237" t="s">
        <v>4073</v>
      </c>
      <c r="D171" s="237" t="s">
        <v>4080</v>
      </c>
      <c r="E171" s="237" t="s">
        <v>21</v>
      </c>
      <c r="F171" s="237" t="s">
        <v>21</v>
      </c>
      <c r="G171" s="237" t="s">
        <v>4081</v>
      </c>
      <c r="H171" s="237" t="s">
        <v>4075</v>
      </c>
      <c r="I171" s="237" t="s">
        <v>4082</v>
      </c>
      <c r="J171" s="237" t="s">
        <v>4083</v>
      </c>
      <c r="K171" s="240" t="str">
        <f>IF(COUNTIF(L171:AY171,"&lt;&gt;")=0,"",SUMPRODUCT(((Recommendations[ImplStatus]="Implemented")+(Recommendations[ImplStatus]="Compensated"))*ISNUMBER(MATCH(Recommendations[Id],L171:AY171,0)))/COUNTIF(L171:AY171,"&lt;&gt;"))</f>
        <v/>
      </c>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53"/>
    </row>
    <row r="172" spans="1:51" ht="60" customHeight="1" x14ac:dyDescent="0.35">
      <c r="A172" s="249" t="s">
        <v>4084</v>
      </c>
      <c r="B172" s="237" t="s">
        <v>4085</v>
      </c>
      <c r="C172" s="237" t="s">
        <v>4086</v>
      </c>
      <c r="D172" s="237" t="s">
        <v>4087</v>
      </c>
      <c r="E172" s="237" t="s">
        <v>21</v>
      </c>
      <c r="F172" s="237" t="s">
        <v>21</v>
      </c>
      <c r="G172" s="237" t="s">
        <v>21</v>
      </c>
      <c r="H172" s="237" t="s">
        <v>4088</v>
      </c>
      <c r="I172" s="237" t="s">
        <v>21</v>
      </c>
      <c r="J172" s="237" t="s">
        <v>4089</v>
      </c>
      <c r="K172" s="240" t="str">
        <f>IF(COUNTIF(L172:AY172,"&lt;&gt;")=0,"",SUMPRODUCT(((Recommendations[ImplStatus]="Implemented")+(Recommendations[ImplStatus]="Compensated"))*ISNUMBER(MATCH(Recommendations[Id],L172:AY172,0)))/COUNTIF(L172:AY172,"&lt;&gt;"))</f>
        <v/>
      </c>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53"/>
    </row>
    <row r="173" spans="1:51" ht="60" customHeight="1" outlineLevel="1" x14ac:dyDescent="0.35">
      <c r="A173" s="248" t="s">
        <v>693</v>
      </c>
      <c r="B173" s="236" t="s">
        <v>4090</v>
      </c>
      <c r="C173" s="236"/>
      <c r="D173" s="236"/>
      <c r="E173" s="236"/>
      <c r="F173" s="236"/>
      <c r="G173" s="236"/>
      <c r="H173" s="236"/>
      <c r="I173" s="236"/>
      <c r="J173" s="236"/>
      <c r="K173" s="239" t="str">
        <f>IF(COUNTIF(L173:AY173,"&lt;&gt;")=0,"",SUMPRODUCT(((Recommendations[ImplStatus]="Implemented")+(Recommendations[ImplStatus]="Compensated"))*ISNUMBER(MATCH(Recommendations[Id],L173:AY173,0)))/COUNTIF(L173:AY173,"&lt;&gt;"))</f>
        <v/>
      </c>
      <c r="L173" s="242"/>
      <c r="M173" s="242"/>
      <c r="N173" s="242"/>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52"/>
    </row>
    <row r="174" spans="1:51" ht="60" customHeight="1" x14ac:dyDescent="0.35">
      <c r="A174" s="249" t="s">
        <v>4091</v>
      </c>
      <c r="B174" s="237" t="s">
        <v>4092</v>
      </c>
      <c r="C174" s="237" t="s">
        <v>4093</v>
      </c>
      <c r="D174" s="237" t="s">
        <v>4094</v>
      </c>
      <c r="E174" s="237" t="s">
        <v>4095</v>
      </c>
      <c r="F174" s="237" t="s">
        <v>21</v>
      </c>
      <c r="G174" s="237" t="s">
        <v>21</v>
      </c>
      <c r="H174" s="237" t="s">
        <v>4096</v>
      </c>
      <c r="I174" s="237" t="s">
        <v>4097</v>
      </c>
      <c r="J174" s="237" t="s">
        <v>4098</v>
      </c>
      <c r="K174" s="240" t="str">
        <f>IF(COUNTIF(L174:AY174,"&lt;&gt;")=0,"",SUMPRODUCT(((Recommendations[ImplStatus]="Implemented")+(Recommendations[ImplStatus]="Compensated"))*ISNUMBER(MATCH(Recommendations[Id],L174:AY174,0)))/COUNTIF(L174:AY174,"&lt;&gt;"))</f>
        <v/>
      </c>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53"/>
    </row>
    <row r="175" spans="1:51" ht="60" customHeight="1" x14ac:dyDescent="0.35">
      <c r="A175" s="249" t="s">
        <v>4099</v>
      </c>
      <c r="B175" s="237" t="s">
        <v>4100</v>
      </c>
      <c r="C175" s="237" t="s">
        <v>4101</v>
      </c>
      <c r="D175" s="237" t="s">
        <v>21</v>
      </c>
      <c r="E175" s="237" t="s">
        <v>4102</v>
      </c>
      <c r="F175" s="237" t="s">
        <v>21</v>
      </c>
      <c r="G175" s="237" t="s">
        <v>21</v>
      </c>
      <c r="H175" s="237" t="s">
        <v>4103</v>
      </c>
      <c r="I175" s="237" t="s">
        <v>21</v>
      </c>
      <c r="J175" s="237" t="s">
        <v>4104</v>
      </c>
      <c r="K175" s="240">
        <f>IF(COUNTIF(L175:AY175,"&lt;&gt;")=0,"",SUMPRODUCT(((Recommendations[ImplStatus]="Implemented")+(Recommendations[ImplStatus]="Compensated"))*ISNUMBER(MATCH(Recommendations[Id],L175:AY175,0)))/COUNTIF(L175:AY175,"&lt;&gt;"))</f>
        <v>0</v>
      </c>
      <c r="L175" s="243" t="s">
        <v>56</v>
      </c>
      <c r="M175" s="243" t="s">
        <v>102</v>
      </c>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53"/>
    </row>
    <row r="176" spans="1:51" ht="60" customHeight="1" x14ac:dyDescent="0.35">
      <c r="A176" s="249" t="s">
        <v>4105</v>
      </c>
      <c r="B176" s="237" t="s">
        <v>4106</v>
      </c>
      <c r="C176" s="237" t="s">
        <v>4107</v>
      </c>
      <c r="D176" s="237" t="s">
        <v>21</v>
      </c>
      <c r="E176" s="237" t="s">
        <v>4108</v>
      </c>
      <c r="F176" s="237" t="s">
        <v>21</v>
      </c>
      <c r="G176" s="237" t="s">
        <v>21</v>
      </c>
      <c r="H176" s="237" t="s">
        <v>4109</v>
      </c>
      <c r="I176" s="237" t="s">
        <v>4110</v>
      </c>
      <c r="J176" s="237" t="s">
        <v>4111</v>
      </c>
      <c r="K176" s="240" t="str">
        <f>IF(COUNTIF(L176:AY176,"&lt;&gt;")=0,"",SUMPRODUCT(((Recommendations[ImplStatus]="Implemented")+(Recommendations[ImplStatus]="Compensated"))*ISNUMBER(MATCH(Recommendations[Id],L176:AY176,0)))/COUNTIF(L176:AY176,"&lt;&gt;"))</f>
        <v/>
      </c>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53"/>
    </row>
    <row r="177" spans="1:51" ht="60" customHeight="1" outlineLevel="1" x14ac:dyDescent="0.35">
      <c r="A177" s="248" t="s">
        <v>698</v>
      </c>
      <c r="B177" s="236" t="s">
        <v>4112</v>
      </c>
      <c r="C177" s="236"/>
      <c r="D177" s="236"/>
      <c r="E177" s="236"/>
      <c r="F177" s="236"/>
      <c r="G177" s="236"/>
      <c r="H177" s="236"/>
      <c r="I177" s="236"/>
      <c r="J177" s="236"/>
      <c r="K177" s="239" t="str">
        <f>IF(COUNTIF(L177:AY177,"&lt;&gt;")=0,"",SUMPRODUCT(((Recommendations[ImplStatus]="Implemented")+(Recommendations[ImplStatus]="Compensated"))*ISNUMBER(MATCH(Recommendations[Id],L177:AY177,0)))/COUNTIF(L177:AY177,"&lt;&gt;"))</f>
        <v/>
      </c>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52"/>
    </row>
    <row r="178" spans="1:51" ht="60" customHeight="1" x14ac:dyDescent="0.35">
      <c r="A178" s="249" t="s">
        <v>4113</v>
      </c>
      <c r="B178" s="237" t="s">
        <v>4114</v>
      </c>
      <c r="C178" s="237" t="s">
        <v>4115</v>
      </c>
      <c r="D178" s="237" t="s">
        <v>4116</v>
      </c>
      <c r="E178" s="237" t="s">
        <v>4117</v>
      </c>
      <c r="F178" s="237" t="s">
        <v>4118</v>
      </c>
      <c r="G178" s="237" t="s">
        <v>21</v>
      </c>
      <c r="H178" s="237" t="s">
        <v>4119</v>
      </c>
      <c r="I178" s="237" t="s">
        <v>4120</v>
      </c>
      <c r="J178" s="237" t="s">
        <v>4121</v>
      </c>
      <c r="K178" s="240" t="str">
        <f>IF(COUNTIF(L178:AY178,"&lt;&gt;")=0,"",SUMPRODUCT(((Recommendations[ImplStatus]="Implemented")+(Recommendations[ImplStatus]="Compensated"))*ISNUMBER(MATCH(Recommendations[Id],L178:AY178,0)))/COUNTIF(L178:AY178,"&lt;&gt;"))</f>
        <v/>
      </c>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53"/>
    </row>
    <row r="179" spans="1:51" ht="60" customHeight="1" outlineLevel="1" x14ac:dyDescent="0.35">
      <c r="A179" s="248" t="s">
        <v>702</v>
      </c>
      <c r="B179" s="236" t="s">
        <v>4122</v>
      </c>
      <c r="C179" s="236"/>
      <c r="D179" s="236"/>
      <c r="E179" s="236"/>
      <c r="F179" s="236"/>
      <c r="G179" s="236"/>
      <c r="H179" s="236"/>
      <c r="I179" s="236"/>
      <c r="J179" s="236"/>
      <c r="K179" s="239" t="str">
        <f>IF(COUNTIF(L179:AY179,"&lt;&gt;")=0,"",SUMPRODUCT(((Recommendations[ImplStatus]="Implemented")+(Recommendations[ImplStatus]="Compensated"))*ISNUMBER(MATCH(Recommendations[Id],L179:AY179,0)))/COUNTIF(L179:AY179,"&lt;&gt;"))</f>
        <v/>
      </c>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52"/>
    </row>
    <row r="180" spans="1:51" ht="60" customHeight="1" x14ac:dyDescent="0.35">
      <c r="A180" s="249" t="s">
        <v>4123</v>
      </c>
      <c r="B180" s="237" t="s">
        <v>4124</v>
      </c>
      <c r="C180" s="237" t="s">
        <v>4125</v>
      </c>
      <c r="D180" s="237" t="s">
        <v>4116</v>
      </c>
      <c r="E180" s="237" t="s">
        <v>4126</v>
      </c>
      <c r="F180" s="237" t="s">
        <v>21</v>
      </c>
      <c r="G180" s="237" t="s">
        <v>21</v>
      </c>
      <c r="H180" s="237" t="s">
        <v>4127</v>
      </c>
      <c r="I180" s="237" t="s">
        <v>3639</v>
      </c>
      <c r="J180" s="237" t="s">
        <v>4128</v>
      </c>
      <c r="K180" s="240" t="str">
        <f>IF(COUNTIF(L180:AY180,"&lt;&gt;")=0,"",SUMPRODUCT(((Recommendations[ImplStatus]="Implemented")+(Recommendations[ImplStatus]="Compensated"))*ISNUMBER(MATCH(Recommendations[Id],L180:AY180,0)))/COUNTIF(L180:AY180,"&lt;&gt;"))</f>
        <v/>
      </c>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53"/>
    </row>
    <row r="181" spans="1:51" ht="60" customHeight="1" x14ac:dyDescent="0.35">
      <c r="A181" s="249" t="s">
        <v>4129</v>
      </c>
      <c r="B181" s="237" t="s">
        <v>4130</v>
      </c>
      <c r="C181" s="237" t="s">
        <v>4131</v>
      </c>
      <c r="D181" s="237" t="s">
        <v>4132</v>
      </c>
      <c r="E181" s="237" t="s">
        <v>21</v>
      </c>
      <c r="F181" s="237" t="s">
        <v>21</v>
      </c>
      <c r="G181" s="237" t="s">
        <v>21</v>
      </c>
      <c r="H181" s="237" t="s">
        <v>4133</v>
      </c>
      <c r="I181" s="237" t="s">
        <v>4134</v>
      </c>
      <c r="J181" s="237" t="s">
        <v>4135</v>
      </c>
      <c r="K181" s="240" t="str">
        <f>IF(COUNTIF(L181:AY181,"&lt;&gt;")=0,"",SUMPRODUCT(((Recommendations[ImplStatus]="Implemented")+(Recommendations[ImplStatus]="Compensated"))*ISNUMBER(MATCH(Recommendations[Id],L181:AY181,0)))/COUNTIF(L181:AY181,"&lt;&gt;"))</f>
        <v/>
      </c>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53"/>
    </row>
    <row r="182" spans="1:51" ht="60" customHeight="1" x14ac:dyDescent="0.35">
      <c r="A182" s="249" t="s">
        <v>4136</v>
      </c>
      <c r="B182" s="237" t="s">
        <v>4137</v>
      </c>
      <c r="C182" s="237" t="s">
        <v>4138</v>
      </c>
      <c r="D182" s="237" t="s">
        <v>4139</v>
      </c>
      <c r="E182" s="237" t="s">
        <v>21</v>
      </c>
      <c r="F182" s="237" t="s">
        <v>21</v>
      </c>
      <c r="G182" s="237" t="s">
        <v>21</v>
      </c>
      <c r="H182" s="237" t="s">
        <v>4140</v>
      </c>
      <c r="I182" s="237" t="s">
        <v>3639</v>
      </c>
      <c r="J182" s="237" t="s">
        <v>4141</v>
      </c>
      <c r="K182" s="240" t="str">
        <f>IF(COUNTIF(L182:AY182,"&lt;&gt;")=0,"",SUMPRODUCT(((Recommendations[ImplStatus]="Implemented")+(Recommendations[ImplStatus]="Compensated"))*ISNUMBER(MATCH(Recommendations[Id],L182:AY182,0)))/COUNTIF(L182:AY182,"&lt;&gt;"))</f>
        <v/>
      </c>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53"/>
    </row>
    <row r="183" spans="1:51" ht="60" customHeight="1" outlineLevel="1" x14ac:dyDescent="0.35">
      <c r="A183" s="247" t="s">
        <v>4142</v>
      </c>
      <c r="B183" s="235" t="s">
        <v>4143</v>
      </c>
      <c r="C183" s="235"/>
      <c r="D183" s="235"/>
      <c r="E183" s="235"/>
      <c r="F183" s="235"/>
      <c r="G183" s="235"/>
      <c r="H183" s="235"/>
      <c r="I183" s="235"/>
      <c r="J183" s="235"/>
      <c r="K183" s="238" t="str">
        <f>IF(COUNTIF(L183:AY183,"&lt;&gt;")=0,"",SUMPRODUCT(((Recommendations[ImplStatus]="Implemented")+(Recommendations[ImplStatus]="Compensated"))*ISNUMBER(MATCH(Recommendations[Id],L183:AY183,0)))/COUNTIF(L183:AY183,"&lt;&gt;"))</f>
        <v/>
      </c>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51"/>
    </row>
    <row r="184" spans="1:51" ht="60" customHeight="1" outlineLevel="1" x14ac:dyDescent="0.35">
      <c r="A184" s="248" t="s">
        <v>732</v>
      </c>
      <c r="B184" s="236" t="s">
        <v>4144</v>
      </c>
      <c r="C184" s="236"/>
      <c r="D184" s="236"/>
      <c r="E184" s="236"/>
      <c r="F184" s="236"/>
      <c r="G184" s="236"/>
      <c r="H184" s="236"/>
      <c r="I184" s="236"/>
      <c r="J184" s="236"/>
      <c r="K184" s="239" t="str">
        <f>IF(COUNTIF(L184:AY184,"&lt;&gt;")=0,"",SUMPRODUCT(((Recommendations[ImplStatus]="Implemented")+(Recommendations[ImplStatus]="Compensated"))*ISNUMBER(MATCH(Recommendations[Id],L184:AY184,0)))/COUNTIF(L184:AY184,"&lt;&gt;"))</f>
        <v/>
      </c>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52"/>
    </row>
    <row r="185" spans="1:51" ht="60" customHeight="1" x14ac:dyDescent="0.35">
      <c r="A185" s="249" t="s">
        <v>4145</v>
      </c>
      <c r="B185" s="237" t="s">
        <v>4146</v>
      </c>
      <c r="C185" s="237" t="s">
        <v>4147</v>
      </c>
      <c r="D185" s="237" t="s">
        <v>3411</v>
      </c>
      <c r="E185" s="237" t="s">
        <v>4148</v>
      </c>
      <c r="F185" s="237" t="s">
        <v>21</v>
      </c>
      <c r="G185" s="237" t="s">
        <v>21</v>
      </c>
      <c r="H185" s="237" t="s">
        <v>4149</v>
      </c>
      <c r="I185" s="237" t="s">
        <v>21</v>
      </c>
      <c r="J185" s="237" t="s">
        <v>4150</v>
      </c>
      <c r="K185" s="240" t="str">
        <f>IF(COUNTIF(L185:AY185,"&lt;&gt;")=0,"",SUMPRODUCT(((Recommendations[ImplStatus]="Implemented")+(Recommendations[ImplStatus]="Compensated"))*ISNUMBER(MATCH(Recommendations[Id],L185:AY185,0)))/COUNTIF(L185:AY185,"&lt;&gt;"))</f>
        <v/>
      </c>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53"/>
    </row>
    <row r="186" spans="1:51" ht="60" customHeight="1" x14ac:dyDescent="0.35">
      <c r="A186" s="249" t="s">
        <v>4151</v>
      </c>
      <c r="B186" s="237" t="s">
        <v>4152</v>
      </c>
      <c r="C186" s="237" t="s">
        <v>3416</v>
      </c>
      <c r="D186" s="237" t="s">
        <v>4153</v>
      </c>
      <c r="E186" s="237" t="s">
        <v>21</v>
      </c>
      <c r="F186" s="237" t="s">
        <v>21</v>
      </c>
      <c r="G186" s="237" t="s">
        <v>21</v>
      </c>
      <c r="H186" s="237" t="s">
        <v>4154</v>
      </c>
      <c r="I186" s="237" t="s">
        <v>21</v>
      </c>
      <c r="J186" s="237" t="s">
        <v>4155</v>
      </c>
      <c r="K186" s="240" t="str">
        <f>IF(COUNTIF(L186:AY186,"&lt;&gt;")=0,"",SUMPRODUCT(((Recommendations[ImplStatus]="Implemented")+(Recommendations[ImplStatus]="Compensated"))*ISNUMBER(MATCH(Recommendations[Id],L186:AY186,0)))/COUNTIF(L186:AY186,"&lt;&gt;"))</f>
        <v/>
      </c>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53"/>
    </row>
    <row r="187" spans="1:51" ht="60" customHeight="1" outlineLevel="1" x14ac:dyDescent="0.35">
      <c r="A187" s="248" t="s">
        <v>736</v>
      </c>
      <c r="B187" s="236" t="s">
        <v>4156</v>
      </c>
      <c r="C187" s="236"/>
      <c r="D187" s="236"/>
      <c r="E187" s="236"/>
      <c r="F187" s="236"/>
      <c r="G187" s="236"/>
      <c r="H187" s="236"/>
      <c r="I187" s="236"/>
      <c r="J187" s="236"/>
      <c r="K187" s="239" t="str">
        <f>IF(COUNTIF(L187:AY187,"&lt;&gt;")=0,"",SUMPRODUCT(((Recommendations[ImplStatus]="Implemented")+(Recommendations[ImplStatus]="Compensated"))*ISNUMBER(MATCH(Recommendations[Id],L187:AY187,0)))/COUNTIF(L187:AY187,"&lt;&gt;"))</f>
        <v/>
      </c>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52"/>
    </row>
    <row r="188" spans="1:51" ht="60" customHeight="1" x14ac:dyDescent="0.35">
      <c r="A188" s="249" t="s">
        <v>4157</v>
      </c>
      <c r="B188" s="237" t="s">
        <v>4158</v>
      </c>
      <c r="C188" s="237" t="s">
        <v>4159</v>
      </c>
      <c r="D188" s="237" t="s">
        <v>4160</v>
      </c>
      <c r="E188" s="237" t="s">
        <v>21</v>
      </c>
      <c r="F188" s="237" t="s">
        <v>4161</v>
      </c>
      <c r="G188" s="237" t="s">
        <v>21</v>
      </c>
      <c r="H188" s="237" t="s">
        <v>4162</v>
      </c>
      <c r="I188" s="237" t="s">
        <v>4163</v>
      </c>
      <c r="J188" s="237" t="s">
        <v>4164</v>
      </c>
      <c r="K188" s="240" t="str">
        <f>IF(COUNTIF(L188:AY188,"&lt;&gt;")=0,"",SUMPRODUCT(((Recommendations[ImplStatus]="Implemented")+(Recommendations[ImplStatus]="Compensated"))*ISNUMBER(MATCH(Recommendations[Id],L188:AY188,0)))/COUNTIF(L188:AY188,"&lt;&gt;"))</f>
        <v/>
      </c>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53"/>
    </row>
    <row r="189" spans="1:51" ht="60" customHeight="1" x14ac:dyDescent="0.35">
      <c r="A189" s="249" t="s">
        <v>4165</v>
      </c>
      <c r="B189" s="237" t="s">
        <v>4166</v>
      </c>
      <c r="C189" s="237" t="s">
        <v>4167</v>
      </c>
      <c r="D189" s="237" t="s">
        <v>4168</v>
      </c>
      <c r="E189" s="237" t="s">
        <v>21</v>
      </c>
      <c r="F189" s="237" t="s">
        <v>21</v>
      </c>
      <c r="G189" s="237" t="s">
        <v>21</v>
      </c>
      <c r="H189" s="237" t="s">
        <v>4169</v>
      </c>
      <c r="I189" s="237" t="s">
        <v>21</v>
      </c>
      <c r="J189" s="237" t="s">
        <v>4170</v>
      </c>
      <c r="K189" s="240" t="str">
        <f>IF(COUNTIF(L189:AY189,"&lt;&gt;")=0,"",SUMPRODUCT(((Recommendations[ImplStatus]="Implemented")+(Recommendations[ImplStatus]="Compensated"))*ISNUMBER(MATCH(Recommendations[Id],L189:AY189,0)))/COUNTIF(L189:AY189,"&lt;&gt;"))</f>
        <v/>
      </c>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53"/>
    </row>
    <row r="190" spans="1:51" ht="60" customHeight="1" x14ac:dyDescent="0.35">
      <c r="A190" s="249" t="s">
        <v>4171</v>
      </c>
      <c r="B190" s="237" t="s">
        <v>4172</v>
      </c>
      <c r="C190" s="237" t="s">
        <v>4173</v>
      </c>
      <c r="D190" s="237" t="s">
        <v>4174</v>
      </c>
      <c r="E190" s="237" t="s">
        <v>21</v>
      </c>
      <c r="F190" s="237" t="s">
        <v>4175</v>
      </c>
      <c r="G190" s="237" t="s">
        <v>21</v>
      </c>
      <c r="H190" s="237" t="s">
        <v>4176</v>
      </c>
      <c r="I190" s="237" t="s">
        <v>21</v>
      </c>
      <c r="J190" s="237" t="s">
        <v>4177</v>
      </c>
      <c r="K190" s="240" t="str">
        <f>IF(COUNTIF(L190:AY190,"&lt;&gt;")=0,"",SUMPRODUCT(((Recommendations[ImplStatus]="Implemented")+(Recommendations[ImplStatus]="Compensated"))*ISNUMBER(MATCH(Recommendations[Id],L190:AY190,0)))/COUNTIF(L190:AY190,"&lt;&gt;"))</f>
        <v/>
      </c>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53"/>
    </row>
    <row r="191" spans="1:51" ht="60" customHeight="1" x14ac:dyDescent="0.35">
      <c r="A191" s="249" t="s">
        <v>4178</v>
      </c>
      <c r="B191" s="237" t="s">
        <v>4179</v>
      </c>
      <c r="C191" s="237" t="s">
        <v>4180</v>
      </c>
      <c r="D191" s="237" t="s">
        <v>21</v>
      </c>
      <c r="E191" s="237" t="s">
        <v>21</v>
      </c>
      <c r="F191" s="237" t="s">
        <v>21</v>
      </c>
      <c r="G191" s="237" t="s">
        <v>21</v>
      </c>
      <c r="H191" s="237" t="s">
        <v>4181</v>
      </c>
      <c r="I191" s="237" t="s">
        <v>21</v>
      </c>
      <c r="J191" s="237" t="s">
        <v>4182</v>
      </c>
      <c r="K191" s="240" t="str">
        <f>IF(COUNTIF(L191:AY191,"&lt;&gt;")=0,"",SUMPRODUCT(((Recommendations[ImplStatus]="Implemented")+(Recommendations[ImplStatus]="Compensated"))*ISNUMBER(MATCH(Recommendations[Id],L191:AY191,0)))/COUNTIF(L191:AY191,"&lt;&gt;"))</f>
        <v/>
      </c>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53"/>
    </row>
    <row r="192" spans="1:51" ht="60" customHeight="1" x14ac:dyDescent="0.35">
      <c r="A192" s="249" t="s">
        <v>4183</v>
      </c>
      <c r="B192" s="237" t="s">
        <v>4184</v>
      </c>
      <c r="C192" s="237" t="s">
        <v>4185</v>
      </c>
      <c r="D192" s="237" t="s">
        <v>4186</v>
      </c>
      <c r="E192" s="237" t="s">
        <v>4187</v>
      </c>
      <c r="F192" s="237" t="s">
        <v>21</v>
      </c>
      <c r="G192" s="237" t="s">
        <v>21</v>
      </c>
      <c r="H192" s="237" t="s">
        <v>4188</v>
      </c>
      <c r="I192" s="237" t="s">
        <v>21</v>
      </c>
      <c r="J192" s="237" t="s">
        <v>4189</v>
      </c>
      <c r="K192" s="240" t="str">
        <f>IF(COUNTIF(L192:AY192,"&lt;&gt;")=0,"",SUMPRODUCT(((Recommendations[ImplStatus]="Implemented")+(Recommendations[ImplStatus]="Compensated"))*ISNUMBER(MATCH(Recommendations[Id],L192:AY192,0)))/COUNTIF(L192:AY192,"&lt;&gt;"))</f>
        <v/>
      </c>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53"/>
    </row>
    <row r="193" spans="1:51" ht="60" customHeight="1" outlineLevel="1" x14ac:dyDescent="0.35">
      <c r="A193" s="248" t="s">
        <v>740</v>
      </c>
      <c r="B193" s="236" t="s">
        <v>4190</v>
      </c>
      <c r="C193" s="236"/>
      <c r="D193" s="236"/>
      <c r="E193" s="236"/>
      <c r="F193" s="236"/>
      <c r="G193" s="236"/>
      <c r="H193" s="236"/>
      <c r="I193" s="236"/>
      <c r="J193" s="236"/>
      <c r="K193" s="239" t="str">
        <f>IF(COUNTIF(L193:AY193,"&lt;&gt;")=0,"",SUMPRODUCT(((Recommendations[ImplStatus]="Implemented")+(Recommendations[ImplStatus]="Compensated"))*ISNUMBER(MATCH(Recommendations[Id],L193:AY193,0)))/COUNTIF(L193:AY193,"&lt;&gt;"))</f>
        <v/>
      </c>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52"/>
    </row>
    <row r="194" spans="1:51" ht="60" customHeight="1" x14ac:dyDescent="0.35">
      <c r="A194" s="249" t="s">
        <v>4191</v>
      </c>
      <c r="B194" s="237" t="s">
        <v>4192</v>
      </c>
      <c r="C194" s="237" t="s">
        <v>4193</v>
      </c>
      <c r="D194" s="237" t="s">
        <v>4186</v>
      </c>
      <c r="E194" s="237" t="s">
        <v>4187</v>
      </c>
      <c r="F194" s="237" t="s">
        <v>4194</v>
      </c>
      <c r="G194" s="237" t="s">
        <v>21</v>
      </c>
      <c r="H194" s="237" t="s">
        <v>4195</v>
      </c>
      <c r="I194" s="237" t="s">
        <v>21</v>
      </c>
      <c r="J194" s="237" t="s">
        <v>4196</v>
      </c>
      <c r="K194" s="240" t="str">
        <f>IF(COUNTIF(L194:AY194,"&lt;&gt;")=0,"",SUMPRODUCT(((Recommendations[ImplStatus]="Implemented")+(Recommendations[ImplStatus]="Compensated"))*ISNUMBER(MATCH(Recommendations[Id],L194:AY194,0)))/COUNTIF(L194:AY194,"&lt;&gt;"))</f>
        <v/>
      </c>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53"/>
    </row>
    <row r="195" spans="1:51" ht="60" customHeight="1" x14ac:dyDescent="0.35">
      <c r="A195" s="249" t="s">
        <v>4197</v>
      </c>
      <c r="B195" s="237" t="s">
        <v>4198</v>
      </c>
      <c r="C195" s="237" t="s">
        <v>4199</v>
      </c>
      <c r="D195" s="237" t="s">
        <v>4200</v>
      </c>
      <c r="E195" s="237" t="s">
        <v>21</v>
      </c>
      <c r="F195" s="237" t="s">
        <v>21</v>
      </c>
      <c r="G195" s="237" t="s">
        <v>21</v>
      </c>
      <c r="H195" s="237" t="s">
        <v>4201</v>
      </c>
      <c r="I195" s="237" t="s">
        <v>21</v>
      </c>
      <c r="J195" s="237" t="s">
        <v>4202</v>
      </c>
      <c r="K195" s="240" t="str">
        <f>IF(COUNTIF(L195:AY195,"&lt;&gt;")=0,"",SUMPRODUCT(((Recommendations[ImplStatus]="Implemented")+(Recommendations[ImplStatus]="Compensated"))*ISNUMBER(MATCH(Recommendations[Id],L195:AY195,0)))/COUNTIF(L195:AY195,"&lt;&gt;"))</f>
        <v/>
      </c>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53"/>
    </row>
    <row r="196" spans="1:51" ht="60" customHeight="1" x14ac:dyDescent="0.35">
      <c r="A196" s="249" t="s">
        <v>4203</v>
      </c>
      <c r="B196" s="237" t="s">
        <v>4204</v>
      </c>
      <c r="C196" s="237" t="s">
        <v>4205</v>
      </c>
      <c r="D196" s="237" t="s">
        <v>21</v>
      </c>
      <c r="E196" s="237" t="s">
        <v>4206</v>
      </c>
      <c r="F196" s="237" t="s">
        <v>21</v>
      </c>
      <c r="G196" s="237" t="s">
        <v>21</v>
      </c>
      <c r="H196" s="237" t="s">
        <v>4207</v>
      </c>
      <c r="I196" s="237" t="s">
        <v>21</v>
      </c>
      <c r="J196" s="237" t="s">
        <v>4208</v>
      </c>
      <c r="K196" s="240" t="str">
        <f>IF(COUNTIF(L196:AY196,"&lt;&gt;")=0,"",SUMPRODUCT(((Recommendations[ImplStatus]="Implemented")+(Recommendations[ImplStatus]="Compensated"))*ISNUMBER(MATCH(Recommendations[Id],L196:AY196,0)))/COUNTIF(L196:AY196,"&lt;&gt;"))</f>
        <v/>
      </c>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53"/>
    </row>
    <row r="197" spans="1:51" ht="60" customHeight="1" x14ac:dyDescent="0.35">
      <c r="A197" s="249" t="s">
        <v>4209</v>
      </c>
      <c r="B197" s="237" t="s">
        <v>4210</v>
      </c>
      <c r="C197" s="237" t="s">
        <v>4211</v>
      </c>
      <c r="D197" s="237" t="s">
        <v>21</v>
      </c>
      <c r="E197" s="237" t="s">
        <v>21</v>
      </c>
      <c r="F197" s="237" t="s">
        <v>21</v>
      </c>
      <c r="G197" s="237" t="s">
        <v>21</v>
      </c>
      <c r="H197" s="237" t="s">
        <v>4212</v>
      </c>
      <c r="I197" s="237" t="s">
        <v>21</v>
      </c>
      <c r="J197" s="237" t="s">
        <v>4213</v>
      </c>
      <c r="K197" s="240" t="str">
        <f>IF(COUNTIF(L197:AY197,"&lt;&gt;")=0,"",SUMPRODUCT(((Recommendations[ImplStatus]="Implemented")+(Recommendations[ImplStatus]="Compensated"))*ISNUMBER(MATCH(Recommendations[Id],L197:AY197,0)))/COUNTIF(L197:AY197,"&lt;&gt;"))</f>
        <v/>
      </c>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53"/>
    </row>
    <row r="198" spans="1:51" ht="60" customHeight="1" x14ac:dyDescent="0.35">
      <c r="A198" s="249" t="s">
        <v>4214</v>
      </c>
      <c r="B198" s="237" t="s">
        <v>4215</v>
      </c>
      <c r="C198" s="237" t="s">
        <v>4216</v>
      </c>
      <c r="D198" s="237" t="s">
        <v>4217</v>
      </c>
      <c r="E198" s="237" t="s">
        <v>21</v>
      </c>
      <c r="F198" s="237" t="s">
        <v>21</v>
      </c>
      <c r="G198" s="237" t="s">
        <v>21</v>
      </c>
      <c r="H198" s="237" t="s">
        <v>4218</v>
      </c>
      <c r="I198" s="237" t="s">
        <v>21</v>
      </c>
      <c r="J198" s="237" t="s">
        <v>4219</v>
      </c>
      <c r="K198" s="240" t="str">
        <f>IF(COUNTIF(L198:AY198,"&lt;&gt;")=0,"",SUMPRODUCT(((Recommendations[ImplStatus]="Implemented")+(Recommendations[ImplStatus]="Compensated"))*ISNUMBER(MATCH(Recommendations[Id],L198:AY198,0)))/COUNTIF(L198:AY198,"&lt;&gt;"))</f>
        <v/>
      </c>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53"/>
    </row>
    <row r="199" spans="1:51" ht="60" customHeight="1" outlineLevel="1" x14ac:dyDescent="0.35">
      <c r="A199" s="248" t="s">
        <v>744</v>
      </c>
      <c r="B199" s="236" t="s">
        <v>4220</v>
      </c>
      <c r="C199" s="236"/>
      <c r="D199" s="236"/>
      <c r="E199" s="236"/>
      <c r="F199" s="236"/>
      <c r="G199" s="236"/>
      <c r="H199" s="236"/>
      <c r="I199" s="236"/>
      <c r="J199" s="236"/>
      <c r="K199" s="239" t="str">
        <f>IF(COUNTIF(L199:AY199,"&lt;&gt;")=0,"",SUMPRODUCT(((Recommendations[ImplStatus]="Implemented")+(Recommendations[ImplStatus]="Compensated"))*ISNUMBER(MATCH(Recommendations[Id],L199:AY199,0)))/COUNTIF(L199:AY199,"&lt;&gt;"))</f>
        <v/>
      </c>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52"/>
    </row>
    <row r="200" spans="1:51" ht="60" customHeight="1" x14ac:dyDescent="0.35">
      <c r="A200" s="249" t="s">
        <v>4221</v>
      </c>
      <c r="B200" s="237" t="s">
        <v>4222</v>
      </c>
      <c r="C200" s="237" t="s">
        <v>4223</v>
      </c>
      <c r="D200" s="237" t="s">
        <v>21</v>
      </c>
      <c r="E200" s="237" t="s">
        <v>21</v>
      </c>
      <c r="F200" s="237" t="s">
        <v>21</v>
      </c>
      <c r="G200" s="237" t="s">
        <v>21</v>
      </c>
      <c r="H200" s="237" t="s">
        <v>4224</v>
      </c>
      <c r="I200" s="237" t="s">
        <v>21</v>
      </c>
      <c r="J200" s="237" t="s">
        <v>21</v>
      </c>
      <c r="K200" s="240" t="str">
        <f>IF(COUNTIF(L200:AY200,"&lt;&gt;")=0,"",SUMPRODUCT(((Recommendations[ImplStatus]="Implemented")+(Recommendations[ImplStatus]="Compensated"))*ISNUMBER(MATCH(Recommendations[Id],L200:AY200,0)))/COUNTIF(L200:AY200,"&lt;&gt;"))</f>
        <v/>
      </c>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53"/>
    </row>
    <row r="201" spans="1:51" ht="60" customHeight="1" x14ac:dyDescent="0.35">
      <c r="A201" s="249" t="s">
        <v>4225</v>
      </c>
      <c r="B201" s="237" t="s">
        <v>4226</v>
      </c>
      <c r="C201" s="237" t="s">
        <v>4227</v>
      </c>
      <c r="D201" s="237" t="s">
        <v>4228</v>
      </c>
      <c r="E201" s="237" t="s">
        <v>21</v>
      </c>
      <c r="F201" s="237" t="s">
        <v>21</v>
      </c>
      <c r="G201" s="237" t="s">
        <v>21</v>
      </c>
      <c r="H201" s="237" t="s">
        <v>4229</v>
      </c>
      <c r="I201" s="237" t="s">
        <v>21</v>
      </c>
      <c r="J201" s="237" t="s">
        <v>4230</v>
      </c>
      <c r="K201" s="240" t="str">
        <f>IF(COUNTIF(L201:AY201,"&lt;&gt;")=0,"",SUMPRODUCT(((Recommendations[ImplStatus]="Implemented")+(Recommendations[ImplStatus]="Compensated"))*ISNUMBER(MATCH(Recommendations[Id],L201:AY201,0)))/COUNTIF(L201:AY201,"&lt;&gt;"))</f>
        <v/>
      </c>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53"/>
    </row>
    <row r="202" spans="1:51" ht="60" customHeight="1" x14ac:dyDescent="0.35">
      <c r="A202" s="249" t="s">
        <v>4231</v>
      </c>
      <c r="B202" s="237" t="s">
        <v>4232</v>
      </c>
      <c r="C202" s="237" t="s">
        <v>4233</v>
      </c>
      <c r="D202" s="237" t="s">
        <v>21</v>
      </c>
      <c r="E202" s="237" t="s">
        <v>21</v>
      </c>
      <c r="F202" s="237" t="s">
        <v>21</v>
      </c>
      <c r="G202" s="237" t="s">
        <v>21</v>
      </c>
      <c r="H202" s="237" t="s">
        <v>4234</v>
      </c>
      <c r="I202" s="237" t="s">
        <v>21</v>
      </c>
      <c r="J202" s="237" t="s">
        <v>4235</v>
      </c>
      <c r="K202" s="240" t="str">
        <f>IF(COUNTIF(L202:AY202,"&lt;&gt;")=0,"",SUMPRODUCT(((Recommendations[ImplStatus]="Implemented")+(Recommendations[ImplStatus]="Compensated"))*ISNUMBER(MATCH(Recommendations[Id],L202:AY202,0)))/COUNTIF(L202:AY202,"&lt;&gt;"))</f>
        <v/>
      </c>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53"/>
    </row>
    <row r="203" spans="1:51" ht="60" customHeight="1" x14ac:dyDescent="0.35">
      <c r="A203" s="249" t="s">
        <v>4236</v>
      </c>
      <c r="B203" s="237" t="s">
        <v>4237</v>
      </c>
      <c r="C203" s="237" t="s">
        <v>4238</v>
      </c>
      <c r="D203" s="237" t="s">
        <v>4239</v>
      </c>
      <c r="E203" s="237" t="s">
        <v>21</v>
      </c>
      <c r="F203" s="237" t="s">
        <v>21</v>
      </c>
      <c r="G203" s="237" t="s">
        <v>21</v>
      </c>
      <c r="H203" s="237" t="s">
        <v>4240</v>
      </c>
      <c r="I203" s="237" t="s">
        <v>21</v>
      </c>
      <c r="J203" s="237" t="s">
        <v>4241</v>
      </c>
      <c r="K203" s="240" t="str">
        <f>IF(COUNTIF(L203:AY203,"&lt;&gt;")=0,"",SUMPRODUCT(((Recommendations[ImplStatus]="Implemented")+(Recommendations[ImplStatus]="Compensated"))*ISNUMBER(MATCH(Recommendations[Id],L203:AY203,0)))/COUNTIF(L203:AY203,"&lt;&gt;"))</f>
        <v/>
      </c>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53"/>
    </row>
    <row r="204" spans="1:51" ht="60" customHeight="1" x14ac:dyDescent="0.35">
      <c r="A204" s="249" t="s">
        <v>4242</v>
      </c>
      <c r="B204" s="237" t="s">
        <v>4243</v>
      </c>
      <c r="C204" s="237" t="s">
        <v>4244</v>
      </c>
      <c r="D204" s="237" t="s">
        <v>21</v>
      </c>
      <c r="E204" s="237" t="s">
        <v>21</v>
      </c>
      <c r="F204" s="237" t="s">
        <v>21</v>
      </c>
      <c r="G204" s="237" t="s">
        <v>21</v>
      </c>
      <c r="H204" s="237" t="s">
        <v>4245</v>
      </c>
      <c r="I204" s="237" t="s">
        <v>21</v>
      </c>
      <c r="J204" s="237" t="s">
        <v>4246</v>
      </c>
      <c r="K204" s="240" t="str">
        <f>IF(COUNTIF(L204:AY204,"&lt;&gt;")=0,"",SUMPRODUCT(((Recommendations[ImplStatus]="Implemented")+(Recommendations[ImplStatus]="Compensated"))*ISNUMBER(MATCH(Recommendations[Id],L204:AY204,0)))/COUNTIF(L204:AY204,"&lt;&gt;"))</f>
        <v/>
      </c>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53"/>
    </row>
    <row r="205" spans="1:51" ht="60" customHeight="1" x14ac:dyDescent="0.35">
      <c r="A205" s="249" t="s">
        <v>4247</v>
      </c>
      <c r="B205" s="237" t="s">
        <v>4248</v>
      </c>
      <c r="C205" s="237" t="s">
        <v>4249</v>
      </c>
      <c r="D205" s="237" t="s">
        <v>21</v>
      </c>
      <c r="E205" s="237" t="s">
        <v>21</v>
      </c>
      <c r="F205" s="237" t="s">
        <v>21</v>
      </c>
      <c r="G205" s="237" t="s">
        <v>21</v>
      </c>
      <c r="H205" s="237" t="s">
        <v>4250</v>
      </c>
      <c r="I205" s="237" t="s">
        <v>4251</v>
      </c>
      <c r="J205" s="237" t="s">
        <v>4252</v>
      </c>
      <c r="K205" s="240" t="str">
        <f>IF(COUNTIF(L205:AY205,"&lt;&gt;")=0,"",SUMPRODUCT(((Recommendations[ImplStatus]="Implemented")+(Recommendations[ImplStatus]="Compensated"))*ISNUMBER(MATCH(Recommendations[Id],L205:AY205,0)))/COUNTIF(L205:AY205,"&lt;&gt;"))</f>
        <v/>
      </c>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53"/>
    </row>
    <row r="206" spans="1:51" ht="60" customHeight="1" x14ac:dyDescent="0.35">
      <c r="A206" s="249" t="s">
        <v>4253</v>
      </c>
      <c r="B206" s="237" t="s">
        <v>4254</v>
      </c>
      <c r="C206" s="237" t="s">
        <v>4255</v>
      </c>
      <c r="D206" s="237" t="s">
        <v>21</v>
      </c>
      <c r="E206" s="237" t="s">
        <v>21</v>
      </c>
      <c r="F206" s="237" t="s">
        <v>21</v>
      </c>
      <c r="G206" s="237" t="s">
        <v>21</v>
      </c>
      <c r="H206" s="237" t="s">
        <v>4256</v>
      </c>
      <c r="I206" s="237" t="s">
        <v>21</v>
      </c>
      <c r="J206" s="237" t="s">
        <v>4257</v>
      </c>
      <c r="K206" s="240" t="str">
        <f>IF(COUNTIF(L206:AY206,"&lt;&gt;")=0,"",SUMPRODUCT(((Recommendations[ImplStatus]="Implemented")+(Recommendations[ImplStatus]="Compensated"))*ISNUMBER(MATCH(Recommendations[Id],L206:AY206,0)))/COUNTIF(L206:AY206,"&lt;&gt;"))</f>
        <v/>
      </c>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53"/>
    </row>
    <row r="207" spans="1:51" ht="60" customHeight="1" x14ac:dyDescent="0.35">
      <c r="A207" s="249" t="s">
        <v>4258</v>
      </c>
      <c r="B207" s="237" t="s">
        <v>4259</v>
      </c>
      <c r="C207" s="237" t="s">
        <v>4255</v>
      </c>
      <c r="D207" s="237" t="s">
        <v>4260</v>
      </c>
      <c r="E207" s="237" t="s">
        <v>21</v>
      </c>
      <c r="F207" s="237" t="s">
        <v>21</v>
      </c>
      <c r="G207" s="237" t="s">
        <v>21</v>
      </c>
      <c r="H207" s="237" t="s">
        <v>4261</v>
      </c>
      <c r="I207" s="237" t="s">
        <v>21</v>
      </c>
      <c r="J207" s="237" t="s">
        <v>4262</v>
      </c>
      <c r="K207" s="240" t="str">
        <f>IF(COUNTIF(L207:AY207,"&lt;&gt;")=0,"",SUMPRODUCT(((Recommendations[ImplStatus]="Implemented")+(Recommendations[ImplStatus]="Compensated"))*ISNUMBER(MATCH(Recommendations[Id],L207:AY207,0)))/COUNTIF(L207:AY207,"&lt;&gt;"))</f>
        <v/>
      </c>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53"/>
    </row>
    <row r="208" spans="1:51" ht="60" customHeight="1" x14ac:dyDescent="0.35">
      <c r="A208" s="249" t="s">
        <v>4263</v>
      </c>
      <c r="B208" s="237" t="s">
        <v>4264</v>
      </c>
      <c r="C208" s="237" t="s">
        <v>4265</v>
      </c>
      <c r="D208" s="237" t="s">
        <v>4260</v>
      </c>
      <c r="E208" s="237" t="s">
        <v>21</v>
      </c>
      <c r="F208" s="237" t="s">
        <v>4266</v>
      </c>
      <c r="G208" s="237" t="s">
        <v>4267</v>
      </c>
      <c r="H208" s="237" t="s">
        <v>4268</v>
      </c>
      <c r="I208" s="237" t="s">
        <v>4269</v>
      </c>
      <c r="J208" s="237" t="s">
        <v>4270</v>
      </c>
      <c r="K208" s="240" t="str">
        <f>IF(COUNTIF(L208:AY208,"&lt;&gt;")=0,"",SUMPRODUCT(((Recommendations[ImplStatus]="Implemented")+(Recommendations[ImplStatus]="Compensated"))*ISNUMBER(MATCH(Recommendations[Id],L208:AY208,0)))/COUNTIF(L208:AY208,"&lt;&gt;"))</f>
        <v/>
      </c>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53"/>
    </row>
    <row r="209" spans="1:51" ht="60" customHeight="1" x14ac:dyDescent="0.35">
      <c r="A209" s="249" t="s">
        <v>4271</v>
      </c>
      <c r="B209" s="237" t="s">
        <v>4272</v>
      </c>
      <c r="C209" s="237" t="s">
        <v>4273</v>
      </c>
      <c r="D209" s="237" t="s">
        <v>4274</v>
      </c>
      <c r="E209" s="237" t="s">
        <v>21</v>
      </c>
      <c r="F209" s="237" t="s">
        <v>4266</v>
      </c>
      <c r="G209" s="237" t="s">
        <v>4275</v>
      </c>
      <c r="H209" s="237" t="s">
        <v>4276</v>
      </c>
      <c r="I209" s="237" t="s">
        <v>4269</v>
      </c>
      <c r="J209" s="237" t="s">
        <v>4277</v>
      </c>
      <c r="K209" s="240" t="str">
        <f>IF(COUNTIF(L209:AY209,"&lt;&gt;")=0,"",SUMPRODUCT(((Recommendations[ImplStatus]="Implemented")+(Recommendations[ImplStatus]="Compensated"))*ISNUMBER(MATCH(Recommendations[Id],L209:AY209,0)))/COUNTIF(L209:AY209,"&lt;&gt;"))</f>
        <v/>
      </c>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53"/>
    </row>
    <row r="210" spans="1:51" ht="60" customHeight="1" outlineLevel="1" x14ac:dyDescent="0.35">
      <c r="A210" s="248" t="s">
        <v>748</v>
      </c>
      <c r="B210" s="236" t="s">
        <v>4278</v>
      </c>
      <c r="C210" s="236"/>
      <c r="D210" s="236"/>
      <c r="E210" s="236"/>
      <c r="F210" s="236"/>
      <c r="G210" s="236"/>
      <c r="H210" s="236"/>
      <c r="I210" s="236"/>
      <c r="J210" s="236"/>
      <c r="K210" s="239" t="str">
        <f>IF(COUNTIF(L210:AY210,"&lt;&gt;")=0,"",SUMPRODUCT(((Recommendations[ImplStatus]="Implemented")+(Recommendations[ImplStatus]="Compensated"))*ISNUMBER(MATCH(Recommendations[Id],L210:AY210,0)))/COUNTIF(L210:AY210,"&lt;&gt;"))</f>
        <v/>
      </c>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52"/>
    </row>
    <row r="211" spans="1:51" ht="60" customHeight="1" x14ac:dyDescent="0.35">
      <c r="A211" s="249" t="s">
        <v>4279</v>
      </c>
      <c r="B211" s="237" t="s">
        <v>4280</v>
      </c>
      <c r="C211" s="237" t="s">
        <v>4281</v>
      </c>
      <c r="D211" s="237" t="s">
        <v>4282</v>
      </c>
      <c r="E211" s="237" t="s">
        <v>21</v>
      </c>
      <c r="F211" s="237" t="s">
        <v>21</v>
      </c>
      <c r="G211" s="237" t="s">
        <v>4283</v>
      </c>
      <c r="H211" s="237" t="s">
        <v>4284</v>
      </c>
      <c r="I211" s="237" t="s">
        <v>4285</v>
      </c>
      <c r="J211" s="237" t="s">
        <v>4286</v>
      </c>
      <c r="K211" s="240" t="str">
        <f>IF(COUNTIF(L211:AY211,"&lt;&gt;")=0,"",SUMPRODUCT(((Recommendations[ImplStatus]="Implemented")+(Recommendations[ImplStatus]="Compensated"))*ISNUMBER(MATCH(Recommendations[Id],L211:AY211,0)))/COUNTIF(L211:AY211,"&lt;&gt;"))</f>
        <v/>
      </c>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53"/>
    </row>
    <row r="212" spans="1:51" ht="60" customHeight="1" x14ac:dyDescent="0.35">
      <c r="A212" s="249" t="s">
        <v>4287</v>
      </c>
      <c r="B212" s="237" t="s">
        <v>4288</v>
      </c>
      <c r="C212" s="237" t="s">
        <v>4289</v>
      </c>
      <c r="D212" s="237" t="s">
        <v>4290</v>
      </c>
      <c r="E212" s="237" t="s">
        <v>21</v>
      </c>
      <c r="F212" s="237" t="s">
        <v>4291</v>
      </c>
      <c r="G212" s="237" t="s">
        <v>21</v>
      </c>
      <c r="H212" s="237" t="s">
        <v>21</v>
      </c>
      <c r="I212" s="237" t="s">
        <v>21</v>
      </c>
      <c r="J212" s="237" t="s">
        <v>4292</v>
      </c>
      <c r="K212" s="240" t="str">
        <f>IF(COUNTIF(L212:AY212,"&lt;&gt;")=0,"",SUMPRODUCT(((Recommendations[ImplStatus]="Implemented")+(Recommendations[ImplStatus]="Compensated"))*ISNUMBER(MATCH(Recommendations[Id],L212:AY212,0)))/COUNTIF(L212:AY212,"&lt;&gt;"))</f>
        <v/>
      </c>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53"/>
    </row>
    <row r="213" spans="1:51" ht="60" customHeight="1" x14ac:dyDescent="0.35">
      <c r="A213" s="249" t="s">
        <v>4293</v>
      </c>
      <c r="B213" s="237" t="s">
        <v>4294</v>
      </c>
      <c r="C213" s="237" t="s">
        <v>4295</v>
      </c>
      <c r="D213" s="237" t="s">
        <v>4296</v>
      </c>
      <c r="E213" s="237" t="s">
        <v>21</v>
      </c>
      <c r="F213" s="237" t="s">
        <v>4297</v>
      </c>
      <c r="G213" s="237" t="s">
        <v>21</v>
      </c>
      <c r="H213" s="237" t="s">
        <v>4298</v>
      </c>
      <c r="I213" s="237" t="s">
        <v>21</v>
      </c>
      <c r="J213" s="237" t="s">
        <v>4299</v>
      </c>
      <c r="K213" s="240" t="str">
        <f>IF(COUNTIF(L213:AY213,"&lt;&gt;")=0,"",SUMPRODUCT(((Recommendations[ImplStatus]="Implemented")+(Recommendations[ImplStatus]="Compensated"))*ISNUMBER(MATCH(Recommendations[Id],L213:AY213,0)))/COUNTIF(L213:AY213,"&lt;&gt;"))</f>
        <v/>
      </c>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53"/>
    </row>
    <row r="214" spans="1:51" ht="60" customHeight="1" x14ac:dyDescent="0.35">
      <c r="A214" s="249" t="s">
        <v>4300</v>
      </c>
      <c r="B214" s="237" t="s">
        <v>4301</v>
      </c>
      <c r="C214" s="237" t="s">
        <v>4302</v>
      </c>
      <c r="D214" s="237" t="s">
        <v>4303</v>
      </c>
      <c r="E214" s="237" t="s">
        <v>21</v>
      </c>
      <c r="F214" s="237" t="s">
        <v>21</v>
      </c>
      <c r="G214" s="237" t="s">
        <v>21</v>
      </c>
      <c r="H214" s="237" t="s">
        <v>4304</v>
      </c>
      <c r="I214" s="237" t="s">
        <v>3639</v>
      </c>
      <c r="J214" s="237" t="s">
        <v>4305</v>
      </c>
      <c r="K214" s="240" t="str">
        <f>IF(COUNTIF(L214:AY214,"&lt;&gt;")=0,"",SUMPRODUCT(((Recommendations[ImplStatus]="Implemented")+(Recommendations[ImplStatus]="Compensated"))*ISNUMBER(MATCH(Recommendations[Id],L214:AY214,0)))/COUNTIF(L214:AY214,"&lt;&gt;"))</f>
        <v/>
      </c>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53"/>
    </row>
    <row r="215" spans="1:51" ht="60" customHeight="1" x14ac:dyDescent="0.35">
      <c r="A215" s="249" t="s">
        <v>4306</v>
      </c>
      <c r="B215" s="237" t="s">
        <v>4307</v>
      </c>
      <c r="C215" s="237" t="s">
        <v>4308</v>
      </c>
      <c r="D215" s="237" t="s">
        <v>4309</v>
      </c>
      <c r="E215" s="237" t="s">
        <v>21</v>
      </c>
      <c r="F215" s="237" t="s">
        <v>21</v>
      </c>
      <c r="G215" s="237" t="s">
        <v>21</v>
      </c>
      <c r="H215" s="237" t="s">
        <v>4310</v>
      </c>
      <c r="I215" s="237" t="s">
        <v>21</v>
      </c>
      <c r="J215" s="237" t="s">
        <v>4311</v>
      </c>
      <c r="K215" s="240" t="str">
        <f>IF(COUNTIF(L215:AY215,"&lt;&gt;")=0,"",SUMPRODUCT(((Recommendations[ImplStatus]="Implemented")+(Recommendations[ImplStatus]="Compensated"))*ISNUMBER(MATCH(Recommendations[Id],L215:AY215,0)))/COUNTIF(L215:AY215,"&lt;&gt;"))</f>
        <v/>
      </c>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53"/>
    </row>
    <row r="216" spans="1:51" ht="60" customHeight="1" outlineLevel="1" x14ac:dyDescent="0.35">
      <c r="A216" s="247" t="s">
        <v>4312</v>
      </c>
      <c r="B216" s="235" t="s">
        <v>4313</v>
      </c>
      <c r="C216" s="235"/>
      <c r="D216" s="235"/>
      <c r="E216" s="235"/>
      <c r="F216" s="235"/>
      <c r="G216" s="235"/>
      <c r="H216" s="235"/>
      <c r="I216" s="235"/>
      <c r="J216" s="235"/>
      <c r="K216" s="238" t="str">
        <f>IF(COUNTIF(L216:AY216,"&lt;&gt;")=0,"",SUMPRODUCT(((Recommendations[ImplStatus]="Implemented")+(Recommendations[ImplStatus]="Compensated"))*ISNUMBER(MATCH(Recommendations[Id],L216:AY216,0)))/COUNTIF(L216:AY216,"&lt;&gt;"))</f>
        <v/>
      </c>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51"/>
    </row>
    <row r="217" spans="1:51" ht="60" customHeight="1" outlineLevel="1" x14ac:dyDescent="0.35">
      <c r="A217" s="248" t="s">
        <v>762</v>
      </c>
      <c r="B217" s="236" t="s">
        <v>4314</v>
      </c>
      <c r="C217" s="236"/>
      <c r="D217" s="236"/>
      <c r="E217" s="236"/>
      <c r="F217" s="236"/>
      <c r="G217" s="236"/>
      <c r="H217" s="236"/>
      <c r="I217" s="236"/>
      <c r="J217" s="236"/>
      <c r="K217" s="239" t="str">
        <f>IF(COUNTIF(L217:AY217,"&lt;&gt;")=0,"",SUMPRODUCT(((Recommendations[ImplStatus]="Implemented")+(Recommendations[ImplStatus]="Compensated"))*ISNUMBER(MATCH(Recommendations[Id],L217:AY217,0)))/COUNTIF(L217:AY217,"&lt;&gt;"))</f>
        <v/>
      </c>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52"/>
    </row>
    <row r="218" spans="1:51" ht="60" customHeight="1" x14ac:dyDescent="0.35">
      <c r="A218" s="249" t="s">
        <v>4315</v>
      </c>
      <c r="B218" s="237" t="s">
        <v>4316</v>
      </c>
      <c r="C218" s="237" t="s">
        <v>4317</v>
      </c>
      <c r="D218" s="237" t="s">
        <v>3411</v>
      </c>
      <c r="E218" s="237" t="s">
        <v>3197</v>
      </c>
      <c r="F218" s="237" t="s">
        <v>21</v>
      </c>
      <c r="G218" s="237" t="s">
        <v>21</v>
      </c>
      <c r="H218" s="237" t="s">
        <v>4318</v>
      </c>
      <c r="I218" s="237" t="s">
        <v>21</v>
      </c>
      <c r="J218" s="237" t="s">
        <v>4319</v>
      </c>
      <c r="K218" s="240" t="str">
        <f>IF(COUNTIF(L218:AY218,"&lt;&gt;")=0,"",SUMPRODUCT(((Recommendations[ImplStatus]="Implemented")+(Recommendations[ImplStatus]="Compensated"))*ISNUMBER(MATCH(Recommendations[Id],L218:AY218,0)))/COUNTIF(L218:AY218,"&lt;&gt;"))</f>
        <v/>
      </c>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53"/>
    </row>
    <row r="219" spans="1:51" ht="60" customHeight="1" x14ac:dyDescent="0.35">
      <c r="A219" s="249" t="s">
        <v>4320</v>
      </c>
      <c r="B219" s="237" t="s">
        <v>4321</v>
      </c>
      <c r="C219" s="237" t="s">
        <v>3202</v>
      </c>
      <c r="D219" s="237" t="s">
        <v>3203</v>
      </c>
      <c r="E219" s="237" t="s">
        <v>21</v>
      </c>
      <c r="F219" s="237" t="s">
        <v>3205</v>
      </c>
      <c r="G219" s="237" t="s">
        <v>21</v>
      </c>
      <c r="H219" s="237" t="s">
        <v>4322</v>
      </c>
      <c r="I219" s="237" t="s">
        <v>21</v>
      </c>
      <c r="J219" s="237" t="s">
        <v>4323</v>
      </c>
      <c r="K219" s="240" t="str">
        <f>IF(COUNTIF(L219:AY219,"&lt;&gt;")=0,"",SUMPRODUCT(((Recommendations[ImplStatus]="Implemented")+(Recommendations[ImplStatus]="Compensated"))*ISNUMBER(MATCH(Recommendations[Id],L219:AY219,0)))/COUNTIF(L219:AY219,"&lt;&gt;"))</f>
        <v/>
      </c>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53"/>
    </row>
    <row r="220" spans="1:51" ht="60" customHeight="1" outlineLevel="1" x14ac:dyDescent="0.35">
      <c r="A220" s="248" t="s">
        <v>766</v>
      </c>
      <c r="B220" s="236" t="s">
        <v>4324</v>
      </c>
      <c r="C220" s="236"/>
      <c r="D220" s="236"/>
      <c r="E220" s="236"/>
      <c r="F220" s="236"/>
      <c r="G220" s="236"/>
      <c r="H220" s="236"/>
      <c r="I220" s="236"/>
      <c r="J220" s="236"/>
      <c r="K220" s="239" t="str">
        <f>IF(COUNTIF(L220:AY220,"&lt;&gt;")=0,"",SUMPRODUCT(((Recommendations[ImplStatus]="Implemented")+(Recommendations[ImplStatus]="Compensated"))*ISNUMBER(MATCH(Recommendations[Id],L220:AY220,0)))/COUNTIF(L220:AY220,"&lt;&gt;"))</f>
        <v/>
      </c>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52"/>
    </row>
    <row r="221" spans="1:51" ht="60" customHeight="1" x14ac:dyDescent="0.35">
      <c r="A221" s="249" t="s">
        <v>4325</v>
      </c>
      <c r="B221" s="237" t="s">
        <v>4326</v>
      </c>
      <c r="C221" s="237" t="s">
        <v>4327</v>
      </c>
      <c r="D221" s="237" t="s">
        <v>4328</v>
      </c>
      <c r="E221" s="237" t="s">
        <v>21</v>
      </c>
      <c r="F221" s="237" t="s">
        <v>21</v>
      </c>
      <c r="G221" s="237" t="s">
        <v>21</v>
      </c>
      <c r="H221" s="237" t="s">
        <v>4329</v>
      </c>
      <c r="I221" s="237" t="s">
        <v>21</v>
      </c>
      <c r="J221" s="237" t="s">
        <v>4330</v>
      </c>
      <c r="K221" s="240" t="str">
        <f>IF(COUNTIF(L221:AY221,"&lt;&gt;")=0,"",SUMPRODUCT(((Recommendations[ImplStatus]="Implemented")+(Recommendations[ImplStatus]="Compensated"))*ISNUMBER(MATCH(Recommendations[Id],L221:AY221,0)))/COUNTIF(L221:AY221,"&lt;&gt;"))</f>
        <v/>
      </c>
      <c r="L221" s="243"/>
      <c r="M221" s="243"/>
      <c r="N221" s="243"/>
      <c r="O221" s="243"/>
      <c r="P221" s="243"/>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53"/>
    </row>
    <row r="222" spans="1:51" ht="60" customHeight="1" x14ac:dyDescent="0.35">
      <c r="A222" s="249" t="s">
        <v>4331</v>
      </c>
      <c r="B222" s="237" t="s">
        <v>4332</v>
      </c>
      <c r="C222" s="237" t="s">
        <v>4333</v>
      </c>
      <c r="D222" s="237" t="s">
        <v>4334</v>
      </c>
      <c r="E222" s="237" t="s">
        <v>21</v>
      </c>
      <c r="F222" s="237" t="s">
        <v>21</v>
      </c>
      <c r="G222" s="237" t="s">
        <v>21</v>
      </c>
      <c r="H222" s="237" t="s">
        <v>4335</v>
      </c>
      <c r="I222" s="237" t="s">
        <v>21</v>
      </c>
      <c r="J222" s="237" t="s">
        <v>4336</v>
      </c>
      <c r="K222" s="240" t="str">
        <f>IF(COUNTIF(L222:AY222,"&lt;&gt;")=0,"",SUMPRODUCT(((Recommendations[ImplStatus]="Implemented")+(Recommendations[ImplStatus]="Compensated"))*ISNUMBER(MATCH(Recommendations[Id],L222:AY222,0)))/COUNTIF(L222:AY222,"&lt;&gt;"))</f>
        <v/>
      </c>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53"/>
    </row>
    <row r="223" spans="1:51" ht="60" customHeight="1" x14ac:dyDescent="0.35">
      <c r="A223" s="249" t="s">
        <v>4337</v>
      </c>
      <c r="B223" s="237" t="s">
        <v>4338</v>
      </c>
      <c r="C223" s="237" t="s">
        <v>4339</v>
      </c>
      <c r="D223" s="237" t="s">
        <v>21</v>
      </c>
      <c r="E223" s="237" t="s">
        <v>4340</v>
      </c>
      <c r="F223" s="237" t="s">
        <v>21</v>
      </c>
      <c r="G223" s="237" t="s">
        <v>21</v>
      </c>
      <c r="H223" s="237" t="s">
        <v>4341</v>
      </c>
      <c r="I223" s="237" t="s">
        <v>21</v>
      </c>
      <c r="J223" s="237" t="s">
        <v>4342</v>
      </c>
      <c r="K223" s="240" t="str">
        <f>IF(COUNTIF(L223:AY223,"&lt;&gt;")=0,"",SUMPRODUCT(((Recommendations[ImplStatus]="Implemented")+(Recommendations[ImplStatus]="Compensated"))*ISNUMBER(MATCH(Recommendations[Id],L223:AY223,0)))/COUNTIF(L223:AY223,"&lt;&gt;"))</f>
        <v/>
      </c>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53"/>
    </row>
    <row r="224" spans="1:51" ht="60" customHeight="1" x14ac:dyDescent="0.35">
      <c r="A224" s="249" t="s">
        <v>4343</v>
      </c>
      <c r="B224" s="237" t="s">
        <v>4344</v>
      </c>
      <c r="C224" s="237" t="s">
        <v>4345</v>
      </c>
      <c r="D224" s="237" t="s">
        <v>21</v>
      </c>
      <c r="E224" s="237" t="s">
        <v>21</v>
      </c>
      <c r="F224" s="237" t="s">
        <v>21</v>
      </c>
      <c r="G224" s="237" t="s">
        <v>21</v>
      </c>
      <c r="H224" s="237" t="s">
        <v>4346</v>
      </c>
      <c r="I224" s="237" t="s">
        <v>21</v>
      </c>
      <c r="J224" s="237" t="s">
        <v>4347</v>
      </c>
      <c r="K224" s="240" t="str">
        <f>IF(COUNTIF(L224:AY224,"&lt;&gt;")=0,"",SUMPRODUCT(((Recommendations[ImplStatus]="Implemented")+(Recommendations[ImplStatus]="Compensated"))*ISNUMBER(MATCH(Recommendations[Id],L224:AY224,0)))/COUNTIF(L224:AY224,"&lt;&gt;"))</f>
        <v/>
      </c>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53"/>
    </row>
    <row r="225" spans="1:51" ht="60" customHeight="1" x14ac:dyDescent="0.35">
      <c r="A225" s="249" t="s">
        <v>4348</v>
      </c>
      <c r="B225" s="237" t="s">
        <v>4349</v>
      </c>
      <c r="C225" s="237" t="s">
        <v>4350</v>
      </c>
      <c r="D225" s="237" t="s">
        <v>21</v>
      </c>
      <c r="E225" s="237" t="s">
        <v>21</v>
      </c>
      <c r="F225" s="237" t="s">
        <v>21</v>
      </c>
      <c r="G225" s="237" t="s">
        <v>21</v>
      </c>
      <c r="H225" s="237" t="s">
        <v>4351</v>
      </c>
      <c r="I225" s="237" t="s">
        <v>21</v>
      </c>
      <c r="J225" s="237" t="s">
        <v>21</v>
      </c>
      <c r="K225" s="240" t="str">
        <f>IF(COUNTIF(L225:AY225,"&lt;&gt;")=0,"",SUMPRODUCT(((Recommendations[ImplStatus]="Implemented")+(Recommendations[ImplStatus]="Compensated"))*ISNUMBER(MATCH(Recommendations[Id],L225:AY225,0)))/COUNTIF(L225:AY225,"&lt;&gt;"))</f>
        <v/>
      </c>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53"/>
    </row>
    <row r="226" spans="1:51" ht="60" customHeight="1" x14ac:dyDescent="0.35">
      <c r="A226" s="249" t="s">
        <v>4352</v>
      </c>
      <c r="B226" s="237" t="s">
        <v>4353</v>
      </c>
      <c r="C226" s="237" t="s">
        <v>4354</v>
      </c>
      <c r="D226" s="237" t="s">
        <v>21</v>
      </c>
      <c r="E226" s="237" t="s">
        <v>21</v>
      </c>
      <c r="F226" s="237" t="s">
        <v>21</v>
      </c>
      <c r="G226" s="237" t="s">
        <v>21</v>
      </c>
      <c r="H226" s="237" t="s">
        <v>4355</v>
      </c>
      <c r="I226" s="237" t="s">
        <v>21</v>
      </c>
      <c r="J226" s="237" t="s">
        <v>4356</v>
      </c>
      <c r="K226" s="240" t="str">
        <f>IF(COUNTIF(L226:AY226,"&lt;&gt;")=0,"",SUMPRODUCT(((Recommendations[ImplStatus]="Implemented")+(Recommendations[ImplStatus]="Compensated"))*ISNUMBER(MATCH(Recommendations[Id],L226:AY226,0)))/COUNTIF(L226:AY226,"&lt;&gt;"))</f>
        <v/>
      </c>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53"/>
    </row>
    <row r="227" spans="1:51" ht="60" customHeight="1" x14ac:dyDescent="0.35">
      <c r="A227" s="249" t="s">
        <v>4357</v>
      </c>
      <c r="B227" s="237" t="s">
        <v>4358</v>
      </c>
      <c r="C227" s="237" t="s">
        <v>4359</v>
      </c>
      <c r="D227" s="237" t="s">
        <v>21</v>
      </c>
      <c r="E227" s="237" t="s">
        <v>21</v>
      </c>
      <c r="F227" s="237" t="s">
        <v>21</v>
      </c>
      <c r="G227" s="237" t="s">
        <v>21</v>
      </c>
      <c r="H227" s="237" t="s">
        <v>4360</v>
      </c>
      <c r="I227" s="237" t="s">
        <v>21</v>
      </c>
      <c r="J227" s="237" t="s">
        <v>4361</v>
      </c>
      <c r="K227" s="240" t="str">
        <f>IF(COUNTIF(L227:AY227,"&lt;&gt;")=0,"",SUMPRODUCT(((Recommendations[ImplStatus]="Implemented")+(Recommendations[ImplStatus]="Compensated"))*ISNUMBER(MATCH(Recommendations[Id],L227:AY227,0)))/COUNTIF(L227:AY227,"&lt;&gt;"))</f>
        <v/>
      </c>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53"/>
    </row>
    <row r="228" spans="1:51" ht="60" customHeight="1" x14ac:dyDescent="0.35">
      <c r="A228" s="249" t="s">
        <v>4362</v>
      </c>
      <c r="B228" s="237" t="s">
        <v>4363</v>
      </c>
      <c r="C228" s="237" t="s">
        <v>4364</v>
      </c>
      <c r="D228" s="237" t="s">
        <v>21</v>
      </c>
      <c r="E228" s="237" t="s">
        <v>21</v>
      </c>
      <c r="F228" s="237" t="s">
        <v>21</v>
      </c>
      <c r="G228" s="237" t="s">
        <v>21</v>
      </c>
      <c r="H228" s="237" t="s">
        <v>4365</v>
      </c>
      <c r="I228" s="237" t="s">
        <v>21</v>
      </c>
      <c r="J228" s="237" t="s">
        <v>4366</v>
      </c>
      <c r="K228" s="240" t="str">
        <f>IF(COUNTIF(L228:AY228,"&lt;&gt;")=0,"",SUMPRODUCT(((Recommendations[ImplStatus]="Implemented")+(Recommendations[ImplStatus]="Compensated"))*ISNUMBER(MATCH(Recommendations[Id],L228:AY228,0)))/COUNTIF(L228:AY228,"&lt;&gt;"))</f>
        <v/>
      </c>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53"/>
    </row>
    <row r="229" spans="1:51" ht="60" customHeight="1" x14ac:dyDescent="0.35">
      <c r="A229" s="249" t="s">
        <v>4367</v>
      </c>
      <c r="B229" s="237" t="s">
        <v>4368</v>
      </c>
      <c r="C229" s="237" t="s">
        <v>4369</v>
      </c>
      <c r="D229" s="237" t="s">
        <v>21</v>
      </c>
      <c r="E229" s="237" t="s">
        <v>21</v>
      </c>
      <c r="F229" s="237" t="s">
        <v>21</v>
      </c>
      <c r="G229" s="237" t="s">
        <v>21</v>
      </c>
      <c r="H229" s="237" t="s">
        <v>4370</v>
      </c>
      <c r="I229" s="237" t="s">
        <v>21</v>
      </c>
      <c r="J229" s="237" t="s">
        <v>4371</v>
      </c>
      <c r="K229" s="240" t="str">
        <f>IF(COUNTIF(L229:AY229,"&lt;&gt;")=0,"",SUMPRODUCT(((Recommendations[ImplStatus]="Implemented")+(Recommendations[ImplStatus]="Compensated"))*ISNUMBER(MATCH(Recommendations[Id],L229:AY229,0)))/COUNTIF(L229:AY229,"&lt;&gt;"))</f>
        <v/>
      </c>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53"/>
    </row>
    <row r="230" spans="1:51" ht="60" customHeight="1" outlineLevel="1" x14ac:dyDescent="0.35">
      <c r="A230" s="248" t="s">
        <v>770</v>
      </c>
      <c r="B230" s="236" t="s">
        <v>4372</v>
      </c>
      <c r="C230" s="236"/>
      <c r="D230" s="236"/>
      <c r="E230" s="236"/>
      <c r="F230" s="236"/>
      <c r="G230" s="236"/>
      <c r="H230" s="236"/>
      <c r="I230" s="236"/>
      <c r="J230" s="236"/>
      <c r="K230" s="239" t="str">
        <f>IF(COUNTIF(L230:AY230,"&lt;&gt;")=0,"",SUMPRODUCT(((Recommendations[ImplStatus]="Implemented")+(Recommendations[ImplStatus]="Compensated"))*ISNUMBER(MATCH(Recommendations[Id],L230:AY230,0)))/COUNTIF(L230:AY230,"&lt;&gt;"))</f>
        <v/>
      </c>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52"/>
    </row>
    <row r="231" spans="1:51" ht="60" customHeight="1" x14ac:dyDescent="0.35">
      <c r="A231" s="249" t="s">
        <v>4373</v>
      </c>
      <c r="B231" s="237" t="s">
        <v>4374</v>
      </c>
      <c r="C231" s="237" t="s">
        <v>4375</v>
      </c>
      <c r="D231" s="237" t="s">
        <v>4376</v>
      </c>
      <c r="E231" s="237" t="s">
        <v>21</v>
      </c>
      <c r="F231" s="237" t="s">
        <v>21</v>
      </c>
      <c r="G231" s="237" t="s">
        <v>21</v>
      </c>
      <c r="H231" s="237" t="s">
        <v>4377</v>
      </c>
      <c r="I231" s="237" t="s">
        <v>21</v>
      </c>
      <c r="J231" s="237" t="s">
        <v>4378</v>
      </c>
      <c r="K231" s="240" t="str">
        <f>IF(COUNTIF(L231:AY231,"&lt;&gt;")=0,"",SUMPRODUCT(((Recommendations[ImplStatus]="Implemented")+(Recommendations[ImplStatus]="Compensated"))*ISNUMBER(MATCH(Recommendations[Id],L231:AY231,0)))/COUNTIF(L231:AY231,"&lt;&gt;"))</f>
        <v/>
      </c>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53"/>
    </row>
    <row r="232" spans="1:51" ht="60" customHeight="1" x14ac:dyDescent="0.35">
      <c r="A232" s="249" t="s">
        <v>4379</v>
      </c>
      <c r="B232" s="237" t="s">
        <v>4380</v>
      </c>
      <c r="C232" s="237" t="s">
        <v>4381</v>
      </c>
      <c r="D232" s="237" t="s">
        <v>4382</v>
      </c>
      <c r="E232" s="237" t="s">
        <v>21</v>
      </c>
      <c r="F232" s="237" t="s">
        <v>21</v>
      </c>
      <c r="G232" s="237" t="s">
        <v>21</v>
      </c>
      <c r="H232" s="237" t="s">
        <v>4383</v>
      </c>
      <c r="I232" s="237" t="s">
        <v>21</v>
      </c>
      <c r="J232" s="237" t="s">
        <v>4384</v>
      </c>
      <c r="K232" s="240" t="str">
        <f>IF(COUNTIF(L232:AY232,"&lt;&gt;")=0,"",SUMPRODUCT(((Recommendations[ImplStatus]="Implemented")+(Recommendations[ImplStatus]="Compensated"))*ISNUMBER(MATCH(Recommendations[Id],L232:AY232,0)))/COUNTIF(L232:AY232,"&lt;&gt;"))</f>
        <v/>
      </c>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53"/>
    </row>
    <row r="233" spans="1:51" ht="60" customHeight="1" x14ac:dyDescent="0.35">
      <c r="A233" s="249" t="s">
        <v>4385</v>
      </c>
      <c r="B233" s="237" t="s">
        <v>4386</v>
      </c>
      <c r="C233" s="237" t="s">
        <v>4387</v>
      </c>
      <c r="D233" s="237" t="s">
        <v>4388</v>
      </c>
      <c r="E233" s="237" t="s">
        <v>21</v>
      </c>
      <c r="F233" s="237" t="s">
        <v>21</v>
      </c>
      <c r="G233" s="237" t="s">
        <v>21</v>
      </c>
      <c r="H233" s="237" t="s">
        <v>4389</v>
      </c>
      <c r="I233" s="237" t="s">
        <v>21</v>
      </c>
      <c r="J233" s="237" t="s">
        <v>4390</v>
      </c>
      <c r="K233" s="240" t="str">
        <f>IF(COUNTIF(L233:AY233,"&lt;&gt;")=0,"",SUMPRODUCT(((Recommendations[ImplStatus]="Implemented")+(Recommendations[ImplStatus]="Compensated"))*ISNUMBER(MATCH(Recommendations[Id],L233:AY233,0)))/COUNTIF(L233:AY233,"&lt;&gt;"))</f>
        <v/>
      </c>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53"/>
    </row>
    <row r="234" spans="1:51" ht="60" customHeight="1" x14ac:dyDescent="0.35">
      <c r="A234" s="249" t="s">
        <v>4391</v>
      </c>
      <c r="B234" s="237" t="s">
        <v>4392</v>
      </c>
      <c r="C234" s="237" t="s">
        <v>4393</v>
      </c>
      <c r="D234" s="237" t="s">
        <v>4394</v>
      </c>
      <c r="E234" s="237" t="s">
        <v>21</v>
      </c>
      <c r="F234" s="237" t="s">
        <v>21</v>
      </c>
      <c r="G234" s="237" t="s">
        <v>21</v>
      </c>
      <c r="H234" s="237" t="s">
        <v>4395</v>
      </c>
      <c r="I234" s="237" t="s">
        <v>21</v>
      </c>
      <c r="J234" s="237" t="s">
        <v>4396</v>
      </c>
      <c r="K234" s="240" t="str">
        <f>IF(COUNTIF(L234:AY234,"&lt;&gt;")=0,"",SUMPRODUCT(((Recommendations[ImplStatus]="Implemented")+(Recommendations[ImplStatus]="Compensated"))*ISNUMBER(MATCH(Recommendations[Id],L234:AY234,0)))/COUNTIF(L234:AY234,"&lt;&gt;"))</f>
        <v/>
      </c>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53"/>
    </row>
    <row r="235" spans="1:51" ht="60" customHeight="1" outlineLevel="1" x14ac:dyDescent="0.35">
      <c r="A235" s="248" t="s">
        <v>774</v>
      </c>
      <c r="B235" s="236" t="s">
        <v>4397</v>
      </c>
      <c r="C235" s="236"/>
      <c r="D235" s="236"/>
      <c r="E235" s="236"/>
      <c r="F235" s="236"/>
      <c r="G235" s="236"/>
      <c r="H235" s="236"/>
      <c r="I235" s="236"/>
      <c r="J235" s="236"/>
      <c r="K235" s="239" t="str">
        <f>IF(COUNTIF(L235:AY235,"&lt;&gt;")=0,"",SUMPRODUCT(((Recommendations[ImplStatus]="Implemented")+(Recommendations[ImplStatus]="Compensated"))*ISNUMBER(MATCH(Recommendations[Id],L235:AY235,0)))/COUNTIF(L235:AY235,"&lt;&gt;"))</f>
        <v/>
      </c>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242"/>
      <c r="AN235" s="242"/>
      <c r="AO235" s="242"/>
      <c r="AP235" s="242"/>
      <c r="AQ235" s="242"/>
      <c r="AR235" s="242"/>
      <c r="AS235" s="242"/>
      <c r="AT235" s="242"/>
      <c r="AU235" s="242"/>
      <c r="AV235" s="242"/>
      <c r="AW235" s="242"/>
      <c r="AX235" s="242"/>
      <c r="AY235" s="252"/>
    </row>
    <row r="236" spans="1:51" ht="60" customHeight="1" x14ac:dyDescent="0.35">
      <c r="A236" s="249" t="s">
        <v>4398</v>
      </c>
      <c r="B236" s="237" t="s">
        <v>4399</v>
      </c>
      <c r="C236" s="237" t="s">
        <v>4400</v>
      </c>
      <c r="D236" s="237" t="s">
        <v>4401</v>
      </c>
      <c r="E236" s="237" t="s">
        <v>21</v>
      </c>
      <c r="F236" s="237" t="s">
        <v>21</v>
      </c>
      <c r="G236" s="237" t="s">
        <v>21</v>
      </c>
      <c r="H236" s="237" t="s">
        <v>4402</v>
      </c>
      <c r="I236" s="237" t="s">
        <v>21</v>
      </c>
      <c r="J236" s="237" t="s">
        <v>4403</v>
      </c>
      <c r="K236" s="240" t="str">
        <f>IF(COUNTIF(L236:AY236,"&lt;&gt;")=0,"",SUMPRODUCT(((Recommendations[ImplStatus]="Implemented")+(Recommendations[ImplStatus]="Compensated"))*ISNUMBER(MATCH(Recommendations[Id],L236:AY236,0)))/COUNTIF(L236:AY236,"&lt;&gt;"))</f>
        <v/>
      </c>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53"/>
    </row>
    <row r="237" spans="1:51" ht="60" customHeight="1" x14ac:dyDescent="0.35">
      <c r="A237" s="249" t="s">
        <v>4404</v>
      </c>
      <c r="B237" s="237" t="s">
        <v>4405</v>
      </c>
      <c r="C237" s="237" t="s">
        <v>4406</v>
      </c>
      <c r="D237" s="237" t="s">
        <v>4407</v>
      </c>
      <c r="E237" s="237" t="s">
        <v>21</v>
      </c>
      <c r="F237" s="237" t="s">
        <v>21</v>
      </c>
      <c r="G237" s="237" t="s">
        <v>4408</v>
      </c>
      <c r="H237" s="237" t="s">
        <v>4409</v>
      </c>
      <c r="I237" s="237" t="s">
        <v>3639</v>
      </c>
      <c r="J237" s="237" t="s">
        <v>4410</v>
      </c>
      <c r="K237" s="240" t="str">
        <f>IF(COUNTIF(L237:AY237,"&lt;&gt;")=0,"",SUMPRODUCT(((Recommendations[ImplStatus]="Implemented")+(Recommendations[ImplStatus]="Compensated"))*ISNUMBER(MATCH(Recommendations[Id],L237:AY237,0)))/COUNTIF(L237:AY237,"&lt;&gt;"))</f>
        <v/>
      </c>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53"/>
    </row>
    <row r="238" spans="1:51" ht="60" customHeight="1" x14ac:dyDescent="0.35">
      <c r="A238" s="249" t="s">
        <v>4411</v>
      </c>
      <c r="B238" s="237" t="s">
        <v>4412</v>
      </c>
      <c r="C238" s="237" t="s">
        <v>4413</v>
      </c>
      <c r="D238" s="237" t="s">
        <v>21</v>
      </c>
      <c r="E238" s="237" t="s">
        <v>21</v>
      </c>
      <c r="F238" s="237" t="s">
        <v>21</v>
      </c>
      <c r="G238" s="237" t="s">
        <v>21</v>
      </c>
      <c r="H238" s="237" t="s">
        <v>4414</v>
      </c>
      <c r="I238" s="237" t="s">
        <v>4415</v>
      </c>
      <c r="J238" s="237" t="s">
        <v>4416</v>
      </c>
      <c r="K238" s="240" t="str">
        <f>IF(COUNTIF(L238:AY238,"&lt;&gt;")=0,"",SUMPRODUCT(((Recommendations[ImplStatus]="Implemented")+(Recommendations[ImplStatus]="Compensated"))*ISNUMBER(MATCH(Recommendations[Id],L238:AY238,0)))/COUNTIF(L238:AY238,"&lt;&gt;"))</f>
        <v/>
      </c>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53"/>
    </row>
    <row r="239" spans="1:51" ht="60" customHeight="1" x14ac:dyDescent="0.35">
      <c r="A239" s="249" t="s">
        <v>4417</v>
      </c>
      <c r="B239" s="237" t="s">
        <v>4418</v>
      </c>
      <c r="C239" s="237" t="s">
        <v>4419</v>
      </c>
      <c r="D239" s="237" t="s">
        <v>21</v>
      </c>
      <c r="E239" s="237" t="s">
        <v>21</v>
      </c>
      <c r="F239" s="237" t="s">
        <v>21</v>
      </c>
      <c r="G239" s="237" t="s">
        <v>21</v>
      </c>
      <c r="H239" s="237" t="s">
        <v>4420</v>
      </c>
      <c r="I239" s="237" t="s">
        <v>3639</v>
      </c>
      <c r="J239" s="237" t="s">
        <v>4421</v>
      </c>
      <c r="K239" s="240" t="str">
        <f>IF(COUNTIF(L239:AY239,"&lt;&gt;")=0,"",SUMPRODUCT(((Recommendations[ImplStatus]="Implemented")+(Recommendations[ImplStatus]="Compensated"))*ISNUMBER(MATCH(Recommendations[Id],L239:AY239,0)))/COUNTIF(L239:AY239,"&lt;&gt;"))</f>
        <v/>
      </c>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53"/>
    </row>
    <row r="240" spans="1:51" ht="60" customHeight="1" x14ac:dyDescent="0.35">
      <c r="A240" s="249" t="s">
        <v>4422</v>
      </c>
      <c r="B240" s="237" t="s">
        <v>4423</v>
      </c>
      <c r="C240" s="237" t="s">
        <v>4424</v>
      </c>
      <c r="D240" s="237" t="s">
        <v>4425</v>
      </c>
      <c r="E240" s="237" t="s">
        <v>21</v>
      </c>
      <c r="F240" s="237" t="s">
        <v>21</v>
      </c>
      <c r="G240" s="237" t="s">
        <v>21</v>
      </c>
      <c r="H240" s="237" t="s">
        <v>4426</v>
      </c>
      <c r="I240" s="237" t="s">
        <v>21</v>
      </c>
      <c r="J240" s="237" t="s">
        <v>4427</v>
      </c>
      <c r="K240" s="240" t="str">
        <f>IF(COUNTIF(L240:AY240,"&lt;&gt;")=0,"",SUMPRODUCT(((Recommendations[ImplStatus]="Implemented")+(Recommendations[ImplStatus]="Compensated"))*ISNUMBER(MATCH(Recommendations[Id],L240:AY240,0)))/COUNTIF(L240:AY240,"&lt;&gt;"))</f>
        <v/>
      </c>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53"/>
    </row>
    <row r="241" spans="1:51" ht="60" customHeight="1" outlineLevel="1" x14ac:dyDescent="0.35">
      <c r="A241" s="248" t="s">
        <v>778</v>
      </c>
      <c r="B241" s="236" t="s">
        <v>4428</v>
      </c>
      <c r="C241" s="236"/>
      <c r="D241" s="236"/>
      <c r="E241" s="236"/>
      <c r="F241" s="236"/>
      <c r="G241" s="236"/>
      <c r="H241" s="236"/>
      <c r="I241" s="236"/>
      <c r="J241" s="236"/>
      <c r="K241" s="239" t="str">
        <f>IF(COUNTIF(L241:AY241,"&lt;&gt;")=0,"",SUMPRODUCT(((Recommendations[ImplStatus]="Implemented")+(Recommendations[ImplStatus]="Compensated"))*ISNUMBER(MATCH(Recommendations[Id],L241:AY241,0)))/COUNTIF(L241:AY241,"&lt;&gt;"))</f>
        <v/>
      </c>
      <c r="L241" s="242"/>
      <c r="M241" s="242"/>
      <c r="N241" s="242"/>
      <c r="O241" s="242"/>
      <c r="P241" s="242"/>
      <c r="Q241" s="242"/>
      <c r="R241" s="242"/>
      <c r="S241" s="242"/>
      <c r="T241" s="242"/>
      <c r="U241" s="242"/>
      <c r="V241" s="242"/>
      <c r="W241" s="242"/>
      <c r="X241" s="242"/>
      <c r="Y241" s="242"/>
      <c r="Z241" s="242"/>
      <c r="AA241" s="242"/>
      <c r="AB241" s="242"/>
      <c r="AC241" s="242"/>
      <c r="AD241" s="242"/>
      <c r="AE241" s="242"/>
      <c r="AF241" s="242"/>
      <c r="AG241" s="242"/>
      <c r="AH241" s="242"/>
      <c r="AI241" s="242"/>
      <c r="AJ241" s="242"/>
      <c r="AK241" s="242"/>
      <c r="AL241" s="242"/>
      <c r="AM241" s="242"/>
      <c r="AN241" s="242"/>
      <c r="AO241" s="242"/>
      <c r="AP241" s="242"/>
      <c r="AQ241" s="242"/>
      <c r="AR241" s="242"/>
      <c r="AS241" s="242"/>
      <c r="AT241" s="242"/>
      <c r="AU241" s="242"/>
      <c r="AV241" s="242"/>
      <c r="AW241" s="242"/>
      <c r="AX241" s="242"/>
      <c r="AY241" s="252"/>
    </row>
    <row r="242" spans="1:51" ht="60" customHeight="1" x14ac:dyDescent="0.35">
      <c r="A242" s="249" t="s">
        <v>4429</v>
      </c>
      <c r="B242" s="237" t="s">
        <v>4430</v>
      </c>
      <c r="C242" s="237" t="s">
        <v>4431</v>
      </c>
      <c r="D242" s="237" t="s">
        <v>21</v>
      </c>
      <c r="E242" s="237" t="s">
        <v>21</v>
      </c>
      <c r="F242" s="237" t="s">
        <v>4432</v>
      </c>
      <c r="G242" s="237" t="s">
        <v>21</v>
      </c>
      <c r="H242" s="237" t="s">
        <v>4433</v>
      </c>
      <c r="I242" s="237" t="s">
        <v>21</v>
      </c>
      <c r="J242" s="237" t="s">
        <v>4434</v>
      </c>
      <c r="K242" s="240" t="str">
        <f>IF(COUNTIF(L242:AY242,"&lt;&gt;")=0,"",SUMPRODUCT(((Recommendations[ImplStatus]="Implemented")+(Recommendations[ImplStatus]="Compensated"))*ISNUMBER(MATCH(Recommendations[Id],L242:AY242,0)))/COUNTIF(L242:AY242,"&lt;&gt;"))</f>
        <v/>
      </c>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53"/>
    </row>
    <row r="243" spans="1:51" ht="60" customHeight="1" outlineLevel="1" x14ac:dyDescent="0.35">
      <c r="A243" s="248" t="s">
        <v>782</v>
      </c>
      <c r="B243" s="236" t="s">
        <v>4435</v>
      </c>
      <c r="C243" s="236"/>
      <c r="D243" s="236"/>
      <c r="E243" s="236"/>
      <c r="F243" s="236"/>
      <c r="G243" s="236"/>
      <c r="H243" s="236"/>
      <c r="I243" s="236"/>
      <c r="J243" s="236"/>
      <c r="K243" s="239" t="str">
        <f>IF(COUNTIF(L243:AY243,"&lt;&gt;")=0,"",SUMPRODUCT(((Recommendations[ImplStatus]="Implemented")+(Recommendations[ImplStatus]="Compensated"))*ISNUMBER(MATCH(Recommendations[Id],L243:AY243,0)))/COUNTIF(L243:AY243,"&lt;&gt;"))</f>
        <v/>
      </c>
      <c r="L243" s="242"/>
      <c r="M243" s="242"/>
      <c r="N243" s="242"/>
      <c r="O243" s="242"/>
      <c r="P243" s="242"/>
      <c r="Q243" s="242"/>
      <c r="R243" s="242"/>
      <c r="S243" s="242"/>
      <c r="T243" s="242"/>
      <c r="U243" s="242"/>
      <c r="V243" s="242"/>
      <c r="W243" s="242"/>
      <c r="X243" s="242"/>
      <c r="Y243" s="242"/>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52"/>
    </row>
    <row r="244" spans="1:51" ht="60" customHeight="1" x14ac:dyDescent="0.35">
      <c r="A244" s="249" t="s">
        <v>4436</v>
      </c>
      <c r="B244" s="237" t="s">
        <v>4437</v>
      </c>
      <c r="C244" s="237" t="s">
        <v>4438</v>
      </c>
      <c r="D244" s="237" t="s">
        <v>21</v>
      </c>
      <c r="E244" s="237" t="s">
        <v>21</v>
      </c>
      <c r="F244" s="237" t="s">
        <v>4439</v>
      </c>
      <c r="G244" s="237" t="s">
        <v>21</v>
      </c>
      <c r="H244" s="237" t="s">
        <v>4440</v>
      </c>
      <c r="I244" s="237" t="s">
        <v>4441</v>
      </c>
      <c r="J244" s="237" t="s">
        <v>4442</v>
      </c>
      <c r="K244" s="240" t="str">
        <f>IF(COUNTIF(L244:AY244,"&lt;&gt;")=0,"",SUMPRODUCT(((Recommendations[ImplStatus]="Implemented")+(Recommendations[ImplStatus]="Compensated"))*ISNUMBER(MATCH(Recommendations[Id],L244:AY244,0)))/COUNTIF(L244:AY244,"&lt;&gt;"))</f>
        <v/>
      </c>
      <c r="L244" s="243"/>
      <c r="M244" s="243"/>
      <c r="N244" s="243"/>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53"/>
    </row>
    <row r="245" spans="1:51" ht="60" customHeight="1" x14ac:dyDescent="0.35">
      <c r="A245" s="249" t="s">
        <v>4443</v>
      </c>
      <c r="B245" s="237" t="s">
        <v>4444</v>
      </c>
      <c r="C245" s="237" t="s">
        <v>4445</v>
      </c>
      <c r="D245" s="237" t="s">
        <v>4446</v>
      </c>
      <c r="E245" s="237" t="s">
        <v>21</v>
      </c>
      <c r="F245" s="237" t="s">
        <v>21</v>
      </c>
      <c r="G245" s="237" t="s">
        <v>21</v>
      </c>
      <c r="H245" s="237" t="s">
        <v>4447</v>
      </c>
      <c r="I245" s="237" t="s">
        <v>21</v>
      </c>
      <c r="J245" s="237" t="s">
        <v>4448</v>
      </c>
      <c r="K245" s="240" t="str">
        <f>IF(COUNTIF(L245:AY245,"&lt;&gt;")=0,"",SUMPRODUCT(((Recommendations[ImplStatus]="Implemented")+(Recommendations[ImplStatus]="Compensated"))*ISNUMBER(MATCH(Recommendations[Id],L245:AY245,0)))/COUNTIF(L245:AY245,"&lt;&gt;"))</f>
        <v/>
      </c>
      <c r="L245" s="243"/>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43"/>
      <c r="AV245" s="243"/>
      <c r="AW245" s="243"/>
      <c r="AX245" s="243"/>
      <c r="AY245" s="253"/>
    </row>
    <row r="246" spans="1:51" ht="60" customHeight="1" x14ac:dyDescent="0.35">
      <c r="A246" s="249" t="s">
        <v>4449</v>
      </c>
      <c r="B246" s="237" t="s">
        <v>4450</v>
      </c>
      <c r="C246" s="237" t="s">
        <v>4451</v>
      </c>
      <c r="D246" s="237" t="s">
        <v>21</v>
      </c>
      <c r="E246" s="237" t="s">
        <v>21</v>
      </c>
      <c r="F246" s="237" t="s">
        <v>21</v>
      </c>
      <c r="G246" s="237" t="s">
        <v>21</v>
      </c>
      <c r="H246" s="237" t="s">
        <v>4452</v>
      </c>
      <c r="I246" s="237" t="s">
        <v>21</v>
      </c>
      <c r="J246" s="237" t="s">
        <v>4453</v>
      </c>
      <c r="K246" s="240" t="str">
        <f>IF(COUNTIF(L246:AY246,"&lt;&gt;")=0,"",SUMPRODUCT(((Recommendations[ImplStatus]="Implemented")+(Recommendations[ImplStatus]="Compensated"))*ISNUMBER(MATCH(Recommendations[Id],L246:AY246,0)))/COUNTIF(L246:AY246,"&lt;&gt;"))</f>
        <v/>
      </c>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43"/>
      <c r="AV246" s="243"/>
      <c r="AW246" s="243"/>
      <c r="AX246" s="243"/>
      <c r="AY246" s="253"/>
    </row>
    <row r="247" spans="1:51" ht="60" customHeight="1" outlineLevel="1" x14ac:dyDescent="0.35">
      <c r="A247" s="248" t="s">
        <v>786</v>
      </c>
      <c r="B247" s="236" t="s">
        <v>4454</v>
      </c>
      <c r="C247" s="236"/>
      <c r="D247" s="236"/>
      <c r="E247" s="236"/>
      <c r="F247" s="236"/>
      <c r="G247" s="236"/>
      <c r="H247" s="236"/>
      <c r="I247" s="236"/>
      <c r="J247" s="236"/>
      <c r="K247" s="239" t="str">
        <f>IF(COUNTIF(L247:AY247,"&lt;&gt;")=0,"",SUMPRODUCT(((Recommendations[ImplStatus]="Implemented")+(Recommendations[ImplStatus]="Compensated"))*ISNUMBER(MATCH(Recommendations[Id],L247:AY247,0)))/COUNTIF(L247:AY247,"&lt;&gt;"))</f>
        <v/>
      </c>
      <c r="L247" s="242"/>
      <c r="M247" s="242"/>
      <c r="N247" s="242"/>
      <c r="O247" s="242"/>
      <c r="P247" s="242"/>
      <c r="Q247" s="242"/>
      <c r="R247" s="242"/>
      <c r="S247" s="242"/>
      <c r="T247" s="242"/>
      <c r="U247" s="242"/>
      <c r="V247" s="242"/>
      <c r="W247" s="242"/>
      <c r="X247" s="242"/>
      <c r="Y247" s="242"/>
      <c r="Z247" s="242"/>
      <c r="AA247" s="242"/>
      <c r="AB247" s="242"/>
      <c r="AC247" s="242"/>
      <c r="AD247" s="242"/>
      <c r="AE247" s="242"/>
      <c r="AF247" s="242"/>
      <c r="AG247" s="242"/>
      <c r="AH247" s="242"/>
      <c r="AI247" s="242"/>
      <c r="AJ247" s="242"/>
      <c r="AK247" s="242"/>
      <c r="AL247" s="242"/>
      <c r="AM247" s="242"/>
      <c r="AN247" s="242"/>
      <c r="AO247" s="242"/>
      <c r="AP247" s="242"/>
      <c r="AQ247" s="242"/>
      <c r="AR247" s="242"/>
      <c r="AS247" s="242"/>
      <c r="AT247" s="242"/>
      <c r="AU247" s="242"/>
      <c r="AV247" s="242"/>
      <c r="AW247" s="242"/>
      <c r="AX247" s="242"/>
      <c r="AY247" s="252"/>
    </row>
    <row r="248" spans="1:51" ht="60" customHeight="1" x14ac:dyDescent="0.35">
      <c r="A248" s="249" t="s">
        <v>4455</v>
      </c>
      <c r="B248" s="237" t="s">
        <v>4456</v>
      </c>
      <c r="C248" s="237" t="s">
        <v>4457</v>
      </c>
      <c r="D248" s="237" t="s">
        <v>4458</v>
      </c>
      <c r="E248" s="237" t="s">
        <v>21</v>
      </c>
      <c r="F248" s="237" t="s">
        <v>21</v>
      </c>
      <c r="G248" s="237" t="s">
        <v>21</v>
      </c>
      <c r="H248" s="237" t="s">
        <v>4459</v>
      </c>
      <c r="I248" s="237" t="s">
        <v>4460</v>
      </c>
      <c r="J248" s="237" t="s">
        <v>4461</v>
      </c>
      <c r="K248" s="240" t="str">
        <f>IF(COUNTIF(L248:AY248,"&lt;&gt;")=0,"",SUMPRODUCT(((Recommendations[ImplStatus]="Implemented")+(Recommendations[ImplStatus]="Compensated"))*ISNUMBER(MATCH(Recommendations[Id],L248:AY248,0)))/COUNTIF(L248:AY248,"&lt;&gt;"))</f>
        <v/>
      </c>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53"/>
    </row>
    <row r="249" spans="1:51" ht="60" customHeight="1" x14ac:dyDescent="0.35">
      <c r="A249" s="249" t="s">
        <v>4462</v>
      </c>
      <c r="B249" s="237" t="s">
        <v>4463</v>
      </c>
      <c r="C249" s="237" t="s">
        <v>4457</v>
      </c>
      <c r="D249" s="237" t="s">
        <v>4464</v>
      </c>
      <c r="E249" s="237" t="s">
        <v>21</v>
      </c>
      <c r="F249" s="237" t="s">
        <v>21</v>
      </c>
      <c r="G249" s="237" t="s">
        <v>21</v>
      </c>
      <c r="H249" s="237" t="s">
        <v>4459</v>
      </c>
      <c r="I249" s="237" t="s">
        <v>4465</v>
      </c>
      <c r="J249" s="237" t="s">
        <v>4466</v>
      </c>
      <c r="K249" s="240" t="str">
        <f>IF(COUNTIF(L249:AY249,"&lt;&gt;")=0,"",SUMPRODUCT(((Recommendations[ImplStatus]="Implemented")+(Recommendations[ImplStatus]="Compensated"))*ISNUMBER(MATCH(Recommendations[Id],L249:AY249,0)))/COUNTIF(L249:AY249,"&lt;&gt;"))</f>
        <v/>
      </c>
      <c r="L249" s="243"/>
      <c r="M249" s="243"/>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43"/>
      <c r="AV249" s="243"/>
      <c r="AW249" s="243"/>
      <c r="AX249" s="243"/>
      <c r="AY249" s="253"/>
    </row>
    <row r="250" spans="1:51" ht="60" customHeight="1" x14ac:dyDescent="0.35">
      <c r="A250" s="249" t="s">
        <v>4467</v>
      </c>
      <c r="B250" s="237" t="s">
        <v>4468</v>
      </c>
      <c r="C250" s="237" t="s">
        <v>4469</v>
      </c>
      <c r="D250" s="237" t="s">
        <v>4470</v>
      </c>
      <c r="E250" s="237" t="s">
        <v>21</v>
      </c>
      <c r="F250" s="237" t="s">
        <v>21</v>
      </c>
      <c r="G250" s="237" t="s">
        <v>21</v>
      </c>
      <c r="H250" s="237" t="s">
        <v>4471</v>
      </c>
      <c r="I250" s="237" t="s">
        <v>21</v>
      </c>
      <c r="J250" s="237" t="s">
        <v>4472</v>
      </c>
      <c r="K250" s="240" t="str">
        <f>IF(COUNTIF(L250:AY250,"&lt;&gt;")=0,"",SUMPRODUCT(((Recommendations[ImplStatus]="Implemented")+(Recommendations[ImplStatus]="Compensated"))*ISNUMBER(MATCH(Recommendations[Id],L250:AY250,0)))/COUNTIF(L250:AY250,"&lt;&gt;"))</f>
        <v/>
      </c>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43"/>
      <c r="AV250" s="243"/>
      <c r="AW250" s="243"/>
      <c r="AX250" s="243"/>
      <c r="AY250" s="253"/>
    </row>
    <row r="251" spans="1:51" ht="60" customHeight="1" outlineLevel="1" x14ac:dyDescent="0.35">
      <c r="A251" s="247" t="s">
        <v>4473</v>
      </c>
      <c r="B251" s="235" t="s">
        <v>4474</v>
      </c>
      <c r="C251" s="235"/>
      <c r="D251" s="235"/>
      <c r="E251" s="235"/>
      <c r="F251" s="235"/>
      <c r="G251" s="235"/>
      <c r="H251" s="235"/>
      <c r="I251" s="235"/>
      <c r="J251" s="235"/>
      <c r="K251" s="238" t="str">
        <f>IF(COUNTIF(L251:AY251,"&lt;&gt;")=0,"",SUMPRODUCT(((Recommendations[ImplStatus]="Implemented")+(Recommendations[ImplStatus]="Compensated"))*ISNUMBER(MATCH(Recommendations[Id],L251:AY251,0)))/COUNTIF(L251:AY251,"&lt;&gt;"))</f>
        <v/>
      </c>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51"/>
    </row>
    <row r="252" spans="1:51" ht="60" customHeight="1" outlineLevel="1" x14ac:dyDescent="0.35">
      <c r="A252" s="248" t="s">
        <v>792</v>
      </c>
      <c r="B252" s="236" t="s">
        <v>4475</v>
      </c>
      <c r="C252" s="236"/>
      <c r="D252" s="236"/>
      <c r="E252" s="236"/>
      <c r="F252" s="236"/>
      <c r="G252" s="236"/>
      <c r="H252" s="236"/>
      <c r="I252" s="236"/>
      <c r="J252" s="236"/>
      <c r="K252" s="239" t="str">
        <f>IF(COUNTIF(L252:AY252,"&lt;&gt;")=0,"",SUMPRODUCT(((Recommendations[ImplStatus]="Implemented")+(Recommendations[ImplStatus]="Compensated"))*ISNUMBER(MATCH(Recommendations[Id],L252:AY252,0)))/COUNTIF(L252:AY252,"&lt;&gt;"))</f>
        <v/>
      </c>
      <c r="L252" s="242"/>
      <c r="M252" s="242"/>
      <c r="N252" s="242"/>
      <c r="O252" s="242"/>
      <c r="P252" s="242"/>
      <c r="Q252" s="242"/>
      <c r="R252" s="242"/>
      <c r="S252" s="242"/>
      <c r="T252" s="242"/>
      <c r="U252" s="242"/>
      <c r="V252" s="242"/>
      <c r="W252" s="242"/>
      <c r="X252" s="242"/>
      <c r="Y252" s="242"/>
      <c r="Z252" s="242"/>
      <c r="AA252" s="242"/>
      <c r="AB252" s="242"/>
      <c r="AC252" s="242"/>
      <c r="AD252" s="242"/>
      <c r="AE252" s="242"/>
      <c r="AF252" s="242"/>
      <c r="AG252" s="242"/>
      <c r="AH252" s="242"/>
      <c r="AI252" s="242"/>
      <c r="AJ252" s="242"/>
      <c r="AK252" s="242"/>
      <c r="AL252" s="242"/>
      <c r="AM252" s="242"/>
      <c r="AN252" s="242"/>
      <c r="AO252" s="242"/>
      <c r="AP252" s="242"/>
      <c r="AQ252" s="242"/>
      <c r="AR252" s="242"/>
      <c r="AS252" s="242"/>
      <c r="AT252" s="242"/>
      <c r="AU252" s="242"/>
      <c r="AV252" s="242"/>
      <c r="AW252" s="242"/>
      <c r="AX252" s="242"/>
      <c r="AY252" s="252"/>
    </row>
    <row r="253" spans="1:51" ht="60" customHeight="1" x14ac:dyDescent="0.35">
      <c r="A253" s="249" t="s">
        <v>4476</v>
      </c>
      <c r="B253" s="237" t="s">
        <v>4477</v>
      </c>
      <c r="C253" s="237" t="s">
        <v>4478</v>
      </c>
      <c r="D253" s="237" t="s">
        <v>3411</v>
      </c>
      <c r="E253" s="237" t="s">
        <v>3197</v>
      </c>
      <c r="F253" s="237" t="s">
        <v>21</v>
      </c>
      <c r="G253" s="237" t="s">
        <v>21</v>
      </c>
      <c r="H253" s="237" t="s">
        <v>4479</v>
      </c>
      <c r="I253" s="237" t="s">
        <v>21</v>
      </c>
      <c r="J253" s="237" t="s">
        <v>4480</v>
      </c>
      <c r="K253" s="240" t="str">
        <f>IF(COUNTIF(L253:AY253,"&lt;&gt;")=0,"",SUMPRODUCT(((Recommendations[ImplStatus]="Implemented")+(Recommendations[ImplStatus]="Compensated"))*ISNUMBER(MATCH(Recommendations[Id],L253:AY253,0)))/COUNTIF(L253:AY253,"&lt;&gt;"))</f>
        <v/>
      </c>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53"/>
    </row>
    <row r="254" spans="1:51" ht="60" customHeight="1" x14ac:dyDescent="0.35">
      <c r="A254" s="249" t="s">
        <v>4481</v>
      </c>
      <c r="B254" s="237" t="s">
        <v>4482</v>
      </c>
      <c r="C254" s="237" t="s">
        <v>3202</v>
      </c>
      <c r="D254" s="237" t="s">
        <v>3203</v>
      </c>
      <c r="E254" s="237" t="s">
        <v>21</v>
      </c>
      <c r="F254" s="237" t="s">
        <v>3205</v>
      </c>
      <c r="G254" s="237" t="s">
        <v>21</v>
      </c>
      <c r="H254" s="237" t="s">
        <v>4483</v>
      </c>
      <c r="I254" s="237" t="s">
        <v>21</v>
      </c>
      <c r="J254" s="237" t="s">
        <v>4484</v>
      </c>
      <c r="K254" s="240" t="str">
        <f>IF(COUNTIF(L254:AY254,"&lt;&gt;")=0,"",SUMPRODUCT(((Recommendations[ImplStatus]="Implemented")+(Recommendations[ImplStatus]="Compensated"))*ISNUMBER(MATCH(Recommendations[Id],L254:AY254,0)))/COUNTIF(L254:AY254,"&lt;&gt;"))</f>
        <v/>
      </c>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53"/>
    </row>
    <row r="255" spans="1:51" ht="60" customHeight="1" outlineLevel="1" x14ac:dyDescent="0.35">
      <c r="A255" s="248" t="s">
        <v>796</v>
      </c>
      <c r="B255" s="236" t="s">
        <v>4485</v>
      </c>
      <c r="C255" s="236"/>
      <c r="D255" s="236"/>
      <c r="E255" s="236"/>
      <c r="F255" s="236"/>
      <c r="G255" s="236"/>
      <c r="H255" s="236"/>
      <c r="I255" s="236"/>
      <c r="J255" s="236"/>
      <c r="K255" s="239" t="str">
        <f>IF(COUNTIF(L255:AY255,"&lt;&gt;")=0,"",SUMPRODUCT(((Recommendations[ImplStatus]="Implemented")+(Recommendations[ImplStatus]="Compensated"))*ISNUMBER(MATCH(Recommendations[Id],L255:AY255,0)))/COUNTIF(L255:AY255,"&lt;&gt;"))</f>
        <v/>
      </c>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52"/>
    </row>
    <row r="256" spans="1:51" ht="60" customHeight="1" x14ac:dyDescent="0.35">
      <c r="A256" s="249" t="s">
        <v>4486</v>
      </c>
      <c r="B256" s="237" t="s">
        <v>4487</v>
      </c>
      <c r="C256" s="237" t="s">
        <v>4488</v>
      </c>
      <c r="D256" s="237" t="s">
        <v>4489</v>
      </c>
      <c r="E256" s="237" t="s">
        <v>4490</v>
      </c>
      <c r="F256" s="237" t="s">
        <v>4491</v>
      </c>
      <c r="G256" s="237" t="s">
        <v>21</v>
      </c>
      <c r="H256" s="237" t="s">
        <v>4492</v>
      </c>
      <c r="I256" s="237" t="s">
        <v>21</v>
      </c>
      <c r="J256" s="237" t="s">
        <v>4493</v>
      </c>
      <c r="K256" s="240" t="str">
        <f>IF(COUNTIF(L256:AY256,"&lt;&gt;")=0,"",SUMPRODUCT(((Recommendations[ImplStatus]="Implemented")+(Recommendations[ImplStatus]="Compensated"))*ISNUMBER(MATCH(Recommendations[Id],L256:AY256,0)))/COUNTIF(L256:AY256,"&lt;&gt;"))</f>
        <v/>
      </c>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53"/>
    </row>
    <row r="257" spans="1:51" ht="60" customHeight="1" x14ac:dyDescent="0.35">
      <c r="A257" s="249" t="s">
        <v>4494</v>
      </c>
      <c r="B257" s="237" t="s">
        <v>4495</v>
      </c>
      <c r="C257" s="237" t="s">
        <v>4496</v>
      </c>
      <c r="D257" s="237" t="s">
        <v>4497</v>
      </c>
      <c r="E257" s="237" t="s">
        <v>21</v>
      </c>
      <c r="F257" s="237" t="s">
        <v>21</v>
      </c>
      <c r="G257" s="237" t="s">
        <v>21</v>
      </c>
      <c r="H257" s="237" t="s">
        <v>4498</v>
      </c>
      <c r="I257" s="237" t="s">
        <v>21</v>
      </c>
      <c r="J257" s="237" t="s">
        <v>4499</v>
      </c>
      <c r="K257" s="240" t="str">
        <f>IF(COUNTIF(L257:AY257,"&lt;&gt;")=0,"",SUMPRODUCT(((Recommendations[ImplStatus]="Implemented")+(Recommendations[ImplStatus]="Compensated"))*ISNUMBER(MATCH(Recommendations[Id],L257:AY257,0)))/COUNTIF(L257:AY257,"&lt;&gt;"))</f>
        <v/>
      </c>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53"/>
    </row>
    <row r="258" spans="1:51" ht="60" customHeight="1" outlineLevel="1" x14ac:dyDescent="0.35">
      <c r="A258" s="248" t="s">
        <v>801</v>
      </c>
      <c r="B258" s="236" t="s">
        <v>4500</v>
      </c>
      <c r="C258" s="236"/>
      <c r="D258" s="236"/>
      <c r="E258" s="236"/>
      <c r="F258" s="236"/>
      <c r="G258" s="236"/>
      <c r="H258" s="236"/>
      <c r="I258" s="236"/>
      <c r="J258" s="236"/>
      <c r="K258" s="239" t="str">
        <f>IF(COUNTIF(L258:AY258,"&lt;&gt;")=0,"",SUMPRODUCT(((Recommendations[ImplStatus]="Implemented")+(Recommendations[ImplStatus]="Compensated"))*ISNUMBER(MATCH(Recommendations[Id],L258:AY258,0)))/COUNTIF(L258:AY258,"&lt;&gt;"))</f>
        <v/>
      </c>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52"/>
    </row>
    <row r="259" spans="1:51" ht="60" customHeight="1" x14ac:dyDescent="0.35">
      <c r="A259" s="249" t="s">
        <v>4501</v>
      </c>
      <c r="B259" s="237" t="s">
        <v>4502</v>
      </c>
      <c r="C259" s="237" t="s">
        <v>4503</v>
      </c>
      <c r="D259" s="237" t="s">
        <v>4504</v>
      </c>
      <c r="E259" s="237" t="s">
        <v>4505</v>
      </c>
      <c r="F259" s="237" t="s">
        <v>21</v>
      </c>
      <c r="G259" s="237" t="s">
        <v>21</v>
      </c>
      <c r="H259" s="237" t="s">
        <v>4506</v>
      </c>
      <c r="I259" s="237" t="s">
        <v>21</v>
      </c>
      <c r="J259" s="237" t="s">
        <v>4507</v>
      </c>
      <c r="K259" s="240" t="str">
        <f>IF(COUNTIF(L259:AY259,"&lt;&gt;")=0,"",SUMPRODUCT(((Recommendations[ImplStatus]="Implemented")+(Recommendations[ImplStatus]="Compensated"))*ISNUMBER(MATCH(Recommendations[Id],L259:AY259,0)))/COUNTIF(L259:AY259,"&lt;&gt;"))</f>
        <v/>
      </c>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53"/>
    </row>
    <row r="260" spans="1:51" ht="60" customHeight="1" x14ac:dyDescent="0.35">
      <c r="A260" s="249" t="s">
        <v>4508</v>
      </c>
      <c r="B260" s="237" t="s">
        <v>4509</v>
      </c>
      <c r="C260" s="237" t="s">
        <v>4510</v>
      </c>
      <c r="D260" s="237" t="s">
        <v>21</v>
      </c>
      <c r="E260" s="237" t="s">
        <v>21</v>
      </c>
      <c r="F260" s="237" t="s">
        <v>21</v>
      </c>
      <c r="G260" s="237" t="s">
        <v>21</v>
      </c>
      <c r="H260" s="237" t="s">
        <v>4511</v>
      </c>
      <c r="I260" s="237" t="s">
        <v>4512</v>
      </c>
      <c r="J260" s="237" t="s">
        <v>4513</v>
      </c>
      <c r="K260" s="240" t="str">
        <f>IF(COUNTIF(L260:AY260,"&lt;&gt;")=0,"",SUMPRODUCT(((Recommendations[ImplStatus]="Implemented")+(Recommendations[ImplStatus]="Compensated"))*ISNUMBER(MATCH(Recommendations[Id],L260:AY260,0)))/COUNTIF(L260:AY260,"&lt;&gt;"))</f>
        <v/>
      </c>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43"/>
      <c r="AV260" s="243"/>
      <c r="AW260" s="243"/>
      <c r="AX260" s="243"/>
      <c r="AY260" s="253"/>
    </row>
    <row r="261" spans="1:51" ht="60" customHeight="1" x14ac:dyDescent="0.35">
      <c r="A261" s="249" t="s">
        <v>4514</v>
      </c>
      <c r="B261" s="237" t="s">
        <v>4515</v>
      </c>
      <c r="C261" s="237" t="s">
        <v>4516</v>
      </c>
      <c r="D261" s="237" t="s">
        <v>4517</v>
      </c>
      <c r="E261" s="237" t="s">
        <v>21</v>
      </c>
      <c r="F261" s="237" t="s">
        <v>21</v>
      </c>
      <c r="G261" s="237" t="s">
        <v>21</v>
      </c>
      <c r="H261" s="237" t="s">
        <v>4518</v>
      </c>
      <c r="I261" s="237" t="s">
        <v>4519</v>
      </c>
      <c r="J261" s="237" t="s">
        <v>4520</v>
      </c>
      <c r="K261" s="240" t="str">
        <f>IF(COUNTIF(L261:AY261,"&lt;&gt;")=0,"",SUMPRODUCT(((Recommendations[ImplStatus]="Implemented")+(Recommendations[ImplStatus]="Compensated"))*ISNUMBER(MATCH(Recommendations[Id],L261:AY261,0)))/COUNTIF(L261:AY261,"&lt;&gt;"))</f>
        <v/>
      </c>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53"/>
    </row>
    <row r="262" spans="1:51" ht="60" customHeight="1" x14ac:dyDescent="0.35">
      <c r="A262" s="249" t="s">
        <v>4521</v>
      </c>
      <c r="B262" s="237" t="s">
        <v>4522</v>
      </c>
      <c r="C262" s="237" t="s">
        <v>4523</v>
      </c>
      <c r="D262" s="237" t="s">
        <v>4524</v>
      </c>
      <c r="E262" s="237" t="s">
        <v>21</v>
      </c>
      <c r="F262" s="237" t="s">
        <v>21</v>
      </c>
      <c r="G262" s="237" t="s">
        <v>21</v>
      </c>
      <c r="H262" s="237" t="s">
        <v>4525</v>
      </c>
      <c r="I262" s="237" t="s">
        <v>4526</v>
      </c>
      <c r="J262" s="237" t="s">
        <v>4527</v>
      </c>
      <c r="K262" s="240" t="str">
        <f>IF(COUNTIF(L262:AY262,"&lt;&gt;")=0,"",SUMPRODUCT(((Recommendations[ImplStatus]="Implemented")+(Recommendations[ImplStatus]="Compensated"))*ISNUMBER(MATCH(Recommendations[Id],L262:AY262,0)))/COUNTIF(L262:AY262,"&lt;&gt;"))</f>
        <v/>
      </c>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53"/>
    </row>
    <row r="263" spans="1:51" ht="60" customHeight="1" x14ac:dyDescent="0.35">
      <c r="A263" s="249" t="s">
        <v>4528</v>
      </c>
      <c r="B263" s="237" t="s">
        <v>4529</v>
      </c>
      <c r="C263" s="237" t="s">
        <v>4530</v>
      </c>
      <c r="D263" s="237" t="s">
        <v>4531</v>
      </c>
      <c r="E263" s="237" t="s">
        <v>21</v>
      </c>
      <c r="F263" s="237" t="s">
        <v>21</v>
      </c>
      <c r="G263" s="237" t="s">
        <v>4532</v>
      </c>
      <c r="H263" s="237" t="s">
        <v>3435</v>
      </c>
      <c r="I263" s="237" t="s">
        <v>4533</v>
      </c>
      <c r="J263" s="237" t="s">
        <v>4534</v>
      </c>
      <c r="K263" s="240" t="str">
        <f>IF(COUNTIF(L263:AY263,"&lt;&gt;")=0,"",SUMPRODUCT(((Recommendations[ImplStatus]="Implemented")+(Recommendations[ImplStatus]="Compensated"))*ISNUMBER(MATCH(Recommendations[Id],L263:AY263,0)))/COUNTIF(L263:AY263,"&lt;&gt;"))</f>
        <v/>
      </c>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43"/>
      <c r="AV263" s="243"/>
      <c r="AW263" s="243"/>
      <c r="AX263" s="243"/>
      <c r="AY263" s="253"/>
    </row>
    <row r="264" spans="1:51" ht="60" customHeight="1" x14ac:dyDescent="0.35">
      <c r="A264" s="249" t="s">
        <v>4535</v>
      </c>
      <c r="B264" s="237" t="s">
        <v>4536</v>
      </c>
      <c r="C264" s="237" t="s">
        <v>4523</v>
      </c>
      <c r="D264" s="237" t="s">
        <v>4537</v>
      </c>
      <c r="E264" s="237" t="s">
        <v>21</v>
      </c>
      <c r="F264" s="237" t="s">
        <v>21</v>
      </c>
      <c r="G264" s="237" t="s">
        <v>21</v>
      </c>
      <c r="H264" s="237" t="s">
        <v>4538</v>
      </c>
      <c r="I264" s="237" t="s">
        <v>21</v>
      </c>
      <c r="J264" s="237" t="s">
        <v>4539</v>
      </c>
      <c r="K264" s="240" t="str">
        <f>IF(COUNTIF(L264:AY264,"&lt;&gt;")=0,"",SUMPRODUCT(((Recommendations[ImplStatus]="Implemented")+(Recommendations[ImplStatus]="Compensated"))*ISNUMBER(MATCH(Recommendations[Id],L264:AY264,0)))/COUNTIF(L264:AY264,"&lt;&gt;"))</f>
        <v/>
      </c>
      <c r="L264" s="243"/>
      <c r="M264" s="243"/>
      <c r="N264" s="243"/>
      <c r="O264" s="243"/>
      <c r="P264" s="243"/>
      <c r="Q264" s="243"/>
      <c r="R264" s="243"/>
      <c r="S264" s="243"/>
      <c r="T264" s="243"/>
      <c r="U264" s="243"/>
      <c r="V264" s="243"/>
      <c r="W264" s="243"/>
      <c r="X264" s="243"/>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53"/>
    </row>
    <row r="265" spans="1:51" ht="60" customHeight="1" outlineLevel="1" x14ac:dyDescent="0.35">
      <c r="A265" s="248" t="s">
        <v>805</v>
      </c>
      <c r="B265" s="236" t="s">
        <v>4540</v>
      </c>
      <c r="C265" s="236"/>
      <c r="D265" s="236"/>
      <c r="E265" s="236"/>
      <c r="F265" s="236"/>
      <c r="G265" s="236"/>
      <c r="H265" s="236"/>
      <c r="I265" s="236"/>
      <c r="J265" s="236"/>
      <c r="K265" s="239" t="str">
        <f>IF(COUNTIF(L265:AY265,"&lt;&gt;")=0,"",SUMPRODUCT(((Recommendations[ImplStatus]="Implemented")+(Recommendations[ImplStatus]="Compensated"))*ISNUMBER(MATCH(Recommendations[Id],L265:AY265,0)))/COUNTIF(L265:AY265,"&lt;&gt;"))</f>
        <v/>
      </c>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52"/>
    </row>
    <row r="266" spans="1:51" ht="60" customHeight="1" x14ac:dyDescent="0.35">
      <c r="A266" s="249" t="s">
        <v>4541</v>
      </c>
      <c r="B266" s="237" t="s">
        <v>4542</v>
      </c>
      <c r="C266" s="237" t="s">
        <v>4543</v>
      </c>
      <c r="D266" s="237" t="s">
        <v>4544</v>
      </c>
      <c r="E266" s="237" t="s">
        <v>4545</v>
      </c>
      <c r="F266" s="237" t="s">
        <v>21</v>
      </c>
      <c r="G266" s="237" t="s">
        <v>4546</v>
      </c>
      <c r="H266" s="237" t="s">
        <v>4547</v>
      </c>
      <c r="I266" s="237" t="s">
        <v>4548</v>
      </c>
      <c r="J266" s="237" t="s">
        <v>4549</v>
      </c>
      <c r="K266" s="240" t="str">
        <f>IF(COUNTIF(L266:AY266,"&lt;&gt;")=0,"",SUMPRODUCT(((Recommendations[ImplStatus]="Implemented")+(Recommendations[ImplStatus]="Compensated"))*ISNUMBER(MATCH(Recommendations[Id],L266:AY266,0)))/COUNTIF(L266:AY266,"&lt;&gt;"))</f>
        <v/>
      </c>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43"/>
      <c r="AV266" s="243"/>
      <c r="AW266" s="243"/>
      <c r="AX266" s="243"/>
      <c r="AY266" s="253"/>
    </row>
    <row r="267" spans="1:51" ht="60" customHeight="1" x14ac:dyDescent="0.35">
      <c r="A267" s="249" t="s">
        <v>4550</v>
      </c>
      <c r="B267" s="237" t="s">
        <v>4551</v>
      </c>
      <c r="C267" s="237" t="s">
        <v>4552</v>
      </c>
      <c r="D267" s="237" t="s">
        <v>4553</v>
      </c>
      <c r="E267" s="237" t="s">
        <v>21</v>
      </c>
      <c r="F267" s="237" t="s">
        <v>21</v>
      </c>
      <c r="G267" s="237" t="s">
        <v>21</v>
      </c>
      <c r="H267" s="237" t="s">
        <v>4554</v>
      </c>
      <c r="I267" s="237" t="s">
        <v>21</v>
      </c>
      <c r="J267" s="237" t="s">
        <v>4555</v>
      </c>
      <c r="K267" s="240" t="str">
        <f>IF(COUNTIF(L267:AY267,"&lt;&gt;")=0,"",SUMPRODUCT(((Recommendations[ImplStatus]="Implemented")+(Recommendations[ImplStatus]="Compensated"))*ISNUMBER(MATCH(Recommendations[Id],L267:AY267,0)))/COUNTIF(L267:AY267,"&lt;&gt;"))</f>
        <v/>
      </c>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43"/>
      <c r="AV267" s="243"/>
      <c r="AW267" s="243"/>
      <c r="AX267" s="243"/>
      <c r="AY267" s="253"/>
    </row>
    <row r="268" spans="1:51" ht="60" customHeight="1" x14ac:dyDescent="0.35">
      <c r="A268" s="249" t="s">
        <v>4556</v>
      </c>
      <c r="B268" s="237" t="s">
        <v>4557</v>
      </c>
      <c r="C268" s="237" t="s">
        <v>4558</v>
      </c>
      <c r="D268" s="237" t="s">
        <v>4553</v>
      </c>
      <c r="E268" s="237" t="s">
        <v>21</v>
      </c>
      <c r="F268" s="237" t="s">
        <v>21</v>
      </c>
      <c r="G268" s="237" t="s">
        <v>4559</v>
      </c>
      <c r="H268" s="237" t="s">
        <v>4560</v>
      </c>
      <c r="I268" s="237" t="s">
        <v>21</v>
      </c>
      <c r="J268" s="237" t="s">
        <v>4561</v>
      </c>
      <c r="K268" s="240" t="str">
        <f>IF(COUNTIF(L268:AY268,"&lt;&gt;")=0,"",SUMPRODUCT(((Recommendations[ImplStatus]="Implemented")+(Recommendations[ImplStatus]="Compensated"))*ISNUMBER(MATCH(Recommendations[Id],L268:AY268,0)))/COUNTIF(L268:AY268,"&lt;&gt;"))</f>
        <v/>
      </c>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43"/>
      <c r="AV268" s="243"/>
      <c r="AW268" s="243"/>
      <c r="AX268" s="243"/>
      <c r="AY268" s="253"/>
    </row>
    <row r="269" spans="1:51" ht="60" customHeight="1" x14ac:dyDescent="0.35">
      <c r="A269" s="249" t="s">
        <v>4562</v>
      </c>
      <c r="B269" s="237" t="s">
        <v>4563</v>
      </c>
      <c r="C269" s="237" t="s">
        <v>4558</v>
      </c>
      <c r="D269" s="237" t="s">
        <v>4564</v>
      </c>
      <c r="E269" s="237" t="s">
        <v>21</v>
      </c>
      <c r="F269" s="237" t="s">
        <v>21</v>
      </c>
      <c r="G269" s="237" t="s">
        <v>21</v>
      </c>
      <c r="H269" s="237" t="s">
        <v>4565</v>
      </c>
      <c r="I269" s="237" t="s">
        <v>21</v>
      </c>
      <c r="J269" s="237" t="s">
        <v>4566</v>
      </c>
      <c r="K269" s="240" t="str">
        <f>IF(COUNTIF(L269:AY269,"&lt;&gt;")=0,"",SUMPRODUCT(((Recommendations[ImplStatus]="Implemented")+(Recommendations[ImplStatus]="Compensated"))*ISNUMBER(MATCH(Recommendations[Id],L269:AY269,0)))/COUNTIF(L269:AY269,"&lt;&gt;"))</f>
        <v/>
      </c>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43"/>
      <c r="AV269" s="243"/>
      <c r="AW269" s="243"/>
      <c r="AX269" s="243"/>
      <c r="AY269" s="253"/>
    </row>
    <row r="270" spans="1:51" ht="60" customHeight="1" x14ac:dyDescent="0.35">
      <c r="A270" s="249" t="s">
        <v>4567</v>
      </c>
      <c r="B270" s="237" t="s">
        <v>4568</v>
      </c>
      <c r="C270" s="237" t="s">
        <v>4569</v>
      </c>
      <c r="D270" s="237" t="s">
        <v>4570</v>
      </c>
      <c r="E270" s="237" t="s">
        <v>21</v>
      </c>
      <c r="F270" s="237" t="s">
        <v>21</v>
      </c>
      <c r="G270" s="237" t="s">
        <v>21</v>
      </c>
      <c r="H270" s="237" t="s">
        <v>4571</v>
      </c>
      <c r="I270" s="237" t="s">
        <v>21</v>
      </c>
      <c r="J270" s="237" t="s">
        <v>4572</v>
      </c>
      <c r="K270" s="240" t="str">
        <f>IF(COUNTIF(L270:AY270,"&lt;&gt;")=0,"",SUMPRODUCT(((Recommendations[ImplStatus]="Implemented")+(Recommendations[ImplStatus]="Compensated"))*ISNUMBER(MATCH(Recommendations[Id],L270:AY270,0)))/COUNTIF(L270:AY270,"&lt;&gt;"))</f>
        <v/>
      </c>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43"/>
      <c r="AV270" s="243"/>
      <c r="AW270" s="243"/>
      <c r="AX270" s="243"/>
      <c r="AY270" s="253"/>
    </row>
    <row r="271" spans="1:51" ht="60" customHeight="1" x14ac:dyDescent="0.35">
      <c r="A271" s="249" t="s">
        <v>4573</v>
      </c>
      <c r="B271" s="237" t="s">
        <v>4574</v>
      </c>
      <c r="C271" s="237" t="s">
        <v>4575</v>
      </c>
      <c r="D271" s="237" t="s">
        <v>4576</v>
      </c>
      <c r="E271" s="237" t="s">
        <v>21</v>
      </c>
      <c r="F271" s="237" t="s">
        <v>21</v>
      </c>
      <c r="G271" s="237" t="s">
        <v>21</v>
      </c>
      <c r="H271" s="237" t="s">
        <v>4577</v>
      </c>
      <c r="I271" s="237" t="s">
        <v>4578</v>
      </c>
      <c r="J271" s="237" t="s">
        <v>21</v>
      </c>
      <c r="K271" s="240" t="str">
        <f>IF(COUNTIF(L271:AY271,"&lt;&gt;")=0,"",SUMPRODUCT(((Recommendations[ImplStatus]="Implemented")+(Recommendations[ImplStatus]="Compensated"))*ISNUMBER(MATCH(Recommendations[Id],L271:AY271,0)))/COUNTIF(L271:AY271,"&lt;&gt;"))</f>
        <v/>
      </c>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43"/>
      <c r="AV271" s="243"/>
      <c r="AW271" s="243"/>
      <c r="AX271" s="243"/>
      <c r="AY271" s="253"/>
    </row>
    <row r="272" spans="1:51" ht="60" customHeight="1" x14ac:dyDescent="0.35">
      <c r="A272" s="249" t="s">
        <v>4579</v>
      </c>
      <c r="B272" s="237" t="s">
        <v>4580</v>
      </c>
      <c r="C272" s="237" t="s">
        <v>4581</v>
      </c>
      <c r="D272" s="237" t="s">
        <v>4582</v>
      </c>
      <c r="E272" s="237" t="s">
        <v>21</v>
      </c>
      <c r="F272" s="237" t="s">
        <v>21</v>
      </c>
      <c r="G272" s="237" t="s">
        <v>21</v>
      </c>
      <c r="H272" s="237" t="s">
        <v>4583</v>
      </c>
      <c r="I272" s="237" t="s">
        <v>4584</v>
      </c>
      <c r="J272" s="237" t="s">
        <v>4585</v>
      </c>
      <c r="K272" s="240" t="str">
        <f>IF(COUNTIF(L272:AY272,"&lt;&gt;")=0,"",SUMPRODUCT(((Recommendations[ImplStatus]="Implemented")+(Recommendations[ImplStatus]="Compensated"))*ISNUMBER(MATCH(Recommendations[Id],L272:AY272,0)))/COUNTIF(L272:AY272,"&lt;&gt;"))</f>
        <v/>
      </c>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53"/>
    </row>
    <row r="273" spans="1:51" ht="60" customHeight="1" outlineLevel="1" x14ac:dyDescent="0.35">
      <c r="A273" s="248" t="s">
        <v>809</v>
      </c>
      <c r="B273" s="236" t="s">
        <v>4586</v>
      </c>
      <c r="C273" s="236"/>
      <c r="D273" s="236"/>
      <c r="E273" s="236"/>
      <c r="F273" s="236"/>
      <c r="G273" s="236"/>
      <c r="H273" s="236"/>
      <c r="I273" s="236"/>
      <c r="J273" s="236"/>
      <c r="K273" s="239" t="str">
        <f>IF(COUNTIF(L273:AY273,"&lt;&gt;")=0,"",SUMPRODUCT(((Recommendations[ImplStatus]="Implemented")+(Recommendations[ImplStatus]="Compensated"))*ISNUMBER(MATCH(Recommendations[Id],L273:AY273,0)))/COUNTIF(L273:AY273,"&lt;&gt;"))</f>
        <v/>
      </c>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52"/>
    </row>
    <row r="274" spans="1:51" ht="60" customHeight="1" x14ac:dyDescent="0.35">
      <c r="A274" s="249" t="s">
        <v>4587</v>
      </c>
      <c r="B274" s="237" t="s">
        <v>4588</v>
      </c>
      <c r="C274" s="237" t="s">
        <v>4589</v>
      </c>
      <c r="D274" s="237" t="s">
        <v>4582</v>
      </c>
      <c r="E274" s="237" t="s">
        <v>4590</v>
      </c>
      <c r="F274" s="237" t="s">
        <v>21</v>
      </c>
      <c r="G274" s="237" t="s">
        <v>21</v>
      </c>
      <c r="H274" s="237" t="s">
        <v>4591</v>
      </c>
      <c r="I274" s="237" t="s">
        <v>21</v>
      </c>
      <c r="J274" s="237" t="s">
        <v>4592</v>
      </c>
      <c r="K274" s="240" t="str">
        <f>IF(COUNTIF(L274:AY274,"&lt;&gt;")=0,"",SUMPRODUCT(((Recommendations[ImplStatus]="Implemented")+(Recommendations[ImplStatus]="Compensated"))*ISNUMBER(MATCH(Recommendations[Id],L274:AY274,0)))/COUNTIF(L274:AY274,"&lt;&gt;"))</f>
        <v/>
      </c>
      <c r="L274" s="243"/>
      <c r="M274" s="243"/>
      <c r="N274" s="243"/>
      <c r="O274" s="243"/>
      <c r="P274" s="243"/>
      <c r="Q274" s="243"/>
      <c r="R274" s="243"/>
      <c r="S274" s="243"/>
      <c r="T274" s="243"/>
      <c r="U274" s="243"/>
      <c r="V274" s="243"/>
      <c r="W274" s="243"/>
      <c r="X274" s="243"/>
      <c r="Y274" s="243"/>
      <c r="Z274" s="243"/>
      <c r="AA274" s="243"/>
      <c r="AB274" s="243"/>
      <c r="AC274" s="243"/>
      <c r="AD274" s="243"/>
      <c r="AE274" s="243"/>
      <c r="AF274" s="243"/>
      <c r="AG274" s="243"/>
      <c r="AH274" s="243"/>
      <c r="AI274" s="243"/>
      <c r="AJ274" s="243"/>
      <c r="AK274" s="243"/>
      <c r="AL274" s="243"/>
      <c r="AM274" s="243"/>
      <c r="AN274" s="243"/>
      <c r="AO274" s="243"/>
      <c r="AP274" s="243"/>
      <c r="AQ274" s="243"/>
      <c r="AR274" s="243"/>
      <c r="AS274" s="243"/>
      <c r="AT274" s="243"/>
      <c r="AU274" s="243"/>
      <c r="AV274" s="243"/>
      <c r="AW274" s="243"/>
      <c r="AX274" s="243"/>
      <c r="AY274" s="253"/>
    </row>
    <row r="275" spans="1:51" ht="60" customHeight="1" x14ac:dyDescent="0.35">
      <c r="A275" s="249" t="s">
        <v>4593</v>
      </c>
      <c r="B275" s="237" t="s">
        <v>4594</v>
      </c>
      <c r="C275" s="237" t="s">
        <v>4595</v>
      </c>
      <c r="D275" s="237" t="s">
        <v>4596</v>
      </c>
      <c r="E275" s="237" t="s">
        <v>21</v>
      </c>
      <c r="F275" s="237" t="s">
        <v>21</v>
      </c>
      <c r="G275" s="237" t="s">
        <v>21</v>
      </c>
      <c r="H275" s="237" t="s">
        <v>4597</v>
      </c>
      <c r="I275" s="237" t="s">
        <v>21</v>
      </c>
      <c r="J275" s="237" t="s">
        <v>4598</v>
      </c>
      <c r="K275" s="240" t="str">
        <f>IF(COUNTIF(L275:AY275,"&lt;&gt;")=0,"",SUMPRODUCT(((Recommendations[ImplStatus]="Implemented")+(Recommendations[ImplStatus]="Compensated"))*ISNUMBER(MATCH(Recommendations[Id],L275:AY275,0)))/COUNTIF(L275:AY275,"&lt;&gt;"))</f>
        <v/>
      </c>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c r="AI275" s="243"/>
      <c r="AJ275" s="243"/>
      <c r="AK275" s="243"/>
      <c r="AL275" s="243"/>
      <c r="AM275" s="243"/>
      <c r="AN275" s="243"/>
      <c r="AO275" s="243"/>
      <c r="AP275" s="243"/>
      <c r="AQ275" s="243"/>
      <c r="AR275" s="243"/>
      <c r="AS275" s="243"/>
      <c r="AT275" s="243"/>
      <c r="AU275" s="243"/>
      <c r="AV275" s="243"/>
      <c r="AW275" s="243"/>
      <c r="AX275" s="243"/>
      <c r="AY275" s="253"/>
    </row>
    <row r="276" spans="1:51" ht="60" customHeight="1" x14ac:dyDescent="0.35">
      <c r="A276" s="249" t="s">
        <v>4599</v>
      </c>
      <c r="B276" s="237" t="s">
        <v>4600</v>
      </c>
      <c r="C276" s="237" t="s">
        <v>4601</v>
      </c>
      <c r="D276" s="237" t="s">
        <v>4602</v>
      </c>
      <c r="E276" s="237" t="s">
        <v>21</v>
      </c>
      <c r="F276" s="237" t="s">
        <v>4603</v>
      </c>
      <c r="G276" s="237" t="s">
        <v>21</v>
      </c>
      <c r="H276" s="237" t="s">
        <v>4604</v>
      </c>
      <c r="I276" s="237" t="s">
        <v>4605</v>
      </c>
      <c r="J276" s="237" t="s">
        <v>4606</v>
      </c>
      <c r="K276" s="240" t="str">
        <f>IF(COUNTIF(L276:AY276,"&lt;&gt;")=0,"",SUMPRODUCT(((Recommendations[ImplStatus]="Implemented")+(Recommendations[ImplStatus]="Compensated"))*ISNUMBER(MATCH(Recommendations[Id],L276:AY276,0)))/COUNTIF(L276:AY276,"&lt;&gt;"))</f>
        <v/>
      </c>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43"/>
      <c r="AV276" s="243"/>
      <c r="AW276" s="243"/>
      <c r="AX276" s="243"/>
      <c r="AY276" s="253"/>
    </row>
    <row r="277" spans="1:51" ht="60" customHeight="1" outlineLevel="1" x14ac:dyDescent="0.35">
      <c r="A277" s="248" t="s">
        <v>4607</v>
      </c>
      <c r="B277" s="236" t="s">
        <v>4608</v>
      </c>
      <c r="C277" s="236"/>
      <c r="D277" s="236"/>
      <c r="E277" s="236"/>
      <c r="F277" s="236"/>
      <c r="G277" s="236"/>
      <c r="H277" s="236"/>
      <c r="I277" s="236"/>
      <c r="J277" s="236"/>
      <c r="K277" s="239" t="str">
        <f>IF(COUNTIF(L277:AY277,"&lt;&gt;")=0,"",SUMPRODUCT(((Recommendations[ImplStatus]="Implemented")+(Recommendations[ImplStatus]="Compensated"))*ISNUMBER(MATCH(Recommendations[Id],L277:AY277,0)))/COUNTIF(L277:AY277,"&lt;&gt;"))</f>
        <v/>
      </c>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52"/>
    </row>
    <row r="278" spans="1:51" ht="60" customHeight="1" x14ac:dyDescent="0.35">
      <c r="A278" s="249" t="s">
        <v>4609</v>
      </c>
      <c r="B278" s="237" t="s">
        <v>4610</v>
      </c>
      <c r="C278" s="237" t="s">
        <v>4611</v>
      </c>
      <c r="D278" s="237" t="s">
        <v>4612</v>
      </c>
      <c r="E278" s="237" t="s">
        <v>21</v>
      </c>
      <c r="F278" s="237" t="s">
        <v>4613</v>
      </c>
      <c r="G278" s="237" t="s">
        <v>21</v>
      </c>
      <c r="H278" s="237" t="s">
        <v>4614</v>
      </c>
      <c r="I278" s="237" t="s">
        <v>21</v>
      </c>
      <c r="J278" s="237" t="s">
        <v>4615</v>
      </c>
      <c r="K278" s="240" t="str">
        <f>IF(COUNTIF(L278:AY278,"&lt;&gt;")=0,"",SUMPRODUCT(((Recommendations[ImplStatus]="Implemented")+(Recommendations[ImplStatus]="Compensated"))*ISNUMBER(MATCH(Recommendations[Id],L278:AY278,0)))/COUNTIF(L278:AY278,"&lt;&gt;"))</f>
        <v/>
      </c>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43"/>
      <c r="AV278" s="243"/>
      <c r="AW278" s="243"/>
      <c r="AX278" s="243"/>
      <c r="AY278" s="253"/>
    </row>
    <row r="279" spans="1:51" ht="60" customHeight="1" outlineLevel="1" x14ac:dyDescent="0.35">
      <c r="A279" s="247" t="s">
        <v>4616</v>
      </c>
      <c r="B279" s="235" t="s">
        <v>4617</v>
      </c>
      <c r="C279" s="235"/>
      <c r="D279" s="235"/>
      <c r="E279" s="235"/>
      <c r="F279" s="235"/>
      <c r="G279" s="235"/>
      <c r="H279" s="235"/>
      <c r="I279" s="235"/>
      <c r="J279" s="235"/>
      <c r="K279" s="238" t="str">
        <f>IF(COUNTIF(L279:AY279,"&lt;&gt;")=0,"",SUMPRODUCT(((Recommendations[ImplStatus]="Implemented")+(Recommendations[ImplStatus]="Compensated"))*ISNUMBER(MATCH(Recommendations[Id],L279:AY279,0)))/COUNTIF(L279:AY279,"&lt;&gt;"))</f>
        <v/>
      </c>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51"/>
    </row>
    <row r="280" spans="1:51" ht="60" customHeight="1" outlineLevel="1" x14ac:dyDescent="0.35">
      <c r="A280" s="248" t="s">
        <v>815</v>
      </c>
      <c r="B280" s="236" t="s">
        <v>4618</v>
      </c>
      <c r="C280" s="236"/>
      <c r="D280" s="236"/>
      <c r="E280" s="236"/>
      <c r="F280" s="236"/>
      <c r="G280" s="236"/>
      <c r="H280" s="236"/>
      <c r="I280" s="236"/>
      <c r="J280" s="236"/>
      <c r="K280" s="239" t="str">
        <f>IF(COUNTIF(L280:AY280,"&lt;&gt;")=0,"",SUMPRODUCT(((Recommendations[ImplStatus]="Implemented")+(Recommendations[ImplStatus]="Compensated"))*ISNUMBER(MATCH(Recommendations[Id],L280:AY280,0)))/COUNTIF(L280:AY280,"&lt;&gt;"))</f>
        <v/>
      </c>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52"/>
    </row>
    <row r="281" spans="1:51" ht="60" customHeight="1" x14ac:dyDescent="0.35">
      <c r="A281" s="249" t="s">
        <v>4619</v>
      </c>
      <c r="B281" s="237" t="s">
        <v>4620</v>
      </c>
      <c r="C281" s="237" t="s">
        <v>4621</v>
      </c>
      <c r="D281" s="237" t="s">
        <v>4622</v>
      </c>
      <c r="E281" s="237" t="s">
        <v>4623</v>
      </c>
      <c r="F281" s="237" t="s">
        <v>21</v>
      </c>
      <c r="G281" s="237" t="s">
        <v>21</v>
      </c>
      <c r="H281" s="237" t="s">
        <v>4624</v>
      </c>
      <c r="I281" s="237" t="s">
        <v>21</v>
      </c>
      <c r="J281" s="237" t="s">
        <v>4625</v>
      </c>
      <c r="K281" s="240" t="str">
        <f>IF(COUNTIF(L281:AY281,"&lt;&gt;")=0,"",SUMPRODUCT(((Recommendations[ImplStatus]="Implemented")+(Recommendations[ImplStatus]="Compensated"))*ISNUMBER(MATCH(Recommendations[Id],L281:AY281,0)))/COUNTIF(L281:AY281,"&lt;&gt;"))</f>
        <v/>
      </c>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53"/>
    </row>
    <row r="282" spans="1:51" ht="60" customHeight="1" x14ac:dyDescent="0.35">
      <c r="A282" s="249" t="s">
        <v>4626</v>
      </c>
      <c r="B282" s="237" t="s">
        <v>4627</v>
      </c>
      <c r="C282" s="237" t="s">
        <v>4628</v>
      </c>
      <c r="D282" s="237" t="s">
        <v>21</v>
      </c>
      <c r="E282" s="237" t="s">
        <v>21</v>
      </c>
      <c r="F282" s="237" t="s">
        <v>21</v>
      </c>
      <c r="G282" s="237" t="s">
        <v>21</v>
      </c>
      <c r="H282" s="237" t="s">
        <v>4629</v>
      </c>
      <c r="I282" s="237" t="s">
        <v>21</v>
      </c>
      <c r="J282" s="237" t="s">
        <v>4630</v>
      </c>
      <c r="K282" s="240" t="str">
        <f>IF(COUNTIF(L282:AY282,"&lt;&gt;")=0,"",SUMPRODUCT(((Recommendations[ImplStatus]="Implemented")+(Recommendations[ImplStatus]="Compensated"))*ISNUMBER(MATCH(Recommendations[Id],L282:AY282,0)))/COUNTIF(L282:AY282,"&lt;&gt;"))</f>
        <v/>
      </c>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53"/>
    </row>
    <row r="283" spans="1:51" ht="60" customHeight="1" x14ac:dyDescent="0.35">
      <c r="A283" s="249" t="s">
        <v>4631</v>
      </c>
      <c r="B283" s="237" t="s">
        <v>4632</v>
      </c>
      <c r="C283" s="237" t="s">
        <v>4633</v>
      </c>
      <c r="D283" s="237" t="s">
        <v>21</v>
      </c>
      <c r="E283" s="237" t="s">
        <v>21</v>
      </c>
      <c r="F283" s="237" t="s">
        <v>21</v>
      </c>
      <c r="G283" s="237" t="s">
        <v>21</v>
      </c>
      <c r="H283" s="237" t="s">
        <v>4634</v>
      </c>
      <c r="I283" s="237" t="s">
        <v>21</v>
      </c>
      <c r="J283" s="237" t="s">
        <v>4635</v>
      </c>
      <c r="K283" s="240" t="str">
        <f>IF(COUNTIF(L283:AY283,"&lt;&gt;")=0,"",SUMPRODUCT(((Recommendations[ImplStatus]="Implemented")+(Recommendations[ImplStatus]="Compensated"))*ISNUMBER(MATCH(Recommendations[Id],L283:AY283,0)))/COUNTIF(L283:AY283,"&lt;&gt;"))</f>
        <v/>
      </c>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43"/>
      <c r="AV283" s="243"/>
      <c r="AW283" s="243"/>
      <c r="AX283" s="243"/>
      <c r="AY283" s="253"/>
    </row>
    <row r="284" spans="1:51" ht="60" customHeight="1" x14ac:dyDescent="0.35">
      <c r="A284" s="249" t="s">
        <v>4636</v>
      </c>
      <c r="B284" s="237" t="s">
        <v>4637</v>
      </c>
      <c r="C284" s="237" t="s">
        <v>4638</v>
      </c>
      <c r="D284" s="237" t="s">
        <v>4639</v>
      </c>
      <c r="E284" s="237" t="s">
        <v>21</v>
      </c>
      <c r="F284" s="237" t="s">
        <v>21</v>
      </c>
      <c r="G284" s="237" t="s">
        <v>21</v>
      </c>
      <c r="H284" s="237" t="s">
        <v>4640</v>
      </c>
      <c r="I284" s="237" t="s">
        <v>21</v>
      </c>
      <c r="J284" s="237" t="s">
        <v>4641</v>
      </c>
      <c r="K284" s="240" t="str">
        <f>IF(COUNTIF(L284:AY284,"&lt;&gt;")=0,"",SUMPRODUCT(((Recommendations[ImplStatus]="Implemented")+(Recommendations[ImplStatus]="Compensated"))*ISNUMBER(MATCH(Recommendations[Id],L284:AY284,0)))/COUNTIF(L284:AY284,"&lt;&gt;"))</f>
        <v/>
      </c>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43"/>
      <c r="AV284" s="243"/>
      <c r="AW284" s="243"/>
      <c r="AX284" s="243"/>
      <c r="AY284" s="253"/>
    </row>
    <row r="285" spans="1:51" ht="60" customHeight="1" outlineLevel="1" x14ac:dyDescent="0.35">
      <c r="A285" s="248" t="s">
        <v>819</v>
      </c>
      <c r="B285" s="236" t="s">
        <v>4642</v>
      </c>
      <c r="C285" s="236"/>
      <c r="D285" s="236"/>
      <c r="E285" s="236"/>
      <c r="F285" s="236"/>
      <c r="G285" s="236"/>
      <c r="H285" s="236"/>
      <c r="I285" s="236"/>
      <c r="J285" s="236"/>
      <c r="K285" s="239" t="str">
        <f>IF(COUNTIF(L285:AY285,"&lt;&gt;")=0,"",SUMPRODUCT(((Recommendations[ImplStatus]="Implemented")+(Recommendations[ImplStatus]="Compensated"))*ISNUMBER(MATCH(Recommendations[Id],L285:AY285,0)))/COUNTIF(L285:AY285,"&lt;&gt;"))</f>
        <v/>
      </c>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52"/>
    </row>
    <row r="286" spans="1:51" ht="60" customHeight="1" x14ac:dyDescent="0.35">
      <c r="A286" s="249" t="s">
        <v>4643</v>
      </c>
      <c r="B286" s="237" t="s">
        <v>4644</v>
      </c>
      <c r="C286" s="237" t="s">
        <v>4645</v>
      </c>
      <c r="D286" s="237" t="s">
        <v>4646</v>
      </c>
      <c r="E286" s="237" t="s">
        <v>21</v>
      </c>
      <c r="F286" s="237" t="s">
        <v>21</v>
      </c>
      <c r="G286" s="237" t="s">
        <v>21</v>
      </c>
      <c r="H286" s="237" t="s">
        <v>4647</v>
      </c>
      <c r="I286" s="237" t="s">
        <v>4648</v>
      </c>
      <c r="J286" s="237" t="s">
        <v>4649</v>
      </c>
      <c r="K286" s="240" t="str">
        <f>IF(COUNTIF(L286:AY286,"&lt;&gt;")=0,"",SUMPRODUCT(((Recommendations[ImplStatus]="Implemented")+(Recommendations[ImplStatus]="Compensated"))*ISNUMBER(MATCH(Recommendations[Id],L286:AY286,0)))/COUNTIF(L286:AY286,"&lt;&gt;"))</f>
        <v/>
      </c>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43"/>
      <c r="AV286" s="243"/>
      <c r="AW286" s="243"/>
      <c r="AX286" s="243"/>
      <c r="AY286" s="253"/>
    </row>
    <row r="287" spans="1:51" ht="60" customHeight="1" outlineLevel="1" x14ac:dyDescent="0.35">
      <c r="A287" s="248" t="s">
        <v>823</v>
      </c>
      <c r="B287" s="236" t="s">
        <v>4650</v>
      </c>
      <c r="C287" s="236"/>
      <c r="D287" s="236"/>
      <c r="E287" s="236"/>
      <c r="F287" s="236"/>
      <c r="G287" s="236"/>
      <c r="H287" s="236"/>
      <c r="I287" s="236"/>
      <c r="J287" s="236"/>
      <c r="K287" s="239" t="str">
        <f>IF(COUNTIF(L287:AY287,"&lt;&gt;")=0,"",SUMPRODUCT(((Recommendations[ImplStatus]="Implemented")+(Recommendations[ImplStatus]="Compensated"))*ISNUMBER(MATCH(Recommendations[Id],L287:AY287,0)))/COUNTIF(L287:AY287,"&lt;&gt;"))</f>
        <v/>
      </c>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52"/>
    </row>
    <row r="288" spans="1:51" ht="60" customHeight="1" x14ac:dyDescent="0.35">
      <c r="A288" s="249" t="s">
        <v>4651</v>
      </c>
      <c r="B288" s="237" t="s">
        <v>4652</v>
      </c>
      <c r="C288" s="237" t="s">
        <v>4653</v>
      </c>
      <c r="D288" s="237" t="s">
        <v>4654</v>
      </c>
      <c r="E288" s="237" t="s">
        <v>4655</v>
      </c>
      <c r="F288" s="237" t="s">
        <v>4656</v>
      </c>
      <c r="G288" s="237" t="s">
        <v>4657</v>
      </c>
      <c r="H288" s="237" t="s">
        <v>4658</v>
      </c>
      <c r="I288" s="237" t="s">
        <v>3639</v>
      </c>
      <c r="J288" s="237" t="s">
        <v>4659</v>
      </c>
      <c r="K288" s="240" t="str">
        <f>IF(COUNTIF(L288:AY288,"&lt;&gt;")=0,"",SUMPRODUCT(((Recommendations[ImplStatus]="Implemented")+(Recommendations[ImplStatus]="Compensated"))*ISNUMBER(MATCH(Recommendations[Id],L288:AY288,0)))/COUNTIF(L288:AY288,"&lt;&gt;"))</f>
        <v/>
      </c>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43"/>
      <c r="AV288" s="243"/>
      <c r="AW288" s="243"/>
      <c r="AX288" s="243"/>
      <c r="AY288" s="253"/>
    </row>
    <row r="289" spans="1:51" ht="60" customHeight="1" x14ac:dyDescent="0.35">
      <c r="A289" s="249" t="s">
        <v>4660</v>
      </c>
      <c r="B289" s="237" t="s">
        <v>4661</v>
      </c>
      <c r="C289" s="237" t="s">
        <v>4662</v>
      </c>
      <c r="D289" s="237" t="s">
        <v>21</v>
      </c>
      <c r="E289" s="237" t="s">
        <v>4655</v>
      </c>
      <c r="F289" s="237" t="s">
        <v>21</v>
      </c>
      <c r="G289" s="237" t="s">
        <v>4663</v>
      </c>
      <c r="H289" s="237" t="s">
        <v>4664</v>
      </c>
      <c r="I289" s="237" t="s">
        <v>4665</v>
      </c>
      <c r="J289" s="237" t="s">
        <v>4666</v>
      </c>
      <c r="K289" s="240" t="str">
        <f>IF(COUNTIF(L289:AY289,"&lt;&gt;")=0,"",SUMPRODUCT(((Recommendations[ImplStatus]="Implemented")+(Recommendations[ImplStatus]="Compensated"))*ISNUMBER(MATCH(Recommendations[Id],L289:AY289,0)))/COUNTIF(L289:AY289,"&lt;&gt;"))</f>
        <v/>
      </c>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43"/>
      <c r="AV289" s="243"/>
      <c r="AW289" s="243"/>
      <c r="AX289" s="243"/>
      <c r="AY289" s="253"/>
    </row>
    <row r="290" spans="1:51" ht="60" customHeight="1" x14ac:dyDescent="0.35">
      <c r="A290" s="249" t="s">
        <v>4667</v>
      </c>
      <c r="B290" s="237" t="s">
        <v>4668</v>
      </c>
      <c r="C290" s="237" t="s">
        <v>4669</v>
      </c>
      <c r="D290" s="237" t="s">
        <v>21</v>
      </c>
      <c r="E290" s="237" t="s">
        <v>4670</v>
      </c>
      <c r="F290" s="237" t="s">
        <v>21</v>
      </c>
      <c r="G290" s="237" t="s">
        <v>4671</v>
      </c>
      <c r="H290" s="237" t="s">
        <v>4672</v>
      </c>
      <c r="I290" s="237" t="s">
        <v>4673</v>
      </c>
      <c r="J290" s="237" t="s">
        <v>4674</v>
      </c>
      <c r="K290" s="240" t="str">
        <f>IF(COUNTIF(L290:AY290,"&lt;&gt;")=0,"",SUMPRODUCT(((Recommendations[ImplStatus]="Implemented")+(Recommendations[ImplStatus]="Compensated"))*ISNUMBER(MATCH(Recommendations[Id],L290:AY290,0)))/COUNTIF(L290:AY290,"&lt;&gt;"))</f>
        <v/>
      </c>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53"/>
    </row>
    <row r="291" spans="1:51" ht="60" customHeight="1" x14ac:dyDescent="0.35">
      <c r="A291" s="249" t="s">
        <v>4675</v>
      </c>
      <c r="B291" s="237" t="s">
        <v>4676</v>
      </c>
      <c r="C291" s="237" t="s">
        <v>4677</v>
      </c>
      <c r="D291" s="237" t="s">
        <v>21</v>
      </c>
      <c r="E291" s="237" t="s">
        <v>21</v>
      </c>
      <c r="F291" s="237" t="s">
        <v>21</v>
      </c>
      <c r="G291" s="237" t="s">
        <v>21</v>
      </c>
      <c r="H291" s="237" t="s">
        <v>4678</v>
      </c>
      <c r="I291" s="237" t="s">
        <v>3639</v>
      </c>
      <c r="J291" s="237" t="s">
        <v>4679</v>
      </c>
      <c r="K291" s="240" t="str">
        <f>IF(COUNTIF(L291:AY291,"&lt;&gt;")=0,"",SUMPRODUCT(((Recommendations[ImplStatus]="Implemented")+(Recommendations[ImplStatus]="Compensated"))*ISNUMBER(MATCH(Recommendations[Id],L291:AY291,0)))/COUNTIF(L291:AY291,"&lt;&gt;"))</f>
        <v/>
      </c>
      <c r="L291" s="243"/>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43"/>
      <c r="AV291" s="243"/>
      <c r="AW291" s="243"/>
      <c r="AX291" s="243"/>
      <c r="AY291" s="253"/>
    </row>
    <row r="292" spans="1:51" ht="60" customHeight="1" outlineLevel="1" x14ac:dyDescent="0.35">
      <c r="A292" s="248" t="s">
        <v>827</v>
      </c>
      <c r="B292" s="236" t="s">
        <v>4680</v>
      </c>
      <c r="C292" s="236"/>
      <c r="D292" s="236"/>
      <c r="E292" s="236"/>
      <c r="F292" s="236"/>
      <c r="G292" s="236"/>
      <c r="H292" s="236"/>
      <c r="I292" s="236"/>
      <c r="J292" s="236"/>
      <c r="K292" s="239" t="str">
        <f>IF(COUNTIF(L292:AY292,"&lt;&gt;")=0,"",SUMPRODUCT(((Recommendations[ImplStatus]="Implemented")+(Recommendations[ImplStatus]="Compensated"))*ISNUMBER(MATCH(Recommendations[Id],L292:AY292,0)))/COUNTIF(L292:AY292,"&lt;&gt;"))</f>
        <v/>
      </c>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52"/>
    </row>
    <row r="293" spans="1:51" ht="60" customHeight="1" x14ac:dyDescent="0.35">
      <c r="A293" s="249" t="s">
        <v>4681</v>
      </c>
      <c r="B293" s="237" t="s">
        <v>4682</v>
      </c>
      <c r="C293" s="237" t="s">
        <v>4683</v>
      </c>
      <c r="D293" s="237" t="s">
        <v>4684</v>
      </c>
      <c r="E293" s="237" t="s">
        <v>21</v>
      </c>
      <c r="F293" s="237" t="s">
        <v>21</v>
      </c>
      <c r="G293" s="237" t="s">
        <v>21</v>
      </c>
      <c r="H293" s="237" t="s">
        <v>4685</v>
      </c>
      <c r="I293" s="237" t="s">
        <v>4686</v>
      </c>
      <c r="J293" s="237" t="s">
        <v>4687</v>
      </c>
      <c r="K293" s="240" t="str">
        <f>IF(COUNTIF(L293:AY293,"&lt;&gt;")=0,"",SUMPRODUCT(((Recommendations[ImplStatus]="Implemented")+(Recommendations[ImplStatus]="Compensated"))*ISNUMBER(MATCH(Recommendations[Id],L293:AY293,0)))/COUNTIF(L293:AY293,"&lt;&gt;"))</f>
        <v/>
      </c>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43"/>
      <c r="AV293" s="243"/>
      <c r="AW293" s="243"/>
      <c r="AX293" s="243"/>
      <c r="AY293" s="253"/>
    </row>
    <row r="294" spans="1:51" ht="60" customHeight="1" x14ac:dyDescent="0.35">
      <c r="A294" s="249" t="s">
        <v>4688</v>
      </c>
      <c r="B294" s="237" t="s">
        <v>4689</v>
      </c>
      <c r="C294" s="237" t="s">
        <v>4690</v>
      </c>
      <c r="D294" s="237" t="s">
        <v>4684</v>
      </c>
      <c r="E294" s="237" t="s">
        <v>21</v>
      </c>
      <c r="F294" s="237" t="s">
        <v>4691</v>
      </c>
      <c r="G294" s="237" t="s">
        <v>21</v>
      </c>
      <c r="H294" s="237" t="s">
        <v>4692</v>
      </c>
      <c r="I294" s="237" t="s">
        <v>3609</v>
      </c>
      <c r="J294" s="237" t="s">
        <v>4693</v>
      </c>
      <c r="K294" s="240" t="str">
        <f>IF(COUNTIF(L294:AY294,"&lt;&gt;")=0,"",SUMPRODUCT(((Recommendations[ImplStatus]="Implemented")+(Recommendations[ImplStatus]="Compensated"))*ISNUMBER(MATCH(Recommendations[Id],L294:AY294,0)))/COUNTIF(L294:AY294,"&lt;&gt;"))</f>
        <v/>
      </c>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43"/>
      <c r="AV294" s="243"/>
      <c r="AW294" s="243"/>
      <c r="AX294" s="243"/>
      <c r="AY294" s="253"/>
    </row>
    <row r="295" spans="1:51" ht="60" customHeight="1" x14ac:dyDescent="0.35">
      <c r="A295" s="249" t="s">
        <v>4694</v>
      </c>
      <c r="B295" s="237" t="s">
        <v>4695</v>
      </c>
      <c r="C295" s="237" t="s">
        <v>4696</v>
      </c>
      <c r="D295" s="237" t="s">
        <v>4697</v>
      </c>
      <c r="E295" s="237" t="s">
        <v>21</v>
      </c>
      <c r="F295" s="237" t="s">
        <v>21</v>
      </c>
      <c r="G295" s="237" t="s">
        <v>21</v>
      </c>
      <c r="H295" s="237" t="s">
        <v>4698</v>
      </c>
      <c r="I295" s="237" t="s">
        <v>3609</v>
      </c>
      <c r="J295" s="237" t="s">
        <v>4699</v>
      </c>
      <c r="K295" s="240" t="str">
        <f>IF(COUNTIF(L295:AY295,"&lt;&gt;")=0,"",SUMPRODUCT(((Recommendations[ImplStatus]="Implemented")+(Recommendations[ImplStatus]="Compensated"))*ISNUMBER(MATCH(Recommendations[Id],L295:AY295,0)))/COUNTIF(L295:AY295,"&lt;&gt;"))</f>
        <v/>
      </c>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53"/>
    </row>
    <row r="296" spans="1:51" ht="60" customHeight="1" outlineLevel="1" x14ac:dyDescent="0.35">
      <c r="A296" s="248" t="s">
        <v>831</v>
      </c>
      <c r="B296" s="236" t="s">
        <v>4700</v>
      </c>
      <c r="C296" s="236"/>
      <c r="D296" s="236"/>
      <c r="E296" s="236"/>
      <c r="F296" s="236"/>
      <c r="G296" s="236"/>
      <c r="H296" s="236"/>
      <c r="I296" s="236"/>
      <c r="J296" s="236"/>
      <c r="K296" s="239" t="str">
        <f>IF(COUNTIF(L296:AY296,"&lt;&gt;")=0,"",SUMPRODUCT(((Recommendations[ImplStatus]="Implemented")+(Recommendations[ImplStatus]="Compensated"))*ISNUMBER(MATCH(Recommendations[Id],L296:AY296,0)))/COUNTIF(L296:AY296,"&lt;&gt;"))</f>
        <v/>
      </c>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52"/>
    </row>
    <row r="297" spans="1:51" ht="60" customHeight="1" x14ac:dyDescent="0.35">
      <c r="A297" s="249" t="s">
        <v>4701</v>
      </c>
      <c r="B297" s="237" t="s">
        <v>4702</v>
      </c>
      <c r="C297" s="237" t="s">
        <v>4703</v>
      </c>
      <c r="D297" s="237" t="s">
        <v>4697</v>
      </c>
      <c r="E297" s="237" t="s">
        <v>21</v>
      </c>
      <c r="F297" s="237" t="s">
        <v>4704</v>
      </c>
      <c r="G297" s="237" t="s">
        <v>21</v>
      </c>
      <c r="H297" s="237" t="s">
        <v>4705</v>
      </c>
      <c r="I297" s="237" t="s">
        <v>21</v>
      </c>
      <c r="J297" s="237" t="s">
        <v>4706</v>
      </c>
      <c r="K297" s="240" t="str">
        <f>IF(COUNTIF(L297:AY297,"&lt;&gt;")=0,"",SUMPRODUCT(((Recommendations[ImplStatus]="Implemented")+(Recommendations[ImplStatus]="Compensated"))*ISNUMBER(MATCH(Recommendations[Id],L297:AY297,0)))/COUNTIF(L297:AY297,"&lt;&gt;"))</f>
        <v/>
      </c>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43"/>
      <c r="AV297" s="243"/>
      <c r="AW297" s="243"/>
      <c r="AX297" s="243"/>
      <c r="AY297" s="253"/>
    </row>
    <row r="298" spans="1:51" ht="60" customHeight="1" x14ac:dyDescent="0.35">
      <c r="A298" s="249" t="s">
        <v>4707</v>
      </c>
      <c r="B298" s="237" t="s">
        <v>4708</v>
      </c>
      <c r="C298" s="237" t="s">
        <v>4709</v>
      </c>
      <c r="D298" s="237" t="s">
        <v>4710</v>
      </c>
      <c r="E298" s="237" t="s">
        <v>21</v>
      </c>
      <c r="F298" s="237" t="s">
        <v>21</v>
      </c>
      <c r="G298" s="237" t="s">
        <v>4711</v>
      </c>
      <c r="H298" s="237" t="s">
        <v>4712</v>
      </c>
      <c r="I298" s="237" t="s">
        <v>4712</v>
      </c>
      <c r="J298" s="237" t="s">
        <v>4713</v>
      </c>
      <c r="K298" s="240" t="str">
        <f>IF(COUNTIF(L298:AY298,"&lt;&gt;")=0,"",SUMPRODUCT(((Recommendations[ImplStatus]="Implemented")+(Recommendations[ImplStatus]="Compensated"))*ISNUMBER(MATCH(Recommendations[Id],L298:AY298,0)))/COUNTIF(L298:AY298,"&lt;&gt;"))</f>
        <v/>
      </c>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43"/>
      <c r="AV298" s="243"/>
      <c r="AW298" s="243"/>
      <c r="AX298" s="243"/>
      <c r="AY298" s="253"/>
    </row>
    <row r="299" spans="1:51" ht="60" customHeight="1" x14ac:dyDescent="0.35">
      <c r="A299" s="249" t="s">
        <v>4714</v>
      </c>
      <c r="B299" s="237" t="s">
        <v>4715</v>
      </c>
      <c r="C299" s="237" t="s">
        <v>4716</v>
      </c>
      <c r="D299" s="237" t="s">
        <v>21</v>
      </c>
      <c r="E299" s="237" t="s">
        <v>21</v>
      </c>
      <c r="F299" s="237" t="s">
        <v>21</v>
      </c>
      <c r="G299" s="237" t="s">
        <v>21</v>
      </c>
      <c r="H299" s="237" t="s">
        <v>4717</v>
      </c>
      <c r="I299" s="237" t="s">
        <v>4718</v>
      </c>
      <c r="J299" s="237" t="s">
        <v>4719</v>
      </c>
      <c r="K299" s="240" t="str">
        <f>IF(COUNTIF(L299:AY299,"&lt;&gt;")=0,"",SUMPRODUCT(((Recommendations[ImplStatus]="Implemented")+(Recommendations[ImplStatus]="Compensated"))*ISNUMBER(MATCH(Recommendations[Id],L299:AY299,0)))/COUNTIF(L299:AY299,"&lt;&gt;"))</f>
        <v/>
      </c>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43"/>
      <c r="AV299" s="243"/>
      <c r="AW299" s="243"/>
      <c r="AX299" s="243"/>
      <c r="AY299" s="253"/>
    </row>
    <row r="300" spans="1:51" ht="60" customHeight="1" x14ac:dyDescent="0.35">
      <c r="A300" s="249" t="s">
        <v>4720</v>
      </c>
      <c r="B300" s="237" t="s">
        <v>4721</v>
      </c>
      <c r="C300" s="237" t="s">
        <v>4722</v>
      </c>
      <c r="D300" s="237" t="s">
        <v>21</v>
      </c>
      <c r="E300" s="237" t="s">
        <v>21</v>
      </c>
      <c r="F300" s="237" t="s">
        <v>4723</v>
      </c>
      <c r="G300" s="237" t="s">
        <v>21</v>
      </c>
      <c r="H300" s="237" t="s">
        <v>4724</v>
      </c>
      <c r="I300" s="237" t="s">
        <v>4718</v>
      </c>
      <c r="J300" s="237" t="s">
        <v>4725</v>
      </c>
      <c r="K300" s="240" t="str">
        <f>IF(COUNTIF(L300:AY300,"&lt;&gt;")=0,"",SUMPRODUCT(((Recommendations[ImplStatus]="Implemented")+(Recommendations[ImplStatus]="Compensated"))*ISNUMBER(MATCH(Recommendations[Id],L300:AY300,0)))/COUNTIF(L300:AY300,"&lt;&gt;"))</f>
        <v/>
      </c>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43"/>
      <c r="AV300" s="243"/>
      <c r="AW300" s="243"/>
      <c r="AX300" s="243"/>
      <c r="AY300" s="253"/>
    </row>
    <row r="301" spans="1:51" ht="60" customHeight="1" outlineLevel="1" x14ac:dyDescent="0.35">
      <c r="A301" s="248" t="s">
        <v>835</v>
      </c>
      <c r="B301" s="236" t="s">
        <v>4726</v>
      </c>
      <c r="C301" s="236"/>
      <c r="D301" s="236"/>
      <c r="E301" s="236"/>
      <c r="F301" s="236"/>
      <c r="G301" s="236"/>
      <c r="H301" s="236"/>
      <c r="I301" s="236"/>
      <c r="J301" s="236"/>
      <c r="K301" s="239" t="str">
        <f>IF(COUNTIF(L301:AY301,"&lt;&gt;")=0,"",SUMPRODUCT(((Recommendations[ImplStatus]="Implemented")+(Recommendations[ImplStatus]="Compensated"))*ISNUMBER(MATCH(Recommendations[Id],L301:AY301,0)))/COUNTIF(L301:AY301,"&lt;&gt;"))</f>
        <v/>
      </c>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52"/>
    </row>
    <row r="302" spans="1:51" ht="60" customHeight="1" x14ac:dyDescent="0.35">
      <c r="A302" s="249" t="s">
        <v>4727</v>
      </c>
      <c r="B302" s="237" t="s">
        <v>4728</v>
      </c>
      <c r="C302" s="237" t="s">
        <v>4729</v>
      </c>
      <c r="D302" s="237" t="s">
        <v>21</v>
      </c>
      <c r="E302" s="237" t="s">
        <v>21</v>
      </c>
      <c r="F302" s="237" t="s">
        <v>21</v>
      </c>
      <c r="G302" s="237" t="s">
        <v>21</v>
      </c>
      <c r="H302" s="237" t="s">
        <v>4730</v>
      </c>
      <c r="I302" s="237" t="s">
        <v>21</v>
      </c>
      <c r="J302" s="237" t="s">
        <v>4731</v>
      </c>
      <c r="K302" s="240" t="str">
        <f>IF(COUNTIF(L302:AY302,"&lt;&gt;")=0,"",SUMPRODUCT(((Recommendations[ImplStatus]="Implemented")+(Recommendations[ImplStatus]="Compensated"))*ISNUMBER(MATCH(Recommendations[Id],L302:AY302,0)))/COUNTIF(L302:AY302,"&lt;&gt;"))</f>
        <v/>
      </c>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43"/>
      <c r="AV302" s="243"/>
      <c r="AW302" s="243"/>
      <c r="AX302" s="243"/>
      <c r="AY302" s="253"/>
    </row>
    <row r="303" spans="1:51" ht="60" customHeight="1" x14ac:dyDescent="0.35">
      <c r="A303" s="249" t="s">
        <v>4732</v>
      </c>
      <c r="B303" s="237" t="s">
        <v>4733</v>
      </c>
      <c r="C303" s="237" t="s">
        <v>4734</v>
      </c>
      <c r="D303" s="237" t="s">
        <v>4735</v>
      </c>
      <c r="E303" s="237" t="s">
        <v>21</v>
      </c>
      <c r="F303" s="237" t="s">
        <v>21</v>
      </c>
      <c r="G303" s="237" t="s">
        <v>21</v>
      </c>
      <c r="H303" s="237" t="s">
        <v>4736</v>
      </c>
      <c r="I303" s="237" t="s">
        <v>3639</v>
      </c>
      <c r="J303" s="237" t="s">
        <v>4737</v>
      </c>
      <c r="K303" s="240" t="str">
        <f>IF(COUNTIF(L303:AY303,"&lt;&gt;")=0,"",SUMPRODUCT(((Recommendations[ImplStatus]="Implemented")+(Recommendations[ImplStatus]="Compensated"))*ISNUMBER(MATCH(Recommendations[Id],L303:AY303,0)))/COUNTIF(L303:AY303,"&lt;&gt;"))</f>
        <v/>
      </c>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c r="AG303" s="243"/>
      <c r="AH303" s="243"/>
      <c r="AI303" s="243"/>
      <c r="AJ303" s="243"/>
      <c r="AK303" s="243"/>
      <c r="AL303" s="243"/>
      <c r="AM303" s="243"/>
      <c r="AN303" s="243"/>
      <c r="AO303" s="243"/>
      <c r="AP303" s="243"/>
      <c r="AQ303" s="243"/>
      <c r="AR303" s="243"/>
      <c r="AS303" s="243"/>
      <c r="AT303" s="243"/>
      <c r="AU303" s="243"/>
      <c r="AV303" s="243"/>
      <c r="AW303" s="243"/>
      <c r="AX303" s="243"/>
      <c r="AY303" s="253"/>
    </row>
    <row r="304" spans="1:51" ht="60" customHeight="1" x14ac:dyDescent="0.35">
      <c r="A304" s="249" t="s">
        <v>4738</v>
      </c>
      <c r="B304" s="237" t="s">
        <v>4739</v>
      </c>
      <c r="C304" s="237" t="s">
        <v>4740</v>
      </c>
      <c r="D304" s="237" t="s">
        <v>4735</v>
      </c>
      <c r="E304" s="237" t="s">
        <v>21</v>
      </c>
      <c r="F304" s="237" t="s">
        <v>4741</v>
      </c>
      <c r="G304" s="237" t="s">
        <v>21</v>
      </c>
      <c r="H304" s="237" t="s">
        <v>4742</v>
      </c>
      <c r="I304" s="237" t="s">
        <v>21</v>
      </c>
      <c r="J304" s="237" t="s">
        <v>4743</v>
      </c>
      <c r="K304" s="240" t="str">
        <f>IF(COUNTIF(L304:AY304,"&lt;&gt;")=0,"",SUMPRODUCT(((Recommendations[ImplStatus]="Implemented")+(Recommendations[ImplStatus]="Compensated"))*ISNUMBER(MATCH(Recommendations[Id],L304:AY304,0)))/COUNTIF(L304:AY304,"&lt;&gt;"))</f>
        <v/>
      </c>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43"/>
      <c r="AV304" s="243"/>
      <c r="AW304" s="243"/>
      <c r="AX304" s="243"/>
      <c r="AY304" s="253"/>
    </row>
    <row r="305" spans="1:51" ht="60" customHeight="1" x14ac:dyDescent="0.35">
      <c r="A305" s="249" t="s">
        <v>4744</v>
      </c>
      <c r="B305" s="237" t="s">
        <v>4745</v>
      </c>
      <c r="C305" s="237" t="s">
        <v>4746</v>
      </c>
      <c r="D305" s="237" t="s">
        <v>4747</v>
      </c>
      <c r="E305" s="237" t="s">
        <v>21</v>
      </c>
      <c r="F305" s="237" t="s">
        <v>21</v>
      </c>
      <c r="G305" s="237" t="s">
        <v>21</v>
      </c>
      <c r="H305" s="237" t="s">
        <v>4748</v>
      </c>
      <c r="I305" s="237" t="s">
        <v>4749</v>
      </c>
      <c r="J305" s="237" t="s">
        <v>4750</v>
      </c>
      <c r="K305" s="240" t="str">
        <f>IF(COUNTIF(L305:AY305,"&lt;&gt;")=0,"",SUMPRODUCT(((Recommendations[ImplStatus]="Implemented")+(Recommendations[ImplStatus]="Compensated"))*ISNUMBER(MATCH(Recommendations[Id],L305:AY305,0)))/COUNTIF(L305:AY305,"&lt;&gt;"))</f>
        <v/>
      </c>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43"/>
      <c r="AV305" s="243"/>
      <c r="AW305" s="243"/>
      <c r="AX305" s="243"/>
      <c r="AY305" s="253"/>
    </row>
    <row r="306" spans="1:51" ht="60" customHeight="1" x14ac:dyDescent="0.35">
      <c r="A306" s="249" t="s">
        <v>4751</v>
      </c>
      <c r="B306" s="237" t="s">
        <v>4752</v>
      </c>
      <c r="C306" s="237" t="s">
        <v>4753</v>
      </c>
      <c r="D306" s="237" t="s">
        <v>4754</v>
      </c>
      <c r="E306" s="237" t="s">
        <v>21</v>
      </c>
      <c r="F306" s="237" t="s">
        <v>21</v>
      </c>
      <c r="G306" s="237" t="s">
        <v>21</v>
      </c>
      <c r="H306" s="237" t="s">
        <v>4755</v>
      </c>
      <c r="I306" s="237" t="s">
        <v>3639</v>
      </c>
      <c r="J306" s="237" t="s">
        <v>4756</v>
      </c>
      <c r="K306" s="240" t="str">
        <f>IF(COUNTIF(L306:AY306,"&lt;&gt;")=0,"",SUMPRODUCT(((Recommendations[ImplStatus]="Implemented")+(Recommendations[ImplStatus]="Compensated"))*ISNUMBER(MATCH(Recommendations[Id],L306:AY306,0)))/COUNTIF(L306:AY306,"&lt;&gt;"))</f>
        <v/>
      </c>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43"/>
      <c r="AV306" s="243"/>
      <c r="AW306" s="243"/>
      <c r="AX306" s="243"/>
      <c r="AY306" s="253"/>
    </row>
    <row r="307" spans="1:51" ht="60" customHeight="1" outlineLevel="1" x14ac:dyDescent="0.35">
      <c r="A307" s="248" t="s">
        <v>839</v>
      </c>
      <c r="B307" s="236" t="s">
        <v>4757</v>
      </c>
      <c r="C307" s="236"/>
      <c r="D307" s="236"/>
      <c r="E307" s="236"/>
      <c r="F307" s="236"/>
      <c r="G307" s="236"/>
      <c r="H307" s="236"/>
      <c r="I307" s="236"/>
      <c r="J307" s="236"/>
      <c r="K307" s="239" t="str">
        <f>IF(COUNTIF(L307:AY307,"&lt;&gt;")=0,"",SUMPRODUCT(((Recommendations[ImplStatus]="Implemented")+(Recommendations[ImplStatus]="Compensated"))*ISNUMBER(MATCH(Recommendations[Id],L307:AY307,0)))/COUNTIF(L307:AY307,"&lt;&gt;"))</f>
        <v/>
      </c>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52"/>
    </row>
    <row r="308" spans="1:51" ht="60" customHeight="1" x14ac:dyDescent="0.35">
      <c r="A308" s="249" t="s">
        <v>4758</v>
      </c>
      <c r="B308" s="237" t="s">
        <v>4759</v>
      </c>
      <c r="C308" s="237" t="s">
        <v>4760</v>
      </c>
      <c r="D308" s="237" t="s">
        <v>4754</v>
      </c>
      <c r="E308" s="237" t="s">
        <v>21</v>
      </c>
      <c r="F308" s="237" t="s">
        <v>4761</v>
      </c>
      <c r="G308" s="237" t="s">
        <v>21</v>
      </c>
      <c r="H308" s="237" t="s">
        <v>4762</v>
      </c>
      <c r="I308" s="237" t="s">
        <v>4763</v>
      </c>
      <c r="J308" s="237" t="s">
        <v>4764</v>
      </c>
      <c r="K308" s="240" t="str">
        <f>IF(COUNTIF(L308:AY308,"&lt;&gt;")=0,"",SUMPRODUCT(((Recommendations[ImplStatus]="Implemented")+(Recommendations[ImplStatus]="Compensated"))*ISNUMBER(MATCH(Recommendations[Id],L308:AY308,0)))/COUNTIF(L308:AY308,"&lt;&gt;"))</f>
        <v/>
      </c>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53"/>
    </row>
    <row r="309" spans="1:51" ht="60" customHeight="1" outlineLevel="1" x14ac:dyDescent="0.35">
      <c r="A309" s="248" t="s">
        <v>843</v>
      </c>
      <c r="B309" s="236" t="s">
        <v>4765</v>
      </c>
      <c r="C309" s="236"/>
      <c r="D309" s="236"/>
      <c r="E309" s="236"/>
      <c r="F309" s="236"/>
      <c r="G309" s="236"/>
      <c r="H309" s="236"/>
      <c r="I309" s="236"/>
      <c r="J309" s="236"/>
      <c r="K309" s="239" t="str">
        <f>IF(COUNTIF(L309:AY309,"&lt;&gt;")=0,"",SUMPRODUCT(((Recommendations[ImplStatus]="Implemented")+(Recommendations[ImplStatus]="Compensated"))*ISNUMBER(MATCH(Recommendations[Id],L309:AY309,0)))/COUNTIF(L309:AY309,"&lt;&gt;"))</f>
        <v/>
      </c>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52"/>
    </row>
    <row r="310" spans="1:51" ht="60" customHeight="1" x14ac:dyDescent="0.35">
      <c r="A310" s="249" t="s">
        <v>4766</v>
      </c>
      <c r="B310" s="237" t="s">
        <v>4767</v>
      </c>
      <c r="C310" s="237" t="s">
        <v>4768</v>
      </c>
      <c r="D310" s="237" t="s">
        <v>21</v>
      </c>
      <c r="E310" s="237" t="s">
        <v>21</v>
      </c>
      <c r="F310" s="237" t="s">
        <v>4769</v>
      </c>
      <c r="G310" s="237" t="s">
        <v>21</v>
      </c>
      <c r="H310" s="237" t="s">
        <v>4770</v>
      </c>
      <c r="I310" s="237" t="s">
        <v>4771</v>
      </c>
      <c r="J310" s="237" t="s">
        <v>4772</v>
      </c>
      <c r="K310" s="240" t="str">
        <f>IF(COUNTIF(L310:AY310,"&lt;&gt;")=0,"",SUMPRODUCT(((Recommendations[ImplStatus]="Implemented")+(Recommendations[ImplStatus]="Compensated"))*ISNUMBER(MATCH(Recommendations[Id],L310:AY310,0)))/COUNTIF(L310:AY310,"&lt;&gt;"))</f>
        <v/>
      </c>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43"/>
      <c r="AV310" s="243"/>
      <c r="AW310" s="243"/>
      <c r="AX310" s="243"/>
      <c r="AY310" s="253"/>
    </row>
    <row r="311" spans="1:51" ht="60" customHeight="1" x14ac:dyDescent="0.35">
      <c r="A311" s="249" t="s">
        <v>4773</v>
      </c>
      <c r="B311" s="237" t="s">
        <v>4774</v>
      </c>
      <c r="C311" s="237" t="s">
        <v>4775</v>
      </c>
      <c r="D311" s="237" t="s">
        <v>4776</v>
      </c>
      <c r="E311" s="237" t="s">
        <v>21</v>
      </c>
      <c r="F311" s="237" t="s">
        <v>21</v>
      </c>
      <c r="G311" s="237" t="s">
        <v>4777</v>
      </c>
      <c r="H311" s="237" t="s">
        <v>4778</v>
      </c>
      <c r="I311" s="237" t="s">
        <v>21</v>
      </c>
      <c r="J311" s="237" t="s">
        <v>4779</v>
      </c>
      <c r="K311" s="240" t="str">
        <f>IF(COUNTIF(L311:AY311,"&lt;&gt;")=0,"",SUMPRODUCT(((Recommendations[ImplStatus]="Implemented")+(Recommendations[ImplStatus]="Compensated"))*ISNUMBER(MATCH(Recommendations[Id],L311:AY311,0)))/COUNTIF(L311:AY311,"&lt;&gt;"))</f>
        <v/>
      </c>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43"/>
      <c r="AV311" s="243"/>
      <c r="AW311" s="243"/>
      <c r="AX311" s="243"/>
      <c r="AY311" s="253"/>
    </row>
    <row r="312" spans="1:51" ht="60" customHeight="1" x14ac:dyDescent="0.35">
      <c r="A312" s="249" t="s">
        <v>4780</v>
      </c>
      <c r="B312" s="237" t="s">
        <v>4781</v>
      </c>
      <c r="C312" s="237" t="s">
        <v>4782</v>
      </c>
      <c r="D312" s="237" t="s">
        <v>4783</v>
      </c>
      <c r="E312" s="237" t="s">
        <v>21</v>
      </c>
      <c r="F312" s="237" t="s">
        <v>21</v>
      </c>
      <c r="G312" s="237" t="s">
        <v>21</v>
      </c>
      <c r="H312" s="237" t="s">
        <v>4784</v>
      </c>
      <c r="I312" s="237" t="s">
        <v>21</v>
      </c>
      <c r="J312" s="237" t="s">
        <v>4785</v>
      </c>
      <c r="K312" s="240" t="str">
        <f>IF(COUNTIF(L312:AY312,"&lt;&gt;")=0,"",SUMPRODUCT(((Recommendations[ImplStatus]="Implemented")+(Recommendations[ImplStatus]="Compensated"))*ISNUMBER(MATCH(Recommendations[Id],L312:AY312,0)))/COUNTIF(L312:AY312,"&lt;&gt;"))</f>
        <v/>
      </c>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53"/>
    </row>
    <row r="313" spans="1:51" ht="60" customHeight="1" x14ac:dyDescent="0.35">
      <c r="A313" s="249" t="s">
        <v>4786</v>
      </c>
      <c r="B313" s="237" t="s">
        <v>4787</v>
      </c>
      <c r="C313" s="237" t="s">
        <v>4788</v>
      </c>
      <c r="D313" s="237" t="s">
        <v>4789</v>
      </c>
      <c r="E313" s="237" t="s">
        <v>21</v>
      </c>
      <c r="F313" s="237" t="s">
        <v>21</v>
      </c>
      <c r="G313" s="237" t="s">
        <v>4790</v>
      </c>
      <c r="H313" s="237" t="s">
        <v>4791</v>
      </c>
      <c r="I313" s="237" t="s">
        <v>4792</v>
      </c>
      <c r="J313" s="237" t="s">
        <v>4793</v>
      </c>
      <c r="K313" s="240" t="str">
        <f>IF(COUNTIF(L313:AY313,"&lt;&gt;")=0,"",SUMPRODUCT(((Recommendations[ImplStatus]="Implemented")+(Recommendations[ImplStatus]="Compensated"))*ISNUMBER(MATCH(Recommendations[Id],L313:AY313,0)))/COUNTIF(L313:AY313,"&lt;&gt;"))</f>
        <v/>
      </c>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43"/>
      <c r="AV313" s="243"/>
      <c r="AW313" s="243"/>
      <c r="AX313" s="243"/>
      <c r="AY313" s="253"/>
    </row>
    <row r="314" spans="1:51" ht="60" customHeight="1" x14ac:dyDescent="0.35">
      <c r="A314" s="249" t="s">
        <v>4794</v>
      </c>
      <c r="B314" s="237" t="s">
        <v>4795</v>
      </c>
      <c r="C314" s="237" t="s">
        <v>4796</v>
      </c>
      <c r="D314" s="237" t="s">
        <v>4797</v>
      </c>
      <c r="E314" s="237" t="s">
        <v>21</v>
      </c>
      <c r="F314" s="237" t="s">
        <v>21</v>
      </c>
      <c r="G314" s="237" t="s">
        <v>4798</v>
      </c>
      <c r="H314" s="237" t="s">
        <v>4799</v>
      </c>
      <c r="I314" s="237" t="s">
        <v>4800</v>
      </c>
      <c r="J314" s="237" t="s">
        <v>4801</v>
      </c>
      <c r="K314" s="240" t="str">
        <f>IF(COUNTIF(L314:AY314,"&lt;&gt;")=0,"",SUMPRODUCT(((Recommendations[ImplStatus]="Implemented")+(Recommendations[ImplStatus]="Compensated"))*ISNUMBER(MATCH(Recommendations[Id],L314:AY314,0)))/COUNTIF(L314:AY314,"&lt;&gt;"))</f>
        <v/>
      </c>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43"/>
      <c r="AV314" s="243"/>
      <c r="AW314" s="243"/>
      <c r="AX314" s="243"/>
      <c r="AY314" s="253"/>
    </row>
    <row r="315" spans="1:51" ht="60" customHeight="1" outlineLevel="1" x14ac:dyDescent="0.35">
      <c r="A315" s="248" t="s">
        <v>4802</v>
      </c>
      <c r="B315" s="236" t="s">
        <v>4803</v>
      </c>
      <c r="C315" s="236"/>
      <c r="D315" s="236"/>
      <c r="E315" s="236"/>
      <c r="F315" s="236"/>
      <c r="G315" s="236"/>
      <c r="H315" s="236"/>
      <c r="I315" s="236"/>
      <c r="J315" s="236"/>
      <c r="K315" s="239" t="str">
        <f>IF(COUNTIF(L315:AY315,"&lt;&gt;")=0,"",SUMPRODUCT(((Recommendations[ImplStatus]="Implemented")+(Recommendations[ImplStatus]="Compensated"))*ISNUMBER(MATCH(Recommendations[Id],L315:AY315,0)))/COUNTIF(L315:AY315,"&lt;&gt;"))</f>
        <v/>
      </c>
      <c r="L315" s="242"/>
      <c r="M315" s="242"/>
      <c r="N315" s="242"/>
      <c r="O315" s="242"/>
      <c r="P315" s="242"/>
      <c r="Q315" s="242"/>
      <c r="R315" s="242"/>
      <c r="S315" s="242"/>
      <c r="T315" s="242"/>
      <c r="U315" s="242"/>
      <c r="V315" s="242"/>
      <c r="W315" s="242"/>
      <c r="X315" s="242"/>
      <c r="Y315" s="242"/>
      <c r="Z315" s="242"/>
      <c r="AA315" s="242"/>
      <c r="AB315" s="242"/>
      <c r="AC315" s="242"/>
      <c r="AD315" s="242"/>
      <c r="AE315" s="242"/>
      <c r="AF315" s="242"/>
      <c r="AG315" s="242"/>
      <c r="AH315" s="242"/>
      <c r="AI315" s="242"/>
      <c r="AJ315" s="242"/>
      <c r="AK315" s="242"/>
      <c r="AL315" s="242"/>
      <c r="AM315" s="242"/>
      <c r="AN315" s="242"/>
      <c r="AO315" s="242"/>
      <c r="AP315" s="242"/>
      <c r="AQ315" s="242"/>
      <c r="AR315" s="242"/>
      <c r="AS315" s="242"/>
      <c r="AT315" s="242"/>
      <c r="AU315" s="242"/>
      <c r="AV315" s="242"/>
      <c r="AW315" s="242"/>
      <c r="AX315" s="242"/>
      <c r="AY315" s="252"/>
    </row>
    <row r="316" spans="1:51" ht="60" customHeight="1" x14ac:dyDescent="0.35">
      <c r="A316" s="249" t="s">
        <v>4804</v>
      </c>
      <c r="B316" s="237" t="s">
        <v>4805</v>
      </c>
      <c r="C316" s="237" t="s">
        <v>4806</v>
      </c>
      <c r="D316" s="237" t="s">
        <v>21</v>
      </c>
      <c r="E316" s="237" t="s">
        <v>21</v>
      </c>
      <c r="F316" s="237" t="s">
        <v>21</v>
      </c>
      <c r="G316" s="237" t="s">
        <v>21</v>
      </c>
      <c r="H316" s="237" t="s">
        <v>4807</v>
      </c>
      <c r="I316" s="237" t="s">
        <v>4808</v>
      </c>
      <c r="J316" s="237" t="s">
        <v>4809</v>
      </c>
      <c r="K316" s="240" t="str">
        <f>IF(COUNTIF(L316:AY316,"&lt;&gt;")=0,"",SUMPRODUCT(((Recommendations[ImplStatus]="Implemented")+(Recommendations[ImplStatus]="Compensated"))*ISNUMBER(MATCH(Recommendations[Id],L316:AY316,0)))/COUNTIF(L316:AY316,"&lt;&gt;"))</f>
        <v/>
      </c>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43"/>
      <c r="AV316" s="243"/>
      <c r="AW316" s="243"/>
      <c r="AX316" s="243"/>
      <c r="AY316" s="253"/>
    </row>
    <row r="317" spans="1:51" ht="60" customHeight="1" x14ac:dyDescent="0.35">
      <c r="A317" s="249" t="s">
        <v>4810</v>
      </c>
      <c r="B317" s="237" t="s">
        <v>4811</v>
      </c>
      <c r="C317" s="237" t="s">
        <v>21</v>
      </c>
      <c r="D317" s="237" t="s">
        <v>21</v>
      </c>
      <c r="E317" s="237" t="s">
        <v>21</v>
      </c>
      <c r="F317" s="237" t="s">
        <v>21</v>
      </c>
      <c r="G317" s="237" t="s">
        <v>21</v>
      </c>
      <c r="H317" s="237" t="s">
        <v>21</v>
      </c>
      <c r="I317" s="237" t="s">
        <v>21</v>
      </c>
      <c r="J317" s="237" t="s">
        <v>21</v>
      </c>
      <c r="K317" s="240" t="str">
        <f>IF(COUNTIF(L317:AY317,"&lt;&gt;")=0,"",SUMPRODUCT(((Recommendations[ImplStatus]="Implemented")+(Recommendations[ImplStatus]="Compensated"))*ISNUMBER(MATCH(Recommendations[Id],L317:AY317,0)))/COUNTIF(L317:AY317,"&lt;&gt;"))</f>
        <v/>
      </c>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43"/>
      <c r="AV317" s="243"/>
      <c r="AW317" s="243"/>
      <c r="AX317" s="243"/>
      <c r="AY317" s="253"/>
    </row>
    <row r="318" spans="1:51" ht="60" customHeight="1" outlineLevel="1" x14ac:dyDescent="0.35">
      <c r="A318" s="248" t="s">
        <v>4812</v>
      </c>
      <c r="B318" s="236" t="s">
        <v>4813</v>
      </c>
      <c r="C318" s="236"/>
      <c r="D318" s="236"/>
      <c r="E318" s="236"/>
      <c r="F318" s="236"/>
      <c r="G318" s="236"/>
      <c r="H318" s="236"/>
      <c r="I318" s="236"/>
      <c r="J318" s="236"/>
      <c r="K318" s="239" t="str">
        <f>IF(COUNTIF(L318:AY318,"&lt;&gt;")=0,"",SUMPRODUCT(((Recommendations[ImplStatus]="Implemented")+(Recommendations[ImplStatus]="Compensated"))*ISNUMBER(MATCH(Recommendations[Id],L318:AY318,0)))/COUNTIF(L318:AY318,"&lt;&gt;"))</f>
        <v/>
      </c>
      <c r="L318" s="242"/>
      <c r="M318" s="242"/>
      <c r="N318" s="242"/>
      <c r="O318" s="242"/>
      <c r="P318" s="242"/>
      <c r="Q318" s="242"/>
      <c r="R318" s="242"/>
      <c r="S318" s="242"/>
      <c r="T318" s="242"/>
      <c r="U318" s="242"/>
      <c r="V318" s="242"/>
      <c r="W318" s="242"/>
      <c r="X318" s="242"/>
      <c r="Y318" s="242"/>
      <c r="Z318" s="242"/>
      <c r="AA318" s="242"/>
      <c r="AB318" s="242"/>
      <c r="AC318" s="242"/>
      <c r="AD318" s="242"/>
      <c r="AE318" s="242"/>
      <c r="AF318" s="242"/>
      <c r="AG318" s="242"/>
      <c r="AH318" s="242"/>
      <c r="AI318" s="242"/>
      <c r="AJ318" s="242"/>
      <c r="AK318" s="242"/>
      <c r="AL318" s="242"/>
      <c r="AM318" s="242"/>
      <c r="AN318" s="242"/>
      <c r="AO318" s="242"/>
      <c r="AP318" s="242"/>
      <c r="AQ318" s="242"/>
      <c r="AR318" s="242"/>
      <c r="AS318" s="242"/>
      <c r="AT318" s="242"/>
      <c r="AU318" s="242"/>
      <c r="AV318" s="242"/>
      <c r="AW318" s="242"/>
      <c r="AX318" s="242"/>
      <c r="AY318" s="252"/>
    </row>
    <row r="319" spans="1:51" ht="60" customHeight="1" x14ac:dyDescent="0.35">
      <c r="A319" s="249" t="s">
        <v>4814</v>
      </c>
      <c r="B319" s="237" t="s">
        <v>4815</v>
      </c>
      <c r="C319" s="237" t="s">
        <v>4816</v>
      </c>
      <c r="D319" s="237" t="s">
        <v>4817</v>
      </c>
      <c r="E319" s="237" t="s">
        <v>21</v>
      </c>
      <c r="F319" s="237" t="s">
        <v>4818</v>
      </c>
      <c r="G319" s="237" t="s">
        <v>4819</v>
      </c>
      <c r="H319" s="237" t="s">
        <v>4820</v>
      </c>
      <c r="I319" s="237" t="s">
        <v>21</v>
      </c>
      <c r="J319" s="237" t="s">
        <v>4821</v>
      </c>
      <c r="K319" s="240" t="str">
        <f>IF(COUNTIF(L319:AY319,"&lt;&gt;")=0,"",SUMPRODUCT(((Recommendations[ImplStatus]="Implemented")+(Recommendations[ImplStatus]="Compensated"))*ISNUMBER(MATCH(Recommendations[Id],L319:AY319,0)))/COUNTIF(L319:AY319,"&lt;&gt;"))</f>
        <v/>
      </c>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43"/>
      <c r="AV319" s="243"/>
      <c r="AW319" s="243"/>
      <c r="AX319" s="243"/>
      <c r="AY319" s="253"/>
    </row>
    <row r="320" spans="1:51" ht="60" customHeight="1" x14ac:dyDescent="0.35">
      <c r="A320" s="249" t="s">
        <v>4822</v>
      </c>
      <c r="B320" s="237" t="s">
        <v>4823</v>
      </c>
      <c r="C320" s="237" t="s">
        <v>4824</v>
      </c>
      <c r="D320" s="237" t="s">
        <v>4825</v>
      </c>
      <c r="E320" s="237" t="s">
        <v>21</v>
      </c>
      <c r="F320" s="237" t="s">
        <v>21</v>
      </c>
      <c r="G320" s="237" t="s">
        <v>21</v>
      </c>
      <c r="H320" s="237" t="s">
        <v>4826</v>
      </c>
      <c r="I320" s="237" t="s">
        <v>21</v>
      </c>
      <c r="J320" s="237" t="s">
        <v>21</v>
      </c>
      <c r="K320" s="240" t="str">
        <f>IF(COUNTIF(L320:AY320,"&lt;&gt;")=0,"",SUMPRODUCT(((Recommendations[ImplStatus]="Implemented")+(Recommendations[ImplStatus]="Compensated"))*ISNUMBER(MATCH(Recommendations[Id],L320:AY320,0)))/COUNTIF(L320:AY320,"&lt;&gt;"))</f>
        <v/>
      </c>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53"/>
    </row>
    <row r="321" spans="1:51" ht="60" customHeight="1" x14ac:dyDescent="0.35">
      <c r="A321" s="249" t="s">
        <v>4827</v>
      </c>
      <c r="B321" s="237" t="s">
        <v>4828</v>
      </c>
      <c r="C321" s="237" t="s">
        <v>4829</v>
      </c>
      <c r="D321" s="237" t="s">
        <v>4830</v>
      </c>
      <c r="E321" s="237" t="s">
        <v>21</v>
      </c>
      <c r="F321" s="237" t="s">
        <v>21</v>
      </c>
      <c r="G321" s="237" t="s">
        <v>21</v>
      </c>
      <c r="H321" s="237" t="s">
        <v>4831</v>
      </c>
      <c r="I321" s="237" t="s">
        <v>21</v>
      </c>
      <c r="J321" s="237" t="s">
        <v>4832</v>
      </c>
      <c r="K321" s="240" t="str">
        <f>IF(COUNTIF(L321:AY321,"&lt;&gt;")=0,"",SUMPRODUCT(((Recommendations[ImplStatus]="Implemented")+(Recommendations[ImplStatus]="Compensated"))*ISNUMBER(MATCH(Recommendations[Id],L321:AY321,0)))/COUNTIF(L321:AY321,"&lt;&gt;"))</f>
        <v/>
      </c>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53"/>
    </row>
    <row r="322" spans="1:51" ht="60" customHeight="1" x14ac:dyDescent="0.35">
      <c r="A322" s="249" t="s">
        <v>4833</v>
      </c>
      <c r="B322" s="237" t="s">
        <v>4834</v>
      </c>
      <c r="C322" s="237" t="s">
        <v>4835</v>
      </c>
      <c r="D322" s="237" t="s">
        <v>4836</v>
      </c>
      <c r="E322" s="237" t="s">
        <v>21</v>
      </c>
      <c r="F322" s="237" t="s">
        <v>21</v>
      </c>
      <c r="G322" s="237" t="s">
        <v>21</v>
      </c>
      <c r="H322" s="237" t="s">
        <v>4837</v>
      </c>
      <c r="I322" s="237" t="s">
        <v>21</v>
      </c>
      <c r="J322" s="237" t="s">
        <v>4838</v>
      </c>
      <c r="K322" s="240" t="str">
        <f>IF(COUNTIF(L322:AY322,"&lt;&gt;")=0,"",SUMPRODUCT(((Recommendations[ImplStatus]="Implemented")+(Recommendations[ImplStatus]="Compensated"))*ISNUMBER(MATCH(Recommendations[Id],L322:AY322,0)))/COUNTIF(L322:AY322,"&lt;&gt;"))</f>
        <v/>
      </c>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53"/>
    </row>
    <row r="323" spans="1:51" ht="60" customHeight="1" x14ac:dyDescent="0.35">
      <c r="A323" s="249" t="s">
        <v>4839</v>
      </c>
      <c r="B323" s="237" t="s">
        <v>4840</v>
      </c>
      <c r="C323" s="237" t="s">
        <v>4841</v>
      </c>
      <c r="D323" s="237" t="s">
        <v>21</v>
      </c>
      <c r="E323" s="237" t="s">
        <v>21</v>
      </c>
      <c r="F323" s="237" t="s">
        <v>21</v>
      </c>
      <c r="G323" s="237" t="s">
        <v>21</v>
      </c>
      <c r="H323" s="237" t="s">
        <v>4842</v>
      </c>
      <c r="I323" s="237" t="s">
        <v>3639</v>
      </c>
      <c r="J323" s="237" t="s">
        <v>4843</v>
      </c>
      <c r="K323" s="240" t="str">
        <f>IF(COUNTIF(L323:AY323,"&lt;&gt;")=0,"",SUMPRODUCT(((Recommendations[ImplStatus]="Implemented")+(Recommendations[ImplStatus]="Compensated"))*ISNUMBER(MATCH(Recommendations[Id],L323:AY323,0)))/COUNTIF(L323:AY323,"&lt;&gt;"))</f>
        <v/>
      </c>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43"/>
      <c r="AV323" s="243"/>
      <c r="AW323" s="243"/>
      <c r="AX323" s="243"/>
      <c r="AY323" s="253"/>
    </row>
    <row r="324" spans="1:51" ht="60" customHeight="1" x14ac:dyDescent="0.35">
      <c r="A324" s="249" t="s">
        <v>4844</v>
      </c>
      <c r="B324" s="237" t="s">
        <v>4845</v>
      </c>
      <c r="C324" s="237" t="s">
        <v>4846</v>
      </c>
      <c r="D324" s="237" t="s">
        <v>21</v>
      </c>
      <c r="E324" s="237" t="s">
        <v>21</v>
      </c>
      <c r="F324" s="237" t="s">
        <v>21</v>
      </c>
      <c r="G324" s="237" t="s">
        <v>21</v>
      </c>
      <c r="H324" s="237" t="s">
        <v>4847</v>
      </c>
      <c r="I324" s="237" t="s">
        <v>4848</v>
      </c>
      <c r="J324" s="237" t="s">
        <v>4849</v>
      </c>
      <c r="K324" s="240" t="str">
        <f>IF(COUNTIF(L324:AY324,"&lt;&gt;")=0,"",SUMPRODUCT(((Recommendations[ImplStatus]="Implemented")+(Recommendations[ImplStatus]="Compensated"))*ISNUMBER(MATCH(Recommendations[Id],L324:AY324,0)))/COUNTIF(L324:AY324,"&lt;&gt;"))</f>
        <v/>
      </c>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43"/>
      <c r="AV324" s="243"/>
      <c r="AW324" s="243"/>
      <c r="AX324" s="243"/>
      <c r="AY324" s="253"/>
    </row>
    <row r="325" spans="1:51" ht="60" customHeight="1" x14ac:dyDescent="0.35">
      <c r="A325" s="249" t="s">
        <v>4850</v>
      </c>
      <c r="B325" s="237" t="s">
        <v>4851</v>
      </c>
      <c r="C325" s="237" t="s">
        <v>4852</v>
      </c>
      <c r="D325" s="237" t="s">
        <v>4853</v>
      </c>
      <c r="E325" s="237" t="s">
        <v>21</v>
      </c>
      <c r="F325" s="237" t="s">
        <v>21</v>
      </c>
      <c r="G325" s="237" t="s">
        <v>21</v>
      </c>
      <c r="H325" s="237" t="s">
        <v>4854</v>
      </c>
      <c r="I325" s="237" t="s">
        <v>21</v>
      </c>
      <c r="J325" s="237" t="s">
        <v>4855</v>
      </c>
      <c r="K325" s="240" t="str">
        <f>IF(COUNTIF(L325:AY325,"&lt;&gt;")=0,"",SUMPRODUCT(((Recommendations[ImplStatus]="Implemented")+(Recommendations[ImplStatus]="Compensated"))*ISNUMBER(MATCH(Recommendations[Id],L325:AY325,0)))/COUNTIF(L325:AY325,"&lt;&gt;"))</f>
        <v/>
      </c>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43"/>
      <c r="AV325" s="243"/>
      <c r="AW325" s="243"/>
      <c r="AX325" s="243"/>
      <c r="AY325" s="253"/>
    </row>
    <row r="326" spans="1:51" ht="60" customHeight="1" x14ac:dyDescent="0.35">
      <c r="A326" s="250" t="s">
        <v>4856</v>
      </c>
      <c r="B326" s="244" t="s">
        <v>4857</v>
      </c>
      <c r="C326" s="244" t="s">
        <v>4858</v>
      </c>
      <c r="D326" s="244" t="s">
        <v>4859</v>
      </c>
      <c r="E326" s="244" t="s">
        <v>21</v>
      </c>
      <c r="F326" s="244" t="s">
        <v>21</v>
      </c>
      <c r="G326" s="244" t="s">
        <v>21</v>
      </c>
      <c r="H326" s="244" t="s">
        <v>4860</v>
      </c>
      <c r="I326" s="244" t="s">
        <v>3639</v>
      </c>
      <c r="J326" s="244" t="s">
        <v>4861</v>
      </c>
      <c r="K326" s="245" t="str">
        <f>IF(COUNTIF(L326:AY326,"&lt;&gt;")=0,"",SUMPRODUCT(((Recommendations[ImplStatus]="Implemented")+(Recommendations[ImplStatus]="Compensated"))*ISNUMBER(MATCH(Recommendations[Id],L326:AY326,0)))/COUNTIF(L326:AY326,"&lt;&gt;"))</f>
        <v/>
      </c>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46"/>
      <c r="AV326" s="246"/>
      <c r="AW326" s="246"/>
      <c r="AX326" s="246"/>
      <c r="AY326" s="254"/>
    </row>
    <row r="330" spans="1:51" ht="32" customHeight="1" x14ac:dyDescent="0.35">
      <c r="A330" s="291" t="s">
        <v>124</v>
      </c>
      <c r="B330" s="291"/>
      <c r="C330" s="291"/>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IFERROR(INDEX('Recommendations'!$H$2:$H$22, MATCH(L2,'Recommendations'!$A$2:$A$22,0))="Implemented", FALSE))</xm:f>
            <x14:dxf>
              <font>
                <color rgb="FF000000"/>
              </font>
              <fill>
                <patternFill>
                  <bgColor rgb="FF3C7D22"/>
                </patternFill>
              </fill>
            </x14:dxf>
          </x14:cfRule>
          <x14:cfRule type="expression" priority="2" id="{00000000-000E-0000-0A00-000002000000}">
            <xm:f>AND(L2&lt;&gt;"", IFERROR(INDEX('Recommendations'!$H$2:$H$22, MATCH(L2,'Recommendations'!$A$2:$A$22,0))="Compensated", FALSE))</xm:f>
            <x14:dxf>
              <font>
                <color rgb="FF000000"/>
              </font>
              <fill>
                <patternFill>
                  <bgColor rgb="FFC6E0B4"/>
                </patternFill>
              </fill>
            </x14:dxf>
          </x14:cfRule>
          <x14:cfRule type="expression" priority="3" id="{00000000-000E-0000-0A00-000003000000}">
            <xm:f>AND(L2&lt;&gt;"", IFERROR(INDEX('Recommendations'!$H$2:$H$22, MATCH(L2,'Recommendations'!$A$2:$A$22,0))="Testing", FALSE))</xm:f>
            <x14:dxf>
              <font>
                <color rgb="FF000000"/>
              </font>
              <fill>
                <patternFill>
                  <bgColor rgb="FFFFC000"/>
                </patternFill>
              </fill>
            </x14:dxf>
          </x14:cfRule>
          <x14:cfRule type="expression" priority="4" id="{00000000-000E-0000-0A00-000004000000}">
            <xm:f>AND(L2&lt;&gt;"", IFERROR(INDEX('Recommendations'!$H$2:$H$22, MATCH(L2,'Recommendations'!$A$2:$A$22,0))="Failed", FALSE))</xm:f>
            <x14:dxf>
              <font>
                <color rgb="FF000000"/>
              </font>
              <fill>
                <patternFill>
                  <bgColor rgb="FFD82891"/>
                </patternFill>
              </fill>
            </x14:dxf>
          </x14:cfRule>
          <x14:cfRule type="expression" priority="5" id="{00000000-000E-0000-0A00-000005000000}">
            <xm:f>AND(L2&lt;&gt;"", IFERROR(INDEX('Recommendations'!$H$2:$H$22, MATCH(L2,'Recommendations'!$A$2:$A$22,0))="Risk Accepted", FALSE))</xm:f>
            <x14:dxf>
              <font>
                <color rgb="FF000000"/>
              </font>
              <fill>
                <patternFill>
                  <bgColor rgb="FFD9D9D9"/>
                </patternFill>
              </fill>
            </x14:dxf>
          </x14:cfRule>
          <x14:cfRule type="expression" priority="6" id="{00000000-000E-0000-0A00-000006000000}">
            <xm:f>AND(L2&lt;&gt;"", IFERROR(INDEX('Recommendations'!$H$2:$H$22, MATCH(L2,'Recommendations'!$A$2:$A$22,0))="N/A",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8" t="s">
        <v>2010</v>
      </c>
      <c r="B1" s="289" t="s">
        <v>2895</v>
      </c>
      <c r="C1" s="289" t="s">
        <v>0</v>
      </c>
      <c r="D1" s="289" t="s">
        <v>373</v>
      </c>
      <c r="E1" s="289" t="s">
        <v>4862</v>
      </c>
      <c r="F1" s="289" t="s">
        <v>4863</v>
      </c>
      <c r="G1" s="289" t="s">
        <v>378</v>
      </c>
      <c r="H1" s="289" t="s">
        <v>379</v>
      </c>
      <c r="I1" s="289" t="s">
        <v>380</v>
      </c>
      <c r="J1" s="289" t="s">
        <v>381</v>
      </c>
      <c r="K1" s="289" t="s">
        <v>382</v>
      </c>
      <c r="L1" s="289" t="s">
        <v>383</v>
      </c>
      <c r="M1" s="289" t="s">
        <v>384</v>
      </c>
      <c r="N1" s="289" t="s">
        <v>385</v>
      </c>
      <c r="O1" s="289" t="s">
        <v>386</v>
      </c>
      <c r="P1" s="289" t="s">
        <v>387</v>
      </c>
      <c r="Q1" s="289" t="s">
        <v>388</v>
      </c>
      <c r="R1" s="289" t="s">
        <v>389</v>
      </c>
      <c r="S1" s="289" t="s">
        <v>390</v>
      </c>
      <c r="T1" s="289" t="s">
        <v>391</v>
      </c>
      <c r="U1" s="289" t="s">
        <v>392</v>
      </c>
      <c r="V1" s="289" t="s">
        <v>393</v>
      </c>
      <c r="W1" s="289" t="s">
        <v>394</v>
      </c>
      <c r="X1" s="289" t="s">
        <v>395</v>
      </c>
      <c r="Y1" s="289" t="s">
        <v>396</v>
      </c>
      <c r="Z1" s="289" t="s">
        <v>397</v>
      </c>
      <c r="AA1" s="289" t="s">
        <v>398</v>
      </c>
      <c r="AB1" s="289" t="s">
        <v>399</v>
      </c>
      <c r="AC1" s="289" t="s">
        <v>400</v>
      </c>
      <c r="AD1" s="289" t="s">
        <v>401</v>
      </c>
      <c r="AE1" s="289" t="s">
        <v>402</v>
      </c>
      <c r="AF1" s="289" t="s">
        <v>403</v>
      </c>
      <c r="AG1" s="289" t="s">
        <v>404</v>
      </c>
      <c r="AH1" s="289" t="s">
        <v>405</v>
      </c>
      <c r="AI1" s="289" t="s">
        <v>406</v>
      </c>
      <c r="AJ1" s="289" t="s">
        <v>407</v>
      </c>
      <c r="AK1" s="289" t="s">
        <v>408</v>
      </c>
      <c r="AL1" s="289" t="s">
        <v>409</v>
      </c>
      <c r="AM1" s="289" t="s">
        <v>410</v>
      </c>
      <c r="AN1" s="289" t="s">
        <v>411</v>
      </c>
      <c r="AO1" s="289" t="s">
        <v>412</v>
      </c>
      <c r="AP1" s="289" t="s">
        <v>413</v>
      </c>
      <c r="AQ1" s="289" t="s">
        <v>414</v>
      </c>
      <c r="AR1" s="289" t="s">
        <v>415</v>
      </c>
      <c r="AS1" s="289" t="s">
        <v>416</v>
      </c>
      <c r="AT1" s="289" t="s">
        <v>417</v>
      </c>
      <c r="AU1" s="290" t="s">
        <v>418</v>
      </c>
    </row>
    <row r="2" spans="1:47" ht="60" customHeight="1" outlineLevel="1" x14ac:dyDescent="0.35">
      <c r="A2" s="280" t="s">
        <v>4864</v>
      </c>
      <c r="B2" s="258"/>
      <c r="C2" s="258"/>
      <c r="D2" s="262"/>
      <c r="E2" s="258"/>
      <c r="F2" s="266"/>
      <c r="G2" s="269" t="str">
        <f>IF(COUNTIF(H2:AU2,"&lt;&gt;")=0,"",SUMPRODUCT(((Recommendations[ImplStatus]="Implemented")+(Recommendations[ImplStatus]="Compensated"))*ISNUMBER(MATCH(Recommendations[Id],H2:AU2,0)))/COUNTIF(H2:AU2,"&lt;&gt;"))</f>
        <v/>
      </c>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84"/>
    </row>
    <row r="3" spans="1:47" ht="60" customHeight="1" outlineLevel="2" x14ac:dyDescent="0.35">
      <c r="A3" s="281" t="s">
        <v>4864</v>
      </c>
      <c r="B3" s="259" t="s">
        <v>4865</v>
      </c>
      <c r="C3" s="259"/>
      <c r="D3" s="263"/>
      <c r="E3" s="259"/>
      <c r="F3" s="267"/>
      <c r="G3" s="270" t="str">
        <f>IF(COUNTIF(H3:AU3,"&lt;&gt;")=0,"",SUMPRODUCT(((Recommendations[ImplStatus]="Implemented")+(Recommendations[ImplStatus]="Compensated"))*ISNUMBER(MATCH(Recommendations[Id],H3:AU3,0)))/COUNTIF(H3:AU3,"&lt;&gt;"))</f>
        <v/>
      </c>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85"/>
    </row>
    <row r="4" spans="1:47" ht="60" customHeight="1" x14ac:dyDescent="0.35">
      <c r="A4" s="282" t="s">
        <v>4864</v>
      </c>
      <c r="B4" s="260" t="s">
        <v>4865</v>
      </c>
      <c r="C4" s="261" t="s">
        <v>4866</v>
      </c>
      <c r="D4" s="264" t="s">
        <v>4867</v>
      </c>
      <c r="E4" s="265" t="s">
        <v>4868</v>
      </c>
      <c r="F4" s="268" t="s">
        <v>4869</v>
      </c>
      <c r="G4" s="271" t="str">
        <f>IF(COUNTIF(H4:AU4,"&lt;&gt;")=0,"",SUMPRODUCT(((Recommendations[ImplStatus]="Implemented")+(Recommendations[ImplStatus]="Compensated"))*ISNUMBER(MATCH(Recommendations[Id],H4:AU4,0)))/COUNTIF(H4:AU4,"&lt;&gt;"))</f>
        <v/>
      </c>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86"/>
    </row>
    <row r="5" spans="1:47" ht="60" customHeight="1" x14ac:dyDescent="0.35">
      <c r="A5" s="282" t="s">
        <v>4864</v>
      </c>
      <c r="B5" s="260" t="s">
        <v>4865</v>
      </c>
      <c r="C5" s="261" t="s">
        <v>4870</v>
      </c>
      <c r="D5" s="264" t="s">
        <v>4871</v>
      </c>
      <c r="E5" s="265" t="s">
        <v>4868</v>
      </c>
      <c r="F5" s="268" t="s">
        <v>4869</v>
      </c>
      <c r="G5" s="271" t="str">
        <f>IF(COUNTIF(H5:AU5,"&lt;&gt;")=0,"",SUMPRODUCT(((Recommendations[ImplStatus]="Implemented")+(Recommendations[ImplStatus]="Compensated"))*ISNUMBER(MATCH(Recommendations[Id],H5:AU5,0)))/COUNTIF(H5:AU5,"&lt;&gt;"))</f>
        <v/>
      </c>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86"/>
    </row>
    <row r="6" spans="1:47" ht="60" customHeight="1" x14ac:dyDescent="0.35">
      <c r="A6" s="282" t="s">
        <v>4864</v>
      </c>
      <c r="B6" s="260" t="s">
        <v>4865</v>
      </c>
      <c r="C6" s="261" t="s">
        <v>4872</v>
      </c>
      <c r="D6" s="264" t="s">
        <v>4873</v>
      </c>
      <c r="E6" s="265" t="s">
        <v>4868</v>
      </c>
      <c r="F6" s="268" t="s">
        <v>4869</v>
      </c>
      <c r="G6" s="271" t="str">
        <f>IF(COUNTIF(H6:AU6,"&lt;&gt;")=0,"",SUMPRODUCT(((Recommendations[ImplStatus]="Implemented")+(Recommendations[ImplStatus]="Compensated"))*ISNUMBER(MATCH(Recommendations[Id],H6:AU6,0)))/COUNTIF(H6:AU6,"&lt;&gt;"))</f>
        <v/>
      </c>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86"/>
    </row>
    <row r="7" spans="1:47" ht="60" customHeight="1" x14ac:dyDescent="0.35">
      <c r="A7" s="282" t="s">
        <v>4864</v>
      </c>
      <c r="B7" s="260" t="s">
        <v>4865</v>
      </c>
      <c r="C7" s="261" t="s">
        <v>4874</v>
      </c>
      <c r="D7" s="264" t="s">
        <v>4875</v>
      </c>
      <c r="E7" s="265" t="s">
        <v>4868</v>
      </c>
      <c r="F7" s="268" t="s">
        <v>4869</v>
      </c>
      <c r="G7" s="271" t="str">
        <f>IF(COUNTIF(H7:AU7,"&lt;&gt;")=0,"",SUMPRODUCT(((Recommendations[ImplStatus]="Implemented")+(Recommendations[ImplStatus]="Compensated"))*ISNUMBER(MATCH(Recommendations[Id],H7:AU7,0)))/COUNTIF(H7:AU7,"&lt;&gt;"))</f>
        <v/>
      </c>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86"/>
    </row>
    <row r="8" spans="1:47" ht="60" customHeight="1" x14ac:dyDescent="0.35">
      <c r="A8" s="282" t="s">
        <v>4864</v>
      </c>
      <c r="B8" s="260" t="s">
        <v>4865</v>
      </c>
      <c r="C8" s="261" t="s">
        <v>4876</v>
      </c>
      <c r="D8" s="264" t="s">
        <v>4877</v>
      </c>
      <c r="E8" s="265" t="s">
        <v>4868</v>
      </c>
      <c r="F8" s="268" t="s">
        <v>4869</v>
      </c>
      <c r="G8" s="271" t="str">
        <f>IF(COUNTIF(H8:AU8,"&lt;&gt;")=0,"",SUMPRODUCT(((Recommendations[ImplStatus]="Implemented")+(Recommendations[ImplStatus]="Compensated"))*ISNUMBER(MATCH(Recommendations[Id],H8:AU8,0)))/COUNTIF(H8:AU8,"&lt;&gt;"))</f>
        <v/>
      </c>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86"/>
    </row>
    <row r="9" spans="1:47" ht="60" customHeight="1" x14ac:dyDescent="0.35">
      <c r="A9" s="282" t="s">
        <v>4864</v>
      </c>
      <c r="B9" s="260" t="s">
        <v>4865</v>
      </c>
      <c r="C9" s="261" t="s">
        <v>4878</v>
      </c>
      <c r="D9" s="264" t="s">
        <v>4879</v>
      </c>
      <c r="E9" s="265" t="s">
        <v>4868</v>
      </c>
      <c r="F9" s="268" t="s">
        <v>4869</v>
      </c>
      <c r="G9" s="271" t="str">
        <f>IF(COUNTIF(H9:AU9,"&lt;&gt;")=0,"",SUMPRODUCT(((Recommendations[ImplStatus]="Implemented")+(Recommendations[ImplStatus]="Compensated"))*ISNUMBER(MATCH(Recommendations[Id],H9:AU9,0)))/COUNTIF(H9:AU9,"&lt;&gt;"))</f>
        <v/>
      </c>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286"/>
    </row>
    <row r="10" spans="1:47" ht="60" customHeight="1" x14ac:dyDescent="0.35">
      <c r="A10" s="282" t="s">
        <v>4864</v>
      </c>
      <c r="B10" s="260" t="s">
        <v>4865</v>
      </c>
      <c r="C10" s="261" t="s">
        <v>4880</v>
      </c>
      <c r="D10" s="264" t="s">
        <v>4881</v>
      </c>
      <c r="E10" s="265" t="s">
        <v>4868</v>
      </c>
      <c r="F10" s="268" t="s">
        <v>4869</v>
      </c>
      <c r="G10" s="271" t="str">
        <f>IF(COUNTIF(H10:AU10,"&lt;&gt;")=0,"",SUMPRODUCT(((Recommendations[ImplStatus]="Implemented")+(Recommendations[ImplStatus]="Compensated"))*ISNUMBER(MATCH(Recommendations[Id],H10:AU10,0)))/COUNTIF(H10:AU10,"&lt;&gt;"))</f>
        <v/>
      </c>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86"/>
    </row>
    <row r="11" spans="1:47" ht="60" customHeight="1" x14ac:dyDescent="0.35">
      <c r="A11" s="282" t="s">
        <v>4864</v>
      </c>
      <c r="B11" s="260" t="s">
        <v>4865</v>
      </c>
      <c r="C11" s="261" t="s">
        <v>4882</v>
      </c>
      <c r="D11" s="264" t="s">
        <v>4883</v>
      </c>
      <c r="E11" s="265" t="s">
        <v>4868</v>
      </c>
      <c r="F11" s="268" t="s">
        <v>4869</v>
      </c>
      <c r="G11" s="271" t="str">
        <f>IF(COUNTIF(H11:AU11,"&lt;&gt;")=0,"",SUMPRODUCT(((Recommendations[ImplStatus]="Implemented")+(Recommendations[ImplStatus]="Compensated"))*ISNUMBER(MATCH(Recommendations[Id],H11:AU11,0)))/COUNTIF(H11:AU11,"&lt;&gt;"))</f>
        <v/>
      </c>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86"/>
    </row>
    <row r="12" spans="1:47" ht="60" customHeight="1" x14ac:dyDescent="0.35">
      <c r="A12" s="282" t="s">
        <v>4864</v>
      </c>
      <c r="B12" s="260" t="s">
        <v>4865</v>
      </c>
      <c r="C12" s="261" t="s">
        <v>4884</v>
      </c>
      <c r="D12" s="264" t="s">
        <v>4885</v>
      </c>
      <c r="E12" s="265" t="s">
        <v>4868</v>
      </c>
      <c r="F12" s="268" t="s">
        <v>4869</v>
      </c>
      <c r="G12" s="271" t="str">
        <f>IF(COUNTIF(H12:AU12,"&lt;&gt;")=0,"",SUMPRODUCT(((Recommendations[ImplStatus]="Implemented")+(Recommendations[ImplStatus]="Compensated"))*ISNUMBER(MATCH(Recommendations[Id],H12:AU12,0)))/COUNTIF(H12:AU12,"&lt;&gt;"))</f>
        <v/>
      </c>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86"/>
    </row>
    <row r="13" spans="1:47" ht="60" customHeight="1" x14ac:dyDescent="0.35">
      <c r="A13" s="282" t="s">
        <v>4864</v>
      </c>
      <c r="B13" s="260" t="s">
        <v>4865</v>
      </c>
      <c r="C13" s="261" t="s">
        <v>4886</v>
      </c>
      <c r="D13" s="264" t="s">
        <v>4887</v>
      </c>
      <c r="E13" s="265" t="s">
        <v>4868</v>
      </c>
      <c r="F13" s="268" t="s">
        <v>4869</v>
      </c>
      <c r="G13" s="271" t="str">
        <f>IF(COUNTIF(H13:AU13,"&lt;&gt;")=0,"",SUMPRODUCT(((Recommendations[ImplStatus]="Implemented")+(Recommendations[ImplStatus]="Compensated"))*ISNUMBER(MATCH(Recommendations[Id],H13:AU13,0)))/COUNTIF(H13:AU13,"&lt;&gt;"))</f>
        <v/>
      </c>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86"/>
    </row>
    <row r="14" spans="1:47" ht="60" customHeight="1" x14ac:dyDescent="0.35">
      <c r="A14" s="282" t="s">
        <v>4864</v>
      </c>
      <c r="B14" s="260" t="s">
        <v>4865</v>
      </c>
      <c r="C14" s="261" t="s">
        <v>4888</v>
      </c>
      <c r="D14" s="264" t="s">
        <v>4889</v>
      </c>
      <c r="E14" s="265" t="s">
        <v>4868</v>
      </c>
      <c r="F14" s="268" t="s">
        <v>4869</v>
      </c>
      <c r="G14" s="271" t="str">
        <f>IF(COUNTIF(H14:AU14,"&lt;&gt;")=0,"",SUMPRODUCT(((Recommendations[ImplStatus]="Implemented")+(Recommendations[ImplStatus]="Compensated"))*ISNUMBER(MATCH(Recommendations[Id],H14:AU14,0)))/COUNTIF(H14:AU14,"&lt;&gt;"))</f>
        <v/>
      </c>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86"/>
    </row>
    <row r="15" spans="1:47" ht="60" customHeight="1" x14ac:dyDescent="0.35">
      <c r="A15" s="282" t="s">
        <v>4864</v>
      </c>
      <c r="B15" s="260" t="s">
        <v>4865</v>
      </c>
      <c r="C15" s="261" t="s">
        <v>4890</v>
      </c>
      <c r="D15" s="264" t="s">
        <v>4891</v>
      </c>
      <c r="E15" s="265" t="s">
        <v>4868</v>
      </c>
      <c r="F15" s="268" t="s">
        <v>4869</v>
      </c>
      <c r="G15" s="271" t="str">
        <f>IF(COUNTIF(H15:AU15,"&lt;&gt;")=0,"",SUMPRODUCT(((Recommendations[ImplStatus]="Implemented")+(Recommendations[ImplStatus]="Compensated"))*ISNUMBER(MATCH(Recommendations[Id],H15:AU15,0)))/COUNTIF(H15:AU15,"&lt;&gt;"))</f>
        <v/>
      </c>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86"/>
    </row>
    <row r="16" spans="1:47" ht="60" customHeight="1" x14ac:dyDescent="0.35">
      <c r="A16" s="282" t="s">
        <v>4864</v>
      </c>
      <c r="B16" s="260" t="s">
        <v>4865</v>
      </c>
      <c r="C16" s="261" t="s">
        <v>4892</v>
      </c>
      <c r="D16" s="264" t="s">
        <v>4893</v>
      </c>
      <c r="E16" s="265" t="s">
        <v>4868</v>
      </c>
      <c r="F16" s="268" t="s">
        <v>4869</v>
      </c>
      <c r="G16" s="271" t="str">
        <f>IF(COUNTIF(H16:AU16,"&lt;&gt;")=0,"",SUMPRODUCT(((Recommendations[ImplStatus]="Implemented")+(Recommendations[ImplStatus]="Compensated"))*ISNUMBER(MATCH(Recommendations[Id],H16:AU16,0)))/COUNTIF(H16:AU16,"&lt;&gt;"))</f>
        <v/>
      </c>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86"/>
    </row>
    <row r="17" spans="1:47" ht="60" customHeight="1" outlineLevel="2" x14ac:dyDescent="0.35">
      <c r="A17" s="281" t="s">
        <v>4864</v>
      </c>
      <c r="B17" s="259" t="s">
        <v>4894</v>
      </c>
      <c r="C17" s="259"/>
      <c r="D17" s="263"/>
      <c r="E17" s="259"/>
      <c r="F17" s="267"/>
      <c r="G17" s="270" t="str">
        <f>IF(COUNTIF(H17:AU17,"&lt;&gt;")=0,"",SUMPRODUCT(((Recommendations[ImplStatus]="Implemented")+(Recommendations[ImplStatus]="Compensated"))*ISNUMBER(MATCH(Recommendations[Id],H17:AU17,0)))/COUNTIF(H17:AU17,"&lt;&gt;"))</f>
        <v/>
      </c>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85"/>
    </row>
    <row r="18" spans="1:47" ht="60" customHeight="1" x14ac:dyDescent="0.35">
      <c r="A18" s="282" t="s">
        <v>4864</v>
      </c>
      <c r="B18" s="260" t="s">
        <v>4894</v>
      </c>
      <c r="C18" s="261" t="s">
        <v>4895</v>
      </c>
      <c r="D18" s="264" t="s">
        <v>4896</v>
      </c>
      <c r="E18" s="265" t="s">
        <v>4897</v>
      </c>
      <c r="F18" s="268" t="s">
        <v>4898</v>
      </c>
      <c r="G18" s="271" t="str">
        <f>IF(COUNTIF(H18:AU18,"&lt;&gt;")=0,"",SUMPRODUCT(((Recommendations[ImplStatus]="Implemented")+(Recommendations[ImplStatus]="Compensated"))*ISNUMBER(MATCH(Recommendations[Id],H18:AU18,0)))/COUNTIF(H18:AU18,"&lt;&gt;"))</f>
        <v/>
      </c>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86"/>
    </row>
    <row r="19" spans="1:47" ht="60" customHeight="1" x14ac:dyDescent="0.35">
      <c r="A19" s="282" t="s">
        <v>4864</v>
      </c>
      <c r="B19" s="260" t="s">
        <v>4894</v>
      </c>
      <c r="C19" s="261" t="s">
        <v>4899</v>
      </c>
      <c r="D19" s="264" t="s">
        <v>4900</v>
      </c>
      <c r="E19" s="265" t="s">
        <v>4897</v>
      </c>
      <c r="F19" s="268" t="s">
        <v>4898</v>
      </c>
      <c r="G19" s="271" t="str">
        <f>IF(COUNTIF(H19:AU19,"&lt;&gt;")=0,"",SUMPRODUCT(((Recommendations[ImplStatus]="Implemented")+(Recommendations[ImplStatus]="Compensated"))*ISNUMBER(MATCH(Recommendations[Id],H19:AU19,0)))/COUNTIF(H19:AU19,"&lt;&gt;"))</f>
        <v/>
      </c>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86"/>
    </row>
    <row r="20" spans="1:47" ht="60" customHeight="1" x14ac:dyDescent="0.35">
      <c r="A20" s="282" t="s">
        <v>4864</v>
      </c>
      <c r="B20" s="260" t="s">
        <v>4894</v>
      </c>
      <c r="C20" s="261" t="s">
        <v>4901</v>
      </c>
      <c r="D20" s="264" t="s">
        <v>4902</v>
      </c>
      <c r="E20" s="265" t="s">
        <v>4897</v>
      </c>
      <c r="F20" s="268" t="s">
        <v>4898</v>
      </c>
      <c r="G20" s="271" t="str">
        <f>IF(COUNTIF(H20:AU20,"&lt;&gt;")=0,"",SUMPRODUCT(((Recommendations[ImplStatus]="Implemented")+(Recommendations[ImplStatus]="Compensated"))*ISNUMBER(MATCH(Recommendations[Id],H20:AU20,0)))/COUNTIF(H20:AU20,"&lt;&gt;"))</f>
        <v/>
      </c>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86"/>
    </row>
    <row r="21" spans="1:47" ht="60" customHeight="1" x14ac:dyDescent="0.35">
      <c r="A21" s="282" t="s">
        <v>4864</v>
      </c>
      <c r="B21" s="260" t="s">
        <v>4894</v>
      </c>
      <c r="C21" s="261" t="s">
        <v>4903</v>
      </c>
      <c r="D21" s="264" t="s">
        <v>4904</v>
      </c>
      <c r="E21" s="265" t="s">
        <v>4897</v>
      </c>
      <c r="F21" s="268" t="s">
        <v>4898</v>
      </c>
      <c r="G21" s="271" t="str">
        <f>IF(COUNTIF(H21:AU21,"&lt;&gt;")=0,"",SUMPRODUCT(((Recommendations[ImplStatus]="Implemented")+(Recommendations[ImplStatus]="Compensated"))*ISNUMBER(MATCH(Recommendations[Id],H21:AU21,0)))/COUNTIF(H21:AU21,"&lt;&gt;"))</f>
        <v/>
      </c>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86"/>
    </row>
    <row r="22" spans="1:47" ht="60" customHeight="1" x14ac:dyDescent="0.35">
      <c r="A22" s="282" t="s">
        <v>4864</v>
      </c>
      <c r="B22" s="260" t="s">
        <v>4894</v>
      </c>
      <c r="C22" s="261" t="s">
        <v>4905</v>
      </c>
      <c r="D22" s="264" t="s">
        <v>4906</v>
      </c>
      <c r="E22" s="265" t="s">
        <v>4897</v>
      </c>
      <c r="F22" s="268" t="s">
        <v>4898</v>
      </c>
      <c r="G22" s="271" t="str">
        <f>IF(COUNTIF(H22:AU22,"&lt;&gt;")=0,"",SUMPRODUCT(((Recommendations[ImplStatus]="Implemented")+(Recommendations[ImplStatus]="Compensated"))*ISNUMBER(MATCH(Recommendations[Id],H22:AU22,0)))/COUNTIF(H22:AU22,"&lt;&gt;"))</f>
        <v/>
      </c>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86"/>
    </row>
    <row r="23" spans="1:47" ht="60" customHeight="1" x14ac:dyDescent="0.35">
      <c r="A23" s="282" t="s">
        <v>4864</v>
      </c>
      <c r="B23" s="260" t="s">
        <v>4894</v>
      </c>
      <c r="C23" s="261" t="s">
        <v>4907</v>
      </c>
      <c r="D23" s="264" t="s">
        <v>4908</v>
      </c>
      <c r="E23" s="265" t="s">
        <v>4868</v>
      </c>
      <c r="F23" s="268" t="s">
        <v>4869</v>
      </c>
      <c r="G23" s="271" t="str">
        <f>IF(COUNTIF(H23:AU23,"&lt;&gt;")=0,"",SUMPRODUCT(((Recommendations[ImplStatus]="Implemented")+(Recommendations[ImplStatus]="Compensated"))*ISNUMBER(MATCH(Recommendations[Id],H23:AU23,0)))/COUNTIF(H23:AU23,"&lt;&gt;"))</f>
        <v/>
      </c>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86"/>
    </row>
    <row r="24" spans="1:47" ht="60" customHeight="1" x14ac:dyDescent="0.35">
      <c r="A24" s="282" t="s">
        <v>4864</v>
      </c>
      <c r="B24" s="260" t="s">
        <v>4894</v>
      </c>
      <c r="C24" s="261" t="s">
        <v>4909</v>
      </c>
      <c r="D24" s="264" t="s">
        <v>4910</v>
      </c>
      <c r="E24" s="265" t="s">
        <v>4868</v>
      </c>
      <c r="F24" s="268" t="s">
        <v>4869</v>
      </c>
      <c r="G24" s="271" t="str">
        <f>IF(COUNTIF(H24:AU24,"&lt;&gt;")=0,"",SUMPRODUCT(((Recommendations[ImplStatus]="Implemented")+(Recommendations[ImplStatus]="Compensated"))*ISNUMBER(MATCH(Recommendations[Id],H24:AU24,0)))/COUNTIF(H24:AU24,"&lt;&gt;"))</f>
        <v/>
      </c>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86"/>
    </row>
    <row r="25" spans="1:47" ht="60" customHeight="1" x14ac:dyDescent="0.35">
      <c r="A25" s="282" t="s">
        <v>4864</v>
      </c>
      <c r="B25" s="260" t="s">
        <v>4894</v>
      </c>
      <c r="C25" s="261" t="s">
        <v>4911</v>
      </c>
      <c r="D25" s="264" t="s">
        <v>4912</v>
      </c>
      <c r="E25" s="265" t="s">
        <v>4868</v>
      </c>
      <c r="F25" s="268" t="s">
        <v>4913</v>
      </c>
      <c r="G25" s="271" t="str">
        <f>IF(COUNTIF(H25:AU25,"&lt;&gt;")=0,"",SUMPRODUCT(((Recommendations[ImplStatus]="Implemented")+(Recommendations[ImplStatus]="Compensated"))*ISNUMBER(MATCH(Recommendations[Id],H25:AU25,0)))/COUNTIF(H25:AU25,"&lt;&gt;"))</f>
        <v/>
      </c>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86"/>
    </row>
    <row r="26" spans="1:47" ht="60" customHeight="1" x14ac:dyDescent="0.35">
      <c r="A26" s="282" t="s">
        <v>4864</v>
      </c>
      <c r="B26" s="260" t="s">
        <v>4894</v>
      </c>
      <c r="C26" s="261" t="s">
        <v>4914</v>
      </c>
      <c r="D26" s="264" t="s">
        <v>4915</v>
      </c>
      <c r="E26" s="265" t="s">
        <v>4868</v>
      </c>
      <c r="F26" s="268" t="s">
        <v>4913</v>
      </c>
      <c r="G26" s="271" t="str">
        <f>IF(COUNTIF(H26:AU26,"&lt;&gt;")=0,"",SUMPRODUCT(((Recommendations[ImplStatus]="Implemented")+(Recommendations[ImplStatus]="Compensated"))*ISNUMBER(MATCH(Recommendations[Id],H26:AU26,0)))/COUNTIF(H26:AU26,"&lt;&gt;"))</f>
        <v/>
      </c>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86"/>
    </row>
    <row r="27" spans="1:47" ht="60" customHeight="1" x14ac:dyDescent="0.35">
      <c r="A27" s="282" t="s">
        <v>4864</v>
      </c>
      <c r="B27" s="260" t="s">
        <v>4894</v>
      </c>
      <c r="C27" s="261" t="s">
        <v>4916</v>
      </c>
      <c r="D27" s="264" t="s">
        <v>4917</v>
      </c>
      <c r="E27" s="265" t="s">
        <v>4868</v>
      </c>
      <c r="F27" s="268" t="s">
        <v>4913</v>
      </c>
      <c r="G27" s="271" t="str">
        <f>IF(COUNTIF(H27:AU27,"&lt;&gt;")=0,"",SUMPRODUCT(((Recommendations[ImplStatus]="Implemented")+(Recommendations[ImplStatus]="Compensated"))*ISNUMBER(MATCH(Recommendations[Id],H27:AU27,0)))/COUNTIF(H27:AU27,"&lt;&gt;"))</f>
        <v/>
      </c>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86"/>
    </row>
    <row r="28" spans="1:47" ht="60" customHeight="1" x14ac:dyDescent="0.35">
      <c r="A28" s="282" t="s">
        <v>4864</v>
      </c>
      <c r="B28" s="260" t="s">
        <v>4894</v>
      </c>
      <c r="C28" s="261" t="s">
        <v>4918</v>
      </c>
      <c r="D28" s="264" t="s">
        <v>4919</v>
      </c>
      <c r="E28" s="265" t="s">
        <v>4868</v>
      </c>
      <c r="F28" s="268" t="s">
        <v>4913</v>
      </c>
      <c r="G28" s="271" t="str">
        <f>IF(COUNTIF(H28:AU28,"&lt;&gt;")=0,"",SUMPRODUCT(((Recommendations[ImplStatus]="Implemented")+(Recommendations[ImplStatus]="Compensated"))*ISNUMBER(MATCH(Recommendations[Id],H28:AU28,0)))/COUNTIF(H28:AU28,"&lt;&gt;"))</f>
        <v/>
      </c>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86"/>
    </row>
    <row r="29" spans="1:47" ht="60" customHeight="1" x14ac:dyDescent="0.35">
      <c r="A29" s="282" t="s">
        <v>4864</v>
      </c>
      <c r="B29" s="260" t="s">
        <v>4894</v>
      </c>
      <c r="C29" s="261" t="s">
        <v>4920</v>
      </c>
      <c r="D29" s="264" t="s">
        <v>4921</v>
      </c>
      <c r="E29" s="265" t="s">
        <v>4868</v>
      </c>
      <c r="F29" s="268" t="s">
        <v>4913</v>
      </c>
      <c r="G29" s="271" t="str">
        <f>IF(COUNTIF(H29:AU29,"&lt;&gt;")=0,"",SUMPRODUCT(((Recommendations[ImplStatus]="Implemented")+(Recommendations[ImplStatus]="Compensated"))*ISNUMBER(MATCH(Recommendations[Id],H29:AU29,0)))/COUNTIF(H29:AU29,"&lt;&gt;"))</f>
        <v/>
      </c>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86"/>
    </row>
    <row r="30" spans="1:47" ht="60" customHeight="1" x14ac:dyDescent="0.35">
      <c r="A30" s="282" t="s">
        <v>4864</v>
      </c>
      <c r="B30" s="260" t="s">
        <v>4894</v>
      </c>
      <c r="C30" s="261" t="s">
        <v>4922</v>
      </c>
      <c r="D30" s="264" t="s">
        <v>4923</v>
      </c>
      <c r="E30" s="265" t="s">
        <v>4868</v>
      </c>
      <c r="F30" s="268" t="s">
        <v>4913</v>
      </c>
      <c r="G30" s="271" t="str">
        <f>IF(COUNTIF(H30:AU30,"&lt;&gt;")=0,"",SUMPRODUCT(((Recommendations[ImplStatus]="Implemented")+(Recommendations[ImplStatus]="Compensated"))*ISNUMBER(MATCH(Recommendations[Id],H30:AU30,0)))/COUNTIF(H30:AU30,"&lt;&gt;"))</f>
        <v/>
      </c>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86"/>
    </row>
    <row r="31" spans="1:47" ht="60" customHeight="1" x14ac:dyDescent="0.35">
      <c r="A31" s="282" t="s">
        <v>4864</v>
      </c>
      <c r="B31" s="260" t="s">
        <v>4894</v>
      </c>
      <c r="C31" s="261" t="s">
        <v>4924</v>
      </c>
      <c r="D31" s="264" t="s">
        <v>4925</v>
      </c>
      <c r="E31" s="265" t="s">
        <v>4868</v>
      </c>
      <c r="F31" s="268" t="s">
        <v>4913</v>
      </c>
      <c r="G31" s="271" t="str">
        <f>IF(COUNTIF(H31:AU31,"&lt;&gt;")=0,"",SUMPRODUCT(((Recommendations[ImplStatus]="Implemented")+(Recommendations[ImplStatus]="Compensated"))*ISNUMBER(MATCH(Recommendations[Id],H31:AU31,0)))/COUNTIF(H31:AU31,"&lt;&gt;"))</f>
        <v/>
      </c>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86"/>
    </row>
    <row r="32" spans="1:47" ht="60" customHeight="1" x14ac:dyDescent="0.35">
      <c r="A32" s="282" t="s">
        <v>4864</v>
      </c>
      <c r="B32" s="260" t="s">
        <v>4894</v>
      </c>
      <c r="C32" s="261" t="s">
        <v>4926</v>
      </c>
      <c r="D32" s="264" t="s">
        <v>4927</v>
      </c>
      <c r="E32" s="265" t="s">
        <v>4868</v>
      </c>
      <c r="F32" s="268" t="s">
        <v>4913</v>
      </c>
      <c r="G32" s="271" t="str">
        <f>IF(COUNTIF(H32:AU32,"&lt;&gt;")=0,"",SUMPRODUCT(((Recommendations[ImplStatus]="Implemented")+(Recommendations[ImplStatus]="Compensated"))*ISNUMBER(MATCH(Recommendations[Id],H32:AU32,0)))/COUNTIF(H32:AU32,"&lt;&gt;"))</f>
        <v/>
      </c>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86"/>
    </row>
    <row r="33" spans="1:47" ht="60" customHeight="1" x14ac:dyDescent="0.35">
      <c r="A33" s="282" t="s">
        <v>4864</v>
      </c>
      <c r="B33" s="260" t="s">
        <v>4894</v>
      </c>
      <c r="C33" s="261" t="s">
        <v>4928</v>
      </c>
      <c r="D33" s="264" t="s">
        <v>4929</v>
      </c>
      <c r="E33" s="265" t="s">
        <v>4897</v>
      </c>
      <c r="F33" s="268" t="s">
        <v>4898</v>
      </c>
      <c r="G33" s="271" t="str">
        <f>IF(COUNTIF(H33:AU33,"&lt;&gt;")=0,"",SUMPRODUCT(((Recommendations[ImplStatus]="Implemented")+(Recommendations[ImplStatus]="Compensated"))*ISNUMBER(MATCH(Recommendations[Id],H33:AU33,0)))/COUNTIF(H33:AU33,"&lt;&gt;"))</f>
        <v/>
      </c>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86"/>
    </row>
    <row r="34" spans="1:47" ht="60" customHeight="1" x14ac:dyDescent="0.35">
      <c r="A34" s="282" t="s">
        <v>4864</v>
      </c>
      <c r="B34" s="260" t="s">
        <v>4894</v>
      </c>
      <c r="C34" s="261" t="s">
        <v>4930</v>
      </c>
      <c r="D34" s="264" t="s">
        <v>4931</v>
      </c>
      <c r="E34" s="265" t="s">
        <v>4868</v>
      </c>
      <c r="F34" s="268" t="s">
        <v>4913</v>
      </c>
      <c r="G34" s="271" t="str">
        <f>IF(COUNTIF(H34:AU34,"&lt;&gt;")=0,"",SUMPRODUCT(((Recommendations[ImplStatus]="Implemented")+(Recommendations[ImplStatus]="Compensated"))*ISNUMBER(MATCH(Recommendations[Id],H34:AU34,0)))/COUNTIF(H34:AU34,"&lt;&gt;"))</f>
        <v/>
      </c>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86"/>
    </row>
    <row r="35" spans="1:47" ht="60" customHeight="1" outlineLevel="2" x14ac:dyDescent="0.35">
      <c r="A35" s="281" t="s">
        <v>4864</v>
      </c>
      <c r="B35" s="259" t="s">
        <v>4932</v>
      </c>
      <c r="C35" s="259"/>
      <c r="D35" s="263"/>
      <c r="E35" s="259"/>
      <c r="F35" s="267"/>
      <c r="G35" s="270" t="str">
        <f>IF(COUNTIF(H35:AU35,"&lt;&gt;")=0,"",SUMPRODUCT(((Recommendations[ImplStatus]="Implemented")+(Recommendations[ImplStatus]="Compensated"))*ISNUMBER(MATCH(Recommendations[Id],H35:AU35,0)))/COUNTIF(H35:AU35,"&lt;&gt;"))</f>
        <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85"/>
    </row>
    <row r="36" spans="1:47" ht="60" customHeight="1" x14ac:dyDescent="0.35">
      <c r="A36" s="282" t="s">
        <v>4864</v>
      </c>
      <c r="B36" s="260" t="s">
        <v>4932</v>
      </c>
      <c r="C36" s="261" t="s">
        <v>4933</v>
      </c>
      <c r="D36" s="264" t="s">
        <v>4934</v>
      </c>
      <c r="E36" s="265" t="s">
        <v>4868</v>
      </c>
      <c r="F36" s="268" t="s">
        <v>4913</v>
      </c>
      <c r="G36" s="271" t="str">
        <f>IF(COUNTIF(H36:AU36,"&lt;&gt;")=0,"",SUMPRODUCT(((Recommendations[ImplStatus]="Implemented")+(Recommendations[ImplStatus]="Compensated"))*ISNUMBER(MATCH(Recommendations[Id],H36:AU36,0)))/COUNTIF(H36:AU36,"&lt;&gt;"))</f>
        <v/>
      </c>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86"/>
    </row>
    <row r="37" spans="1:47" ht="60" customHeight="1" x14ac:dyDescent="0.35">
      <c r="A37" s="282" t="s">
        <v>4864</v>
      </c>
      <c r="B37" s="260" t="s">
        <v>4932</v>
      </c>
      <c r="C37" s="261" t="s">
        <v>4935</v>
      </c>
      <c r="D37" s="264" t="s">
        <v>4936</v>
      </c>
      <c r="E37" s="265" t="s">
        <v>4868</v>
      </c>
      <c r="F37" s="268" t="s">
        <v>4937</v>
      </c>
      <c r="G37" s="271" t="str">
        <f>IF(COUNTIF(H37:AU37,"&lt;&gt;")=0,"",SUMPRODUCT(((Recommendations[ImplStatus]="Implemented")+(Recommendations[ImplStatus]="Compensated"))*ISNUMBER(MATCH(Recommendations[Id],H37:AU37,0)))/COUNTIF(H37:AU37,"&lt;&gt;"))</f>
        <v/>
      </c>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86"/>
    </row>
    <row r="38" spans="1:47" ht="60" customHeight="1" x14ac:dyDescent="0.35">
      <c r="A38" s="282" t="s">
        <v>4864</v>
      </c>
      <c r="B38" s="260" t="s">
        <v>4932</v>
      </c>
      <c r="C38" s="261" t="s">
        <v>4938</v>
      </c>
      <c r="D38" s="264" t="s">
        <v>4939</v>
      </c>
      <c r="E38" s="265" t="s">
        <v>4868</v>
      </c>
      <c r="F38" s="268" t="s">
        <v>4937</v>
      </c>
      <c r="G38" s="271" t="str">
        <f>IF(COUNTIF(H38:AU38,"&lt;&gt;")=0,"",SUMPRODUCT(((Recommendations[ImplStatus]="Implemented")+(Recommendations[ImplStatus]="Compensated"))*ISNUMBER(MATCH(Recommendations[Id],H38:AU38,0)))/COUNTIF(H38:AU38,"&lt;&gt;"))</f>
        <v/>
      </c>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86"/>
    </row>
    <row r="39" spans="1:47" ht="60" customHeight="1" x14ac:dyDescent="0.35">
      <c r="A39" s="282" t="s">
        <v>4864</v>
      </c>
      <c r="B39" s="260" t="s">
        <v>4932</v>
      </c>
      <c r="C39" s="261" t="s">
        <v>4940</v>
      </c>
      <c r="D39" s="264" t="s">
        <v>4941</v>
      </c>
      <c r="E39" s="265" t="s">
        <v>4868</v>
      </c>
      <c r="F39" s="268" t="s">
        <v>4937</v>
      </c>
      <c r="G39" s="271" t="str">
        <f>IF(COUNTIF(H39:AU39,"&lt;&gt;")=0,"",SUMPRODUCT(((Recommendations[ImplStatus]="Implemented")+(Recommendations[ImplStatus]="Compensated"))*ISNUMBER(MATCH(Recommendations[Id],H39:AU39,0)))/COUNTIF(H39:AU39,"&lt;&gt;"))</f>
        <v/>
      </c>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86"/>
    </row>
    <row r="40" spans="1:47" ht="60" customHeight="1" x14ac:dyDescent="0.35">
      <c r="A40" s="282" t="s">
        <v>4864</v>
      </c>
      <c r="B40" s="260" t="s">
        <v>4932</v>
      </c>
      <c r="C40" s="261" t="s">
        <v>4942</v>
      </c>
      <c r="D40" s="264" t="s">
        <v>4943</v>
      </c>
      <c r="E40" s="265" t="s">
        <v>4868</v>
      </c>
      <c r="F40" s="268" t="s">
        <v>4937</v>
      </c>
      <c r="G40" s="271" t="str">
        <f>IF(COUNTIF(H40:AU40,"&lt;&gt;")=0,"",SUMPRODUCT(((Recommendations[ImplStatus]="Implemented")+(Recommendations[ImplStatus]="Compensated"))*ISNUMBER(MATCH(Recommendations[Id],H40:AU40,0)))/COUNTIF(H40:AU40,"&lt;&gt;"))</f>
        <v/>
      </c>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86"/>
    </row>
    <row r="41" spans="1:47" ht="60" customHeight="1" x14ac:dyDescent="0.35">
      <c r="A41" s="282" t="s">
        <v>4864</v>
      </c>
      <c r="B41" s="260" t="s">
        <v>4932</v>
      </c>
      <c r="C41" s="261" t="s">
        <v>4944</v>
      </c>
      <c r="D41" s="264" t="s">
        <v>4945</v>
      </c>
      <c r="E41" s="265" t="s">
        <v>4868</v>
      </c>
      <c r="F41" s="268" t="s">
        <v>4937</v>
      </c>
      <c r="G41" s="271" t="str">
        <f>IF(COUNTIF(H41:AU41,"&lt;&gt;")=0,"",SUMPRODUCT(((Recommendations[ImplStatus]="Implemented")+(Recommendations[ImplStatus]="Compensated"))*ISNUMBER(MATCH(Recommendations[Id],H41:AU41,0)))/COUNTIF(H41:AU41,"&lt;&gt;"))</f>
        <v/>
      </c>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86"/>
    </row>
    <row r="42" spans="1:47" ht="60" customHeight="1" x14ac:dyDescent="0.35">
      <c r="A42" s="282" t="s">
        <v>4864</v>
      </c>
      <c r="B42" s="260" t="s">
        <v>4932</v>
      </c>
      <c r="C42" s="261" t="s">
        <v>4946</v>
      </c>
      <c r="D42" s="264" t="s">
        <v>4947</v>
      </c>
      <c r="E42" s="265" t="s">
        <v>4868</v>
      </c>
      <c r="F42" s="268" t="s">
        <v>4937</v>
      </c>
      <c r="G42" s="271" t="str">
        <f>IF(COUNTIF(H42:AU42,"&lt;&gt;")=0,"",SUMPRODUCT(((Recommendations[ImplStatus]="Implemented")+(Recommendations[ImplStatus]="Compensated"))*ISNUMBER(MATCH(Recommendations[Id],H42:AU42,0)))/COUNTIF(H42:AU42,"&lt;&gt;"))</f>
        <v/>
      </c>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86"/>
    </row>
    <row r="43" spans="1:47" ht="60" customHeight="1" x14ac:dyDescent="0.35">
      <c r="A43" s="282" t="s">
        <v>4864</v>
      </c>
      <c r="B43" s="260" t="s">
        <v>4932</v>
      </c>
      <c r="C43" s="261" t="s">
        <v>4948</v>
      </c>
      <c r="D43" s="264" t="s">
        <v>4949</v>
      </c>
      <c r="E43" s="265" t="s">
        <v>4868</v>
      </c>
      <c r="F43" s="268" t="s">
        <v>4937</v>
      </c>
      <c r="G43" s="271" t="str">
        <f>IF(COUNTIF(H43:AU43,"&lt;&gt;")=0,"",SUMPRODUCT(((Recommendations[ImplStatus]="Implemented")+(Recommendations[ImplStatus]="Compensated"))*ISNUMBER(MATCH(Recommendations[Id],H43:AU43,0)))/COUNTIF(H43:AU43,"&lt;&gt;"))</f>
        <v/>
      </c>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86"/>
    </row>
    <row r="44" spans="1:47" ht="60" customHeight="1" x14ac:dyDescent="0.35">
      <c r="A44" s="282" t="s">
        <v>4864</v>
      </c>
      <c r="B44" s="260" t="s">
        <v>4932</v>
      </c>
      <c r="C44" s="261" t="s">
        <v>4950</v>
      </c>
      <c r="D44" s="264" t="s">
        <v>4951</v>
      </c>
      <c r="E44" s="265" t="s">
        <v>4868</v>
      </c>
      <c r="F44" s="268" t="s">
        <v>4937</v>
      </c>
      <c r="G44" s="271" t="str">
        <f>IF(COUNTIF(H44:AU44,"&lt;&gt;")=0,"",SUMPRODUCT(((Recommendations[ImplStatus]="Implemented")+(Recommendations[ImplStatus]="Compensated"))*ISNUMBER(MATCH(Recommendations[Id],H44:AU44,0)))/COUNTIF(H44:AU44,"&lt;&gt;"))</f>
        <v/>
      </c>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86"/>
    </row>
    <row r="45" spans="1:47" ht="60" customHeight="1" x14ac:dyDescent="0.35">
      <c r="A45" s="282" t="s">
        <v>4864</v>
      </c>
      <c r="B45" s="260" t="s">
        <v>4932</v>
      </c>
      <c r="C45" s="261" t="s">
        <v>4952</v>
      </c>
      <c r="D45" s="264" t="s">
        <v>4953</v>
      </c>
      <c r="E45" s="265" t="s">
        <v>4868</v>
      </c>
      <c r="F45" s="268" t="s">
        <v>4937</v>
      </c>
      <c r="G45" s="271" t="str">
        <f>IF(COUNTIF(H45:AU45,"&lt;&gt;")=0,"",SUMPRODUCT(((Recommendations[ImplStatus]="Implemented")+(Recommendations[ImplStatus]="Compensated"))*ISNUMBER(MATCH(Recommendations[Id],H45:AU45,0)))/COUNTIF(H45:AU45,"&lt;&gt;"))</f>
        <v/>
      </c>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86"/>
    </row>
    <row r="46" spans="1:47" ht="60" customHeight="1" x14ac:dyDescent="0.35">
      <c r="A46" s="282" t="s">
        <v>4864</v>
      </c>
      <c r="B46" s="260" t="s">
        <v>4932</v>
      </c>
      <c r="C46" s="261" t="s">
        <v>4954</v>
      </c>
      <c r="D46" s="264" t="s">
        <v>4955</v>
      </c>
      <c r="E46" s="265" t="s">
        <v>4868</v>
      </c>
      <c r="F46" s="268" t="s">
        <v>4937</v>
      </c>
      <c r="G46" s="271" t="str">
        <f>IF(COUNTIF(H46:AU46,"&lt;&gt;")=0,"",SUMPRODUCT(((Recommendations[ImplStatus]="Implemented")+(Recommendations[ImplStatus]="Compensated"))*ISNUMBER(MATCH(Recommendations[Id],H46:AU46,0)))/COUNTIF(H46:AU46,"&lt;&gt;"))</f>
        <v/>
      </c>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O46" s="272"/>
      <c r="AP46" s="272"/>
      <c r="AQ46" s="272"/>
      <c r="AR46" s="272"/>
      <c r="AS46" s="272"/>
      <c r="AT46" s="272"/>
      <c r="AU46" s="286"/>
    </row>
    <row r="47" spans="1:47" ht="60" customHeight="1" x14ac:dyDescent="0.35">
      <c r="A47" s="282" t="s">
        <v>4864</v>
      </c>
      <c r="B47" s="260" t="s">
        <v>4932</v>
      </c>
      <c r="C47" s="261" t="s">
        <v>4956</v>
      </c>
      <c r="D47" s="264" t="s">
        <v>4957</v>
      </c>
      <c r="E47" s="265" t="s">
        <v>4868</v>
      </c>
      <c r="F47" s="268" t="s">
        <v>4937</v>
      </c>
      <c r="G47" s="271" t="str">
        <f>IF(COUNTIF(H47:AU47,"&lt;&gt;")=0,"",SUMPRODUCT(((Recommendations[ImplStatus]="Implemented")+(Recommendations[ImplStatus]="Compensated"))*ISNUMBER(MATCH(Recommendations[Id],H47:AU47,0)))/COUNTIF(H47:AU47,"&lt;&gt;"))</f>
        <v/>
      </c>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86"/>
    </row>
    <row r="48" spans="1:47" ht="60" customHeight="1" x14ac:dyDescent="0.35">
      <c r="A48" s="282" t="s">
        <v>4864</v>
      </c>
      <c r="B48" s="260" t="s">
        <v>4932</v>
      </c>
      <c r="C48" s="261" t="s">
        <v>4958</v>
      </c>
      <c r="D48" s="264" t="s">
        <v>4959</v>
      </c>
      <c r="E48" s="265" t="s">
        <v>4868</v>
      </c>
      <c r="F48" s="268" t="s">
        <v>4937</v>
      </c>
      <c r="G48" s="271" t="str">
        <f>IF(COUNTIF(H48:AU48,"&lt;&gt;")=0,"",SUMPRODUCT(((Recommendations[ImplStatus]="Implemented")+(Recommendations[ImplStatus]="Compensated"))*ISNUMBER(MATCH(Recommendations[Id],H48:AU48,0)))/COUNTIF(H48:AU48,"&lt;&gt;"))</f>
        <v/>
      </c>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86"/>
    </row>
    <row r="49" spans="1:47" ht="60" customHeight="1" x14ac:dyDescent="0.35">
      <c r="A49" s="282" t="s">
        <v>4864</v>
      </c>
      <c r="B49" s="260" t="s">
        <v>4932</v>
      </c>
      <c r="C49" s="261" t="s">
        <v>4960</v>
      </c>
      <c r="D49" s="264" t="s">
        <v>4961</v>
      </c>
      <c r="E49" s="265" t="s">
        <v>4868</v>
      </c>
      <c r="F49" s="268" t="s">
        <v>4937</v>
      </c>
      <c r="G49" s="271" t="str">
        <f>IF(COUNTIF(H49:AU49,"&lt;&gt;")=0,"",SUMPRODUCT(((Recommendations[ImplStatus]="Implemented")+(Recommendations[ImplStatus]="Compensated"))*ISNUMBER(MATCH(Recommendations[Id],H49:AU49,0)))/COUNTIF(H49:AU49,"&lt;&gt;"))</f>
        <v/>
      </c>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86"/>
    </row>
    <row r="50" spans="1:47" ht="60" customHeight="1" outlineLevel="2" x14ac:dyDescent="0.35">
      <c r="A50" s="281" t="s">
        <v>4864</v>
      </c>
      <c r="B50" s="259" t="s">
        <v>2134</v>
      </c>
      <c r="C50" s="259"/>
      <c r="D50" s="263"/>
      <c r="E50" s="259"/>
      <c r="F50" s="267"/>
      <c r="G50" s="270" t="str">
        <f>IF(COUNTIF(H50:AU50,"&lt;&gt;")=0,"",SUMPRODUCT(((Recommendations[ImplStatus]="Implemented")+(Recommendations[ImplStatus]="Compensated"))*ISNUMBER(MATCH(Recommendations[Id],H50:AU50,0)))/COUNTIF(H50:AU50,"&lt;&gt;"))</f>
        <v/>
      </c>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85"/>
    </row>
    <row r="51" spans="1:47" ht="60" customHeight="1" x14ac:dyDescent="0.35">
      <c r="A51" s="282" t="s">
        <v>4864</v>
      </c>
      <c r="B51" s="260" t="s">
        <v>2134</v>
      </c>
      <c r="C51" s="261" t="s">
        <v>4962</v>
      </c>
      <c r="D51" s="264" t="s">
        <v>4963</v>
      </c>
      <c r="E51" s="265" t="s">
        <v>4964</v>
      </c>
      <c r="F51" s="268" t="s">
        <v>4965</v>
      </c>
      <c r="G51" s="271" t="str">
        <f>IF(COUNTIF(H51:AU51,"&lt;&gt;")=0,"",SUMPRODUCT(((Recommendations[ImplStatus]="Implemented")+(Recommendations[ImplStatus]="Compensated"))*ISNUMBER(MATCH(Recommendations[Id],H51:AU51,0)))/COUNTIF(H51:AU51,"&lt;&gt;"))</f>
        <v/>
      </c>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86"/>
    </row>
    <row r="52" spans="1:47" ht="60" customHeight="1" x14ac:dyDescent="0.35">
      <c r="A52" s="282" t="s">
        <v>4864</v>
      </c>
      <c r="B52" s="260" t="s">
        <v>2134</v>
      </c>
      <c r="C52" s="261" t="s">
        <v>4966</v>
      </c>
      <c r="D52" s="264" t="s">
        <v>4967</v>
      </c>
      <c r="E52" s="265" t="s">
        <v>4964</v>
      </c>
      <c r="F52" s="268" t="s">
        <v>4965</v>
      </c>
      <c r="G52" s="271" t="str">
        <f>IF(COUNTIF(H52:AU52,"&lt;&gt;")=0,"",SUMPRODUCT(((Recommendations[ImplStatus]="Implemented")+(Recommendations[ImplStatus]="Compensated"))*ISNUMBER(MATCH(Recommendations[Id],H52:AU52,0)))/COUNTIF(H52:AU52,"&lt;&gt;"))</f>
        <v/>
      </c>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86"/>
    </row>
    <row r="53" spans="1:47" ht="60" customHeight="1" x14ac:dyDescent="0.35">
      <c r="A53" s="282" t="s">
        <v>4864</v>
      </c>
      <c r="B53" s="260" t="s">
        <v>2134</v>
      </c>
      <c r="C53" s="261" t="s">
        <v>4968</v>
      </c>
      <c r="D53" s="264" t="s">
        <v>4969</v>
      </c>
      <c r="E53" s="265" t="s">
        <v>4964</v>
      </c>
      <c r="F53" s="268" t="s">
        <v>4965</v>
      </c>
      <c r="G53" s="271" t="str">
        <f>IF(COUNTIF(H53:AU53,"&lt;&gt;")=0,"",SUMPRODUCT(((Recommendations[ImplStatus]="Implemented")+(Recommendations[ImplStatus]="Compensated"))*ISNUMBER(MATCH(Recommendations[Id],H53:AU53,0)))/COUNTIF(H53:AU53,"&lt;&gt;"))</f>
        <v/>
      </c>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86"/>
    </row>
    <row r="54" spans="1:47" ht="60" customHeight="1" x14ac:dyDescent="0.35">
      <c r="A54" s="282" t="s">
        <v>4864</v>
      </c>
      <c r="B54" s="260" t="s">
        <v>2134</v>
      </c>
      <c r="C54" s="261" t="s">
        <v>4970</v>
      </c>
      <c r="D54" s="264" t="s">
        <v>4971</v>
      </c>
      <c r="E54" s="265" t="s">
        <v>4964</v>
      </c>
      <c r="F54" s="268" t="s">
        <v>4965</v>
      </c>
      <c r="G54" s="271" t="str">
        <f>IF(COUNTIF(H54:AU54,"&lt;&gt;")=0,"",SUMPRODUCT(((Recommendations[ImplStatus]="Implemented")+(Recommendations[ImplStatus]="Compensated"))*ISNUMBER(MATCH(Recommendations[Id],H54:AU54,0)))/COUNTIF(H54:AU54,"&lt;&gt;"))</f>
        <v/>
      </c>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86"/>
    </row>
    <row r="55" spans="1:47" ht="60" customHeight="1" x14ac:dyDescent="0.35">
      <c r="A55" s="282" t="s">
        <v>4864</v>
      </c>
      <c r="B55" s="260" t="s">
        <v>2134</v>
      </c>
      <c r="C55" s="261" t="s">
        <v>4972</v>
      </c>
      <c r="D55" s="264" t="s">
        <v>4973</v>
      </c>
      <c r="E55" s="265" t="s">
        <v>4964</v>
      </c>
      <c r="F55" s="268" t="s">
        <v>4965</v>
      </c>
      <c r="G55" s="271" t="str">
        <f>IF(COUNTIF(H55:AU55,"&lt;&gt;")=0,"",SUMPRODUCT(((Recommendations[ImplStatus]="Implemented")+(Recommendations[ImplStatus]="Compensated"))*ISNUMBER(MATCH(Recommendations[Id],H55:AU55,0)))/COUNTIF(H55:AU55,"&lt;&gt;"))</f>
        <v/>
      </c>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86"/>
    </row>
    <row r="56" spans="1:47" ht="60" customHeight="1" x14ac:dyDescent="0.35">
      <c r="A56" s="282" t="s">
        <v>4864</v>
      </c>
      <c r="B56" s="260" t="s">
        <v>2134</v>
      </c>
      <c r="C56" s="261" t="s">
        <v>4974</v>
      </c>
      <c r="D56" s="264" t="s">
        <v>4975</v>
      </c>
      <c r="E56" s="265" t="s">
        <v>4964</v>
      </c>
      <c r="F56" s="268" t="s">
        <v>4965</v>
      </c>
      <c r="G56" s="271" t="str">
        <f>IF(COUNTIF(H56:AU56,"&lt;&gt;")=0,"",SUMPRODUCT(((Recommendations[ImplStatus]="Implemented")+(Recommendations[ImplStatus]="Compensated"))*ISNUMBER(MATCH(Recommendations[Id],H56:AU56,0)))/COUNTIF(H56:AU56,"&lt;&gt;"))</f>
        <v/>
      </c>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2"/>
      <c r="AT56" s="272"/>
      <c r="AU56" s="286"/>
    </row>
    <row r="57" spans="1:47" ht="60" customHeight="1" x14ac:dyDescent="0.35">
      <c r="A57" s="282" t="s">
        <v>4864</v>
      </c>
      <c r="B57" s="260" t="s">
        <v>2134</v>
      </c>
      <c r="C57" s="261" t="s">
        <v>4976</v>
      </c>
      <c r="D57" s="264" t="s">
        <v>4977</v>
      </c>
      <c r="E57" s="265" t="s">
        <v>4964</v>
      </c>
      <c r="F57" s="268" t="s">
        <v>4965</v>
      </c>
      <c r="G57" s="271" t="str">
        <f>IF(COUNTIF(H57:AU57,"&lt;&gt;")=0,"",SUMPRODUCT(((Recommendations[ImplStatus]="Implemented")+(Recommendations[ImplStatus]="Compensated"))*ISNUMBER(MATCH(Recommendations[Id],H57:AU57,0)))/COUNTIF(H57:AU57,"&lt;&gt;"))</f>
        <v/>
      </c>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86"/>
    </row>
    <row r="58" spans="1:47" ht="60" customHeight="1" x14ac:dyDescent="0.35">
      <c r="A58" s="282" t="s">
        <v>4864</v>
      </c>
      <c r="B58" s="260" t="s">
        <v>2134</v>
      </c>
      <c r="C58" s="261" t="s">
        <v>4978</v>
      </c>
      <c r="D58" s="264" t="s">
        <v>4979</v>
      </c>
      <c r="E58" s="265" t="s">
        <v>4868</v>
      </c>
      <c r="F58" s="268" t="s">
        <v>4965</v>
      </c>
      <c r="G58" s="271" t="str">
        <f>IF(COUNTIF(H58:AU58,"&lt;&gt;")=0,"",SUMPRODUCT(((Recommendations[ImplStatus]="Implemented")+(Recommendations[ImplStatus]="Compensated"))*ISNUMBER(MATCH(Recommendations[Id],H58:AU58,0)))/COUNTIF(H58:AU58,"&lt;&gt;"))</f>
        <v/>
      </c>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86"/>
    </row>
    <row r="59" spans="1:47" ht="60" customHeight="1" x14ac:dyDescent="0.35">
      <c r="A59" s="282" t="s">
        <v>4864</v>
      </c>
      <c r="B59" s="260" t="s">
        <v>2134</v>
      </c>
      <c r="C59" s="261" t="s">
        <v>4980</v>
      </c>
      <c r="D59" s="264" t="s">
        <v>4981</v>
      </c>
      <c r="E59" s="265" t="s">
        <v>4868</v>
      </c>
      <c r="F59" s="268" t="s">
        <v>4965</v>
      </c>
      <c r="G59" s="271" t="str">
        <f>IF(COUNTIF(H59:AU59,"&lt;&gt;")=0,"",SUMPRODUCT(((Recommendations[ImplStatus]="Implemented")+(Recommendations[ImplStatus]="Compensated"))*ISNUMBER(MATCH(Recommendations[Id],H59:AU59,0)))/COUNTIF(H59:AU59,"&lt;&gt;"))</f>
        <v/>
      </c>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2"/>
      <c r="AR59" s="272"/>
      <c r="AS59" s="272"/>
      <c r="AT59" s="272"/>
      <c r="AU59" s="286"/>
    </row>
    <row r="60" spans="1:47" ht="60" customHeight="1" outlineLevel="2" x14ac:dyDescent="0.35">
      <c r="A60" s="281" t="s">
        <v>4864</v>
      </c>
      <c r="B60" s="259" t="s">
        <v>4982</v>
      </c>
      <c r="C60" s="259"/>
      <c r="D60" s="263"/>
      <c r="E60" s="259"/>
      <c r="F60" s="267"/>
      <c r="G60" s="270" t="str">
        <f>IF(COUNTIF(H60:AU60,"&lt;&gt;")=0,"",SUMPRODUCT(((Recommendations[ImplStatus]="Implemented")+(Recommendations[ImplStatus]="Compensated"))*ISNUMBER(MATCH(Recommendations[Id],H60:AU60,0)))/COUNTIF(H60:AU60,"&lt;&gt;"))</f>
        <v/>
      </c>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85"/>
    </row>
    <row r="61" spans="1:47" ht="60" customHeight="1" x14ac:dyDescent="0.35">
      <c r="A61" s="282" t="s">
        <v>4864</v>
      </c>
      <c r="B61" s="260" t="s">
        <v>4982</v>
      </c>
      <c r="C61" s="261" t="s">
        <v>4983</v>
      </c>
      <c r="D61" s="264" t="s">
        <v>4984</v>
      </c>
      <c r="E61" s="265" t="s">
        <v>4868</v>
      </c>
      <c r="F61" s="268" t="s">
        <v>4985</v>
      </c>
      <c r="G61" s="271" t="str">
        <f>IF(COUNTIF(H61:AU61,"&lt;&gt;")=0,"",SUMPRODUCT(((Recommendations[ImplStatus]="Implemented")+(Recommendations[ImplStatus]="Compensated"))*ISNUMBER(MATCH(Recommendations[Id],H61:AU61,0)))/COUNTIF(H61:AU61,"&lt;&gt;"))</f>
        <v/>
      </c>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86"/>
    </row>
    <row r="62" spans="1:47" ht="60" customHeight="1" x14ac:dyDescent="0.35">
      <c r="A62" s="282" t="s">
        <v>4864</v>
      </c>
      <c r="B62" s="260" t="s">
        <v>4982</v>
      </c>
      <c r="C62" s="261" t="s">
        <v>4986</v>
      </c>
      <c r="D62" s="264" t="s">
        <v>4987</v>
      </c>
      <c r="E62" s="265" t="s">
        <v>4868</v>
      </c>
      <c r="F62" s="268" t="s">
        <v>4985</v>
      </c>
      <c r="G62" s="271" t="str">
        <f>IF(COUNTIF(H62:AU62,"&lt;&gt;")=0,"",SUMPRODUCT(((Recommendations[ImplStatus]="Implemented")+(Recommendations[ImplStatus]="Compensated"))*ISNUMBER(MATCH(Recommendations[Id],H62:AU62,0)))/COUNTIF(H62:AU62,"&lt;&gt;"))</f>
        <v/>
      </c>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86"/>
    </row>
    <row r="63" spans="1:47" ht="60" customHeight="1" x14ac:dyDescent="0.35">
      <c r="A63" s="282" t="s">
        <v>4864</v>
      </c>
      <c r="B63" s="260" t="s">
        <v>4982</v>
      </c>
      <c r="C63" s="261" t="s">
        <v>4988</v>
      </c>
      <c r="D63" s="264" t="s">
        <v>4989</v>
      </c>
      <c r="E63" s="265" t="s">
        <v>4868</v>
      </c>
      <c r="F63" s="268" t="s">
        <v>4985</v>
      </c>
      <c r="G63" s="271" t="str">
        <f>IF(COUNTIF(H63:AU63,"&lt;&gt;")=0,"",SUMPRODUCT(((Recommendations[ImplStatus]="Implemented")+(Recommendations[ImplStatus]="Compensated"))*ISNUMBER(MATCH(Recommendations[Id],H63:AU63,0)))/COUNTIF(H63:AU63,"&lt;&gt;"))</f>
        <v/>
      </c>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86"/>
    </row>
    <row r="64" spans="1:47" ht="60" customHeight="1" x14ac:dyDescent="0.35">
      <c r="A64" s="282" t="s">
        <v>4864</v>
      </c>
      <c r="B64" s="260" t="s">
        <v>4982</v>
      </c>
      <c r="C64" s="261" t="s">
        <v>4990</v>
      </c>
      <c r="D64" s="264" t="s">
        <v>4991</v>
      </c>
      <c r="E64" s="265" t="s">
        <v>4868</v>
      </c>
      <c r="F64" s="268" t="s">
        <v>4985</v>
      </c>
      <c r="G64" s="271" t="str">
        <f>IF(COUNTIF(H64:AU64,"&lt;&gt;")=0,"",SUMPRODUCT(((Recommendations[ImplStatus]="Implemented")+(Recommendations[ImplStatus]="Compensated"))*ISNUMBER(MATCH(Recommendations[Id],H64:AU64,0)))/COUNTIF(H64:AU64,"&lt;&gt;"))</f>
        <v/>
      </c>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86"/>
    </row>
    <row r="65" spans="1:47" ht="60" customHeight="1" x14ac:dyDescent="0.35">
      <c r="A65" s="282" t="s">
        <v>4864</v>
      </c>
      <c r="B65" s="260" t="s">
        <v>4982</v>
      </c>
      <c r="C65" s="261" t="s">
        <v>4992</v>
      </c>
      <c r="D65" s="264" t="s">
        <v>4993</v>
      </c>
      <c r="E65" s="265" t="s">
        <v>4868</v>
      </c>
      <c r="F65" s="268" t="s">
        <v>4985</v>
      </c>
      <c r="G65" s="271" t="str">
        <f>IF(COUNTIF(H65:AU65,"&lt;&gt;")=0,"",SUMPRODUCT(((Recommendations[ImplStatus]="Implemented")+(Recommendations[ImplStatus]="Compensated"))*ISNUMBER(MATCH(Recommendations[Id],H65:AU65,0)))/COUNTIF(H65:AU65,"&lt;&gt;"))</f>
        <v/>
      </c>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86"/>
    </row>
    <row r="66" spans="1:47" ht="60" customHeight="1" x14ac:dyDescent="0.35">
      <c r="A66" s="282" t="s">
        <v>4864</v>
      </c>
      <c r="B66" s="260" t="s">
        <v>4982</v>
      </c>
      <c r="C66" s="261" t="s">
        <v>4994</v>
      </c>
      <c r="D66" s="264" t="s">
        <v>4995</v>
      </c>
      <c r="E66" s="265" t="s">
        <v>4868</v>
      </c>
      <c r="F66" s="268" t="s">
        <v>4985</v>
      </c>
      <c r="G66" s="271" t="str">
        <f>IF(COUNTIF(H66:AU66,"&lt;&gt;")=0,"",SUMPRODUCT(((Recommendations[ImplStatus]="Implemented")+(Recommendations[ImplStatus]="Compensated"))*ISNUMBER(MATCH(Recommendations[Id],H66:AU66,0)))/COUNTIF(H66:AU66,"&lt;&gt;"))</f>
        <v/>
      </c>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86"/>
    </row>
    <row r="67" spans="1:47" ht="60" customHeight="1" x14ac:dyDescent="0.35">
      <c r="A67" s="282" t="s">
        <v>4864</v>
      </c>
      <c r="B67" s="260" t="s">
        <v>4982</v>
      </c>
      <c r="C67" s="261" t="s">
        <v>4996</v>
      </c>
      <c r="D67" s="264" t="s">
        <v>4997</v>
      </c>
      <c r="E67" s="265" t="s">
        <v>4868</v>
      </c>
      <c r="F67" s="268" t="s">
        <v>4985</v>
      </c>
      <c r="G67" s="271" t="str">
        <f>IF(COUNTIF(H67:AU67,"&lt;&gt;")=0,"",SUMPRODUCT(((Recommendations[ImplStatus]="Implemented")+(Recommendations[ImplStatus]="Compensated"))*ISNUMBER(MATCH(Recommendations[Id],H67:AU67,0)))/COUNTIF(H67:AU67,"&lt;&gt;"))</f>
        <v/>
      </c>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86"/>
    </row>
    <row r="68" spans="1:47" ht="60" customHeight="1" x14ac:dyDescent="0.35">
      <c r="A68" s="282" t="s">
        <v>4864</v>
      </c>
      <c r="B68" s="260" t="s">
        <v>4982</v>
      </c>
      <c r="C68" s="261" t="s">
        <v>4998</v>
      </c>
      <c r="D68" s="264" t="s">
        <v>4999</v>
      </c>
      <c r="E68" s="265" t="s">
        <v>4868</v>
      </c>
      <c r="F68" s="268" t="s">
        <v>5000</v>
      </c>
      <c r="G68" s="271" t="str">
        <f>IF(COUNTIF(H68:AU68,"&lt;&gt;")=0,"",SUMPRODUCT(((Recommendations[ImplStatus]="Implemented")+(Recommendations[ImplStatus]="Compensated"))*ISNUMBER(MATCH(Recommendations[Id],H68:AU68,0)))/COUNTIF(H68:AU68,"&lt;&gt;"))</f>
        <v/>
      </c>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86"/>
    </row>
    <row r="69" spans="1:47" ht="60" customHeight="1" x14ac:dyDescent="0.35">
      <c r="A69" s="282" t="s">
        <v>4864</v>
      </c>
      <c r="B69" s="260" t="s">
        <v>4982</v>
      </c>
      <c r="C69" s="261" t="s">
        <v>5001</v>
      </c>
      <c r="D69" s="264" t="s">
        <v>5002</v>
      </c>
      <c r="E69" s="265" t="s">
        <v>4868</v>
      </c>
      <c r="F69" s="268" t="s">
        <v>5000</v>
      </c>
      <c r="G69" s="271" t="str">
        <f>IF(COUNTIF(H69:AU69,"&lt;&gt;")=0,"",SUMPRODUCT(((Recommendations[ImplStatus]="Implemented")+(Recommendations[ImplStatus]="Compensated"))*ISNUMBER(MATCH(Recommendations[Id],H69:AU69,0)))/COUNTIF(H69:AU69,"&lt;&gt;"))</f>
        <v/>
      </c>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86"/>
    </row>
    <row r="70" spans="1:47" ht="60" customHeight="1" x14ac:dyDescent="0.35">
      <c r="A70" s="282" t="s">
        <v>4864</v>
      </c>
      <c r="B70" s="260" t="s">
        <v>4982</v>
      </c>
      <c r="C70" s="261" t="s">
        <v>5003</v>
      </c>
      <c r="D70" s="264" t="s">
        <v>5004</v>
      </c>
      <c r="E70" s="265" t="s">
        <v>4868</v>
      </c>
      <c r="F70" s="268" t="s">
        <v>5000</v>
      </c>
      <c r="G70" s="271" t="str">
        <f>IF(COUNTIF(H70:AU70,"&lt;&gt;")=0,"",SUMPRODUCT(((Recommendations[ImplStatus]="Implemented")+(Recommendations[ImplStatus]="Compensated"))*ISNUMBER(MATCH(Recommendations[Id],H70:AU70,0)))/COUNTIF(H70:AU70,"&lt;&gt;"))</f>
        <v/>
      </c>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86"/>
    </row>
    <row r="71" spans="1:47" ht="60" customHeight="1" x14ac:dyDescent="0.35">
      <c r="A71" s="282" t="s">
        <v>4864</v>
      </c>
      <c r="B71" s="260" t="s">
        <v>4982</v>
      </c>
      <c r="C71" s="261" t="s">
        <v>5005</v>
      </c>
      <c r="D71" s="264" t="s">
        <v>5006</v>
      </c>
      <c r="E71" s="265" t="s">
        <v>4868</v>
      </c>
      <c r="F71" s="268" t="s">
        <v>5007</v>
      </c>
      <c r="G71" s="271" t="str">
        <f>IF(COUNTIF(H71:AU71,"&lt;&gt;")=0,"",SUMPRODUCT(((Recommendations[ImplStatus]="Implemented")+(Recommendations[ImplStatus]="Compensated"))*ISNUMBER(MATCH(Recommendations[Id],H71:AU71,0)))/COUNTIF(H71:AU71,"&lt;&gt;"))</f>
        <v/>
      </c>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86"/>
    </row>
    <row r="72" spans="1:47" ht="60" customHeight="1" x14ac:dyDescent="0.35">
      <c r="A72" s="282" t="s">
        <v>4864</v>
      </c>
      <c r="B72" s="260" t="s">
        <v>4982</v>
      </c>
      <c r="C72" s="261" t="s">
        <v>5008</v>
      </c>
      <c r="D72" s="264" t="s">
        <v>5009</v>
      </c>
      <c r="E72" s="265" t="s">
        <v>4868</v>
      </c>
      <c r="F72" s="268" t="s">
        <v>4985</v>
      </c>
      <c r="G72" s="271" t="str">
        <f>IF(COUNTIF(H72:AU72,"&lt;&gt;")=0,"",SUMPRODUCT(((Recommendations[ImplStatus]="Implemented")+(Recommendations[ImplStatus]="Compensated"))*ISNUMBER(MATCH(Recommendations[Id],H72:AU72,0)))/COUNTIF(H72:AU72,"&lt;&gt;"))</f>
        <v/>
      </c>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86"/>
    </row>
    <row r="73" spans="1:47" ht="60" customHeight="1" x14ac:dyDescent="0.35">
      <c r="A73" s="282" t="s">
        <v>4864</v>
      </c>
      <c r="B73" s="260" t="s">
        <v>4982</v>
      </c>
      <c r="C73" s="261" t="s">
        <v>5010</v>
      </c>
      <c r="D73" s="264" t="s">
        <v>5011</v>
      </c>
      <c r="E73" s="265" t="s">
        <v>5012</v>
      </c>
      <c r="F73" s="268" t="s">
        <v>4985</v>
      </c>
      <c r="G73" s="271" t="str">
        <f>IF(COUNTIF(H73:AU73,"&lt;&gt;")=0,"",SUMPRODUCT(((Recommendations[ImplStatus]="Implemented")+(Recommendations[ImplStatus]="Compensated"))*ISNUMBER(MATCH(Recommendations[Id],H73:AU73,0)))/COUNTIF(H73:AU73,"&lt;&gt;"))</f>
        <v/>
      </c>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86"/>
    </row>
    <row r="74" spans="1:47" ht="60" customHeight="1" outlineLevel="2" x14ac:dyDescent="0.35">
      <c r="A74" s="281" t="s">
        <v>4864</v>
      </c>
      <c r="B74" s="259" t="s">
        <v>5013</v>
      </c>
      <c r="C74" s="259"/>
      <c r="D74" s="263"/>
      <c r="E74" s="259"/>
      <c r="F74" s="267"/>
      <c r="G74" s="270" t="str">
        <f>IF(COUNTIF(H74:AU74,"&lt;&gt;")=0,"",SUMPRODUCT(((Recommendations[ImplStatus]="Implemented")+(Recommendations[ImplStatus]="Compensated"))*ISNUMBER(MATCH(Recommendations[Id],H74:AU74,0)))/COUNTIF(H74:AU74,"&lt;&gt;"))</f>
        <v/>
      </c>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85"/>
    </row>
    <row r="75" spans="1:47" ht="60" customHeight="1" x14ac:dyDescent="0.35">
      <c r="A75" s="282" t="s">
        <v>4864</v>
      </c>
      <c r="B75" s="260" t="s">
        <v>5013</v>
      </c>
      <c r="C75" s="261" t="s">
        <v>5014</v>
      </c>
      <c r="D75" s="264" t="s">
        <v>5015</v>
      </c>
      <c r="E75" s="265" t="s">
        <v>5012</v>
      </c>
      <c r="F75" s="268" t="s">
        <v>5016</v>
      </c>
      <c r="G75" s="271" t="str">
        <f>IF(COUNTIF(H75:AU75,"&lt;&gt;")=0,"",SUMPRODUCT(((Recommendations[ImplStatus]="Implemented")+(Recommendations[ImplStatus]="Compensated"))*ISNUMBER(MATCH(Recommendations[Id],H75:AU75,0)))/COUNTIF(H75:AU75,"&lt;&gt;"))</f>
        <v/>
      </c>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86"/>
    </row>
    <row r="76" spans="1:47" ht="60" customHeight="1" x14ac:dyDescent="0.35">
      <c r="A76" s="282" t="s">
        <v>4864</v>
      </c>
      <c r="B76" s="260" t="s">
        <v>5013</v>
      </c>
      <c r="C76" s="261" t="s">
        <v>5017</v>
      </c>
      <c r="D76" s="264" t="s">
        <v>5018</v>
      </c>
      <c r="E76" s="265" t="s">
        <v>5012</v>
      </c>
      <c r="F76" s="268" t="s">
        <v>5016</v>
      </c>
      <c r="G76" s="271" t="str">
        <f>IF(COUNTIF(H76:AU76,"&lt;&gt;")=0,"",SUMPRODUCT(((Recommendations[ImplStatus]="Implemented")+(Recommendations[ImplStatus]="Compensated"))*ISNUMBER(MATCH(Recommendations[Id],H76:AU76,0)))/COUNTIF(H76:AU76,"&lt;&gt;"))</f>
        <v/>
      </c>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86"/>
    </row>
    <row r="77" spans="1:47" ht="60" customHeight="1" x14ac:dyDescent="0.35">
      <c r="A77" s="282" t="s">
        <v>4864</v>
      </c>
      <c r="B77" s="260" t="s">
        <v>5013</v>
      </c>
      <c r="C77" s="261" t="s">
        <v>5019</v>
      </c>
      <c r="D77" s="264" t="s">
        <v>5020</v>
      </c>
      <c r="E77" s="265" t="s">
        <v>5012</v>
      </c>
      <c r="F77" s="268" t="s">
        <v>5016</v>
      </c>
      <c r="G77" s="271" t="str">
        <f>IF(COUNTIF(H77:AU77,"&lt;&gt;")=0,"",SUMPRODUCT(((Recommendations[ImplStatus]="Implemented")+(Recommendations[ImplStatus]="Compensated"))*ISNUMBER(MATCH(Recommendations[Id],H77:AU77,0)))/COUNTIF(H77:AU77,"&lt;&gt;"))</f>
        <v/>
      </c>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86"/>
    </row>
    <row r="78" spans="1:47" ht="60" customHeight="1" x14ac:dyDescent="0.35">
      <c r="A78" s="282" t="s">
        <v>4864</v>
      </c>
      <c r="B78" s="260" t="s">
        <v>5013</v>
      </c>
      <c r="C78" s="261" t="s">
        <v>5021</v>
      </c>
      <c r="D78" s="264" t="s">
        <v>5022</v>
      </c>
      <c r="E78" s="265" t="s">
        <v>5012</v>
      </c>
      <c r="F78" s="268" t="s">
        <v>5016</v>
      </c>
      <c r="G78" s="271" t="str">
        <f>IF(COUNTIF(H78:AU78,"&lt;&gt;")=0,"",SUMPRODUCT(((Recommendations[ImplStatus]="Implemented")+(Recommendations[ImplStatus]="Compensated"))*ISNUMBER(MATCH(Recommendations[Id],H78:AU78,0)))/COUNTIF(H78:AU78,"&lt;&gt;"))</f>
        <v/>
      </c>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86"/>
    </row>
    <row r="79" spans="1:47" ht="60" customHeight="1" x14ac:dyDescent="0.35">
      <c r="A79" s="282" t="s">
        <v>4864</v>
      </c>
      <c r="B79" s="260" t="s">
        <v>5013</v>
      </c>
      <c r="C79" s="261" t="s">
        <v>5023</v>
      </c>
      <c r="D79" s="264" t="s">
        <v>5024</v>
      </c>
      <c r="E79" s="265" t="s">
        <v>5012</v>
      </c>
      <c r="F79" s="268" t="s">
        <v>5016</v>
      </c>
      <c r="G79" s="271" t="str">
        <f>IF(COUNTIF(H79:AU79,"&lt;&gt;")=0,"",SUMPRODUCT(((Recommendations[ImplStatus]="Implemented")+(Recommendations[ImplStatus]="Compensated"))*ISNUMBER(MATCH(Recommendations[Id],H79:AU79,0)))/COUNTIF(H79:AU79,"&lt;&gt;"))</f>
        <v/>
      </c>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86"/>
    </row>
    <row r="80" spans="1:47" ht="60" customHeight="1" x14ac:dyDescent="0.35">
      <c r="A80" s="282" t="s">
        <v>4864</v>
      </c>
      <c r="B80" s="260" t="s">
        <v>5013</v>
      </c>
      <c r="C80" s="261" t="s">
        <v>5025</v>
      </c>
      <c r="D80" s="264" t="s">
        <v>5026</v>
      </c>
      <c r="E80" s="265" t="s">
        <v>5012</v>
      </c>
      <c r="F80" s="268" t="s">
        <v>5016</v>
      </c>
      <c r="G80" s="271" t="str">
        <f>IF(COUNTIF(H80:AU80,"&lt;&gt;")=0,"",SUMPRODUCT(((Recommendations[ImplStatus]="Implemented")+(Recommendations[ImplStatus]="Compensated"))*ISNUMBER(MATCH(Recommendations[Id],H80:AU80,0)))/COUNTIF(H80:AU80,"&lt;&gt;"))</f>
        <v/>
      </c>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86"/>
    </row>
    <row r="81" spans="1:47" ht="60" customHeight="1" x14ac:dyDescent="0.35">
      <c r="A81" s="282" t="s">
        <v>4864</v>
      </c>
      <c r="B81" s="260" t="s">
        <v>5013</v>
      </c>
      <c r="C81" s="261" t="s">
        <v>5027</v>
      </c>
      <c r="D81" s="264" t="s">
        <v>5028</v>
      </c>
      <c r="E81" s="265" t="s">
        <v>5012</v>
      </c>
      <c r="F81" s="268" t="s">
        <v>5016</v>
      </c>
      <c r="G81" s="271" t="str">
        <f>IF(COUNTIF(H81:AU81,"&lt;&gt;")=0,"",SUMPRODUCT(((Recommendations[ImplStatus]="Implemented")+(Recommendations[ImplStatus]="Compensated"))*ISNUMBER(MATCH(Recommendations[Id],H81:AU81,0)))/COUNTIF(H81:AU81,"&lt;&gt;"))</f>
        <v/>
      </c>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86"/>
    </row>
    <row r="82" spans="1:47" ht="60" customHeight="1" x14ac:dyDescent="0.35">
      <c r="A82" s="282" t="s">
        <v>4864</v>
      </c>
      <c r="B82" s="260" t="s">
        <v>5013</v>
      </c>
      <c r="C82" s="261" t="s">
        <v>5029</v>
      </c>
      <c r="D82" s="264" t="s">
        <v>5030</v>
      </c>
      <c r="E82" s="265" t="s">
        <v>5012</v>
      </c>
      <c r="F82" s="268" t="s">
        <v>5016</v>
      </c>
      <c r="G82" s="271" t="str">
        <f>IF(COUNTIF(H82:AU82,"&lt;&gt;")=0,"",SUMPRODUCT(((Recommendations[ImplStatus]="Implemented")+(Recommendations[ImplStatus]="Compensated"))*ISNUMBER(MATCH(Recommendations[Id],H82:AU82,0)))/COUNTIF(H82:AU82,"&lt;&gt;"))</f>
        <v/>
      </c>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86"/>
    </row>
    <row r="83" spans="1:47" ht="60" customHeight="1" x14ac:dyDescent="0.35">
      <c r="A83" s="282" t="s">
        <v>4864</v>
      </c>
      <c r="B83" s="260" t="s">
        <v>5013</v>
      </c>
      <c r="C83" s="261" t="s">
        <v>5031</v>
      </c>
      <c r="D83" s="264" t="s">
        <v>5032</v>
      </c>
      <c r="E83" s="265" t="s">
        <v>5012</v>
      </c>
      <c r="F83" s="268" t="s">
        <v>5016</v>
      </c>
      <c r="G83" s="271" t="str">
        <f>IF(COUNTIF(H83:AU83,"&lt;&gt;")=0,"",SUMPRODUCT(((Recommendations[ImplStatus]="Implemented")+(Recommendations[ImplStatus]="Compensated"))*ISNUMBER(MATCH(Recommendations[Id],H83:AU83,0)))/COUNTIF(H83:AU83,"&lt;&gt;"))</f>
        <v/>
      </c>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86"/>
    </row>
    <row r="84" spans="1:47" ht="60" customHeight="1" x14ac:dyDescent="0.35">
      <c r="A84" s="282" t="s">
        <v>4864</v>
      </c>
      <c r="B84" s="260" t="s">
        <v>5013</v>
      </c>
      <c r="C84" s="261" t="s">
        <v>5033</v>
      </c>
      <c r="D84" s="264" t="s">
        <v>5034</v>
      </c>
      <c r="E84" s="265" t="s">
        <v>5012</v>
      </c>
      <c r="F84" s="268" t="s">
        <v>5016</v>
      </c>
      <c r="G84" s="271" t="str">
        <f>IF(COUNTIF(H84:AU84,"&lt;&gt;")=0,"",SUMPRODUCT(((Recommendations[ImplStatus]="Implemented")+(Recommendations[ImplStatus]="Compensated"))*ISNUMBER(MATCH(Recommendations[Id],H84:AU84,0)))/COUNTIF(H84:AU84,"&lt;&gt;"))</f>
        <v/>
      </c>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86"/>
    </row>
    <row r="85" spans="1:47" ht="60" customHeight="1" x14ac:dyDescent="0.35">
      <c r="A85" s="282" t="s">
        <v>4864</v>
      </c>
      <c r="B85" s="260" t="s">
        <v>5013</v>
      </c>
      <c r="C85" s="261" t="s">
        <v>5035</v>
      </c>
      <c r="D85" s="264" t="s">
        <v>5036</v>
      </c>
      <c r="E85" s="265" t="s">
        <v>5012</v>
      </c>
      <c r="F85" s="268" t="s">
        <v>5016</v>
      </c>
      <c r="G85" s="271" t="str">
        <f>IF(COUNTIF(H85:AU85,"&lt;&gt;")=0,"",SUMPRODUCT(((Recommendations[ImplStatus]="Implemented")+(Recommendations[ImplStatus]="Compensated"))*ISNUMBER(MATCH(Recommendations[Id],H85:AU85,0)))/COUNTIF(H85:AU85,"&lt;&gt;"))</f>
        <v/>
      </c>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86"/>
    </row>
    <row r="86" spans="1:47" ht="60" customHeight="1" x14ac:dyDescent="0.35">
      <c r="A86" s="282" t="s">
        <v>4864</v>
      </c>
      <c r="B86" s="260" t="s">
        <v>5013</v>
      </c>
      <c r="C86" s="261" t="s">
        <v>5037</v>
      </c>
      <c r="D86" s="264" t="s">
        <v>5038</v>
      </c>
      <c r="E86" s="265" t="s">
        <v>5012</v>
      </c>
      <c r="F86" s="268" t="s">
        <v>5016</v>
      </c>
      <c r="G86" s="271" t="str">
        <f>IF(COUNTIF(H86:AU86,"&lt;&gt;")=0,"",SUMPRODUCT(((Recommendations[ImplStatus]="Implemented")+(Recommendations[ImplStatus]="Compensated"))*ISNUMBER(MATCH(Recommendations[Id],H86:AU86,0)))/COUNTIF(H86:AU86,"&lt;&gt;"))</f>
        <v/>
      </c>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86"/>
    </row>
    <row r="87" spans="1:47" ht="60" customHeight="1" x14ac:dyDescent="0.35">
      <c r="A87" s="282" t="s">
        <v>4864</v>
      </c>
      <c r="B87" s="260" t="s">
        <v>5013</v>
      </c>
      <c r="C87" s="261" t="s">
        <v>5039</v>
      </c>
      <c r="D87" s="264" t="s">
        <v>5040</v>
      </c>
      <c r="E87" s="265" t="s">
        <v>5012</v>
      </c>
      <c r="F87" s="268" t="s">
        <v>5016</v>
      </c>
      <c r="G87" s="271" t="str">
        <f>IF(COUNTIF(H87:AU87,"&lt;&gt;")=0,"",SUMPRODUCT(((Recommendations[ImplStatus]="Implemented")+(Recommendations[ImplStatus]="Compensated"))*ISNUMBER(MATCH(Recommendations[Id],H87:AU87,0)))/COUNTIF(H87:AU87,"&lt;&gt;"))</f>
        <v/>
      </c>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86"/>
    </row>
    <row r="88" spans="1:47" ht="60" customHeight="1" x14ac:dyDescent="0.35">
      <c r="A88" s="282" t="s">
        <v>4864</v>
      </c>
      <c r="B88" s="260" t="s">
        <v>5013</v>
      </c>
      <c r="C88" s="261" t="s">
        <v>5041</v>
      </c>
      <c r="D88" s="264" t="s">
        <v>5042</v>
      </c>
      <c r="E88" s="265" t="s">
        <v>5012</v>
      </c>
      <c r="F88" s="268" t="s">
        <v>5000</v>
      </c>
      <c r="G88" s="271" t="str">
        <f>IF(COUNTIF(H88:AU88,"&lt;&gt;")=0,"",SUMPRODUCT(((Recommendations[ImplStatus]="Implemented")+(Recommendations[ImplStatus]="Compensated"))*ISNUMBER(MATCH(Recommendations[Id],H88:AU88,0)))/COUNTIF(H88:AU88,"&lt;&gt;"))</f>
        <v/>
      </c>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86"/>
    </row>
    <row r="89" spans="1:47" ht="60" customHeight="1" x14ac:dyDescent="0.35">
      <c r="A89" s="282" t="s">
        <v>4864</v>
      </c>
      <c r="B89" s="260" t="s">
        <v>5013</v>
      </c>
      <c r="C89" s="261" t="s">
        <v>5043</v>
      </c>
      <c r="D89" s="264" t="s">
        <v>5044</v>
      </c>
      <c r="E89" s="265" t="s">
        <v>5012</v>
      </c>
      <c r="F89" s="268" t="s">
        <v>5000</v>
      </c>
      <c r="G89" s="271" t="str">
        <f>IF(COUNTIF(H89:AU89,"&lt;&gt;")=0,"",SUMPRODUCT(((Recommendations[ImplStatus]="Implemented")+(Recommendations[ImplStatus]="Compensated"))*ISNUMBER(MATCH(Recommendations[Id],H89:AU89,0)))/COUNTIF(H89:AU89,"&lt;&gt;"))</f>
        <v/>
      </c>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86"/>
    </row>
    <row r="90" spans="1:47" ht="60" customHeight="1" x14ac:dyDescent="0.35">
      <c r="A90" s="282" t="s">
        <v>4864</v>
      </c>
      <c r="B90" s="260" t="s">
        <v>5013</v>
      </c>
      <c r="C90" s="261" t="s">
        <v>5045</v>
      </c>
      <c r="D90" s="264" t="s">
        <v>5046</v>
      </c>
      <c r="E90" s="265" t="s">
        <v>5012</v>
      </c>
      <c r="F90" s="268" t="s">
        <v>5000</v>
      </c>
      <c r="G90" s="271" t="str">
        <f>IF(COUNTIF(H90:AU90,"&lt;&gt;")=0,"",SUMPRODUCT(((Recommendations[ImplStatus]="Implemented")+(Recommendations[ImplStatus]="Compensated"))*ISNUMBER(MATCH(Recommendations[Id],H90:AU90,0)))/COUNTIF(H90:AU90,"&lt;&gt;"))</f>
        <v/>
      </c>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86"/>
    </row>
    <row r="91" spans="1:47" ht="60" customHeight="1" outlineLevel="2" x14ac:dyDescent="0.35">
      <c r="A91" s="281" t="s">
        <v>4864</v>
      </c>
      <c r="B91" s="259" t="s">
        <v>5047</v>
      </c>
      <c r="C91" s="259"/>
      <c r="D91" s="263"/>
      <c r="E91" s="259"/>
      <c r="F91" s="267"/>
      <c r="G91" s="270" t="str">
        <f>IF(COUNTIF(H91:AU91,"&lt;&gt;")=0,"",SUMPRODUCT(((Recommendations[ImplStatus]="Implemented")+(Recommendations[ImplStatus]="Compensated"))*ISNUMBER(MATCH(Recommendations[Id],H91:AU91,0)))/COUNTIF(H91:AU91,"&lt;&gt;"))</f>
        <v/>
      </c>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85"/>
    </row>
    <row r="92" spans="1:47" ht="60" customHeight="1" x14ac:dyDescent="0.35">
      <c r="A92" s="282" t="s">
        <v>4864</v>
      </c>
      <c r="B92" s="260" t="s">
        <v>5047</v>
      </c>
      <c r="C92" s="261" t="s">
        <v>5048</v>
      </c>
      <c r="D92" s="264" t="s">
        <v>5049</v>
      </c>
      <c r="E92" s="265" t="s">
        <v>4868</v>
      </c>
      <c r="F92" s="268" t="s">
        <v>5000</v>
      </c>
      <c r="G92" s="271" t="str">
        <f>IF(COUNTIF(H92:AU92,"&lt;&gt;")=0,"",SUMPRODUCT(((Recommendations[ImplStatus]="Implemented")+(Recommendations[ImplStatus]="Compensated"))*ISNUMBER(MATCH(Recommendations[Id],H92:AU92,0)))/COUNTIF(H92:AU92,"&lt;&gt;"))</f>
        <v/>
      </c>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86"/>
    </row>
    <row r="93" spans="1:47" ht="60" customHeight="1" x14ac:dyDescent="0.35">
      <c r="A93" s="282" t="s">
        <v>4864</v>
      </c>
      <c r="B93" s="260" t="s">
        <v>5047</v>
      </c>
      <c r="C93" s="261" t="s">
        <v>5050</v>
      </c>
      <c r="D93" s="264" t="s">
        <v>5051</v>
      </c>
      <c r="E93" s="265" t="s">
        <v>4868</v>
      </c>
      <c r="F93" s="268" t="s">
        <v>5000</v>
      </c>
      <c r="G93" s="271" t="str">
        <f>IF(COUNTIF(H93:AU93,"&lt;&gt;")=0,"",SUMPRODUCT(((Recommendations[ImplStatus]="Implemented")+(Recommendations[ImplStatus]="Compensated"))*ISNUMBER(MATCH(Recommendations[Id],H93:AU93,0)))/COUNTIF(H93:AU93,"&lt;&gt;"))</f>
        <v/>
      </c>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86"/>
    </row>
    <row r="94" spans="1:47" ht="60" customHeight="1" x14ac:dyDescent="0.35">
      <c r="A94" s="282" t="s">
        <v>4864</v>
      </c>
      <c r="B94" s="260" t="s">
        <v>5047</v>
      </c>
      <c r="C94" s="261" t="s">
        <v>5052</v>
      </c>
      <c r="D94" s="264" t="s">
        <v>5053</v>
      </c>
      <c r="E94" s="265" t="s">
        <v>4868</v>
      </c>
      <c r="F94" s="268" t="s">
        <v>5000</v>
      </c>
      <c r="G94" s="271" t="str">
        <f>IF(COUNTIF(H94:AU94,"&lt;&gt;")=0,"",SUMPRODUCT(((Recommendations[ImplStatus]="Implemented")+(Recommendations[ImplStatus]="Compensated"))*ISNUMBER(MATCH(Recommendations[Id],H94:AU94,0)))/COUNTIF(H94:AU94,"&lt;&gt;"))</f>
        <v/>
      </c>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86"/>
    </row>
    <row r="95" spans="1:47" ht="60" customHeight="1" x14ac:dyDescent="0.35">
      <c r="A95" s="282" t="s">
        <v>4864</v>
      </c>
      <c r="B95" s="260" t="s">
        <v>5047</v>
      </c>
      <c r="C95" s="261" t="s">
        <v>5054</v>
      </c>
      <c r="D95" s="264" t="s">
        <v>5055</v>
      </c>
      <c r="E95" s="265" t="s">
        <v>4868</v>
      </c>
      <c r="F95" s="268" t="s">
        <v>5000</v>
      </c>
      <c r="G95" s="271" t="str">
        <f>IF(COUNTIF(H95:AU95,"&lt;&gt;")=0,"",SUMPRODUCT(((Recommendations[ImplStatus]="Implemented")+(Recommendations[ImplStatus]="Compensated"))*ISNUMBER(MATCH(Recommendations[Id],H95:AU95,0)))/COUNTIF(H95:AU95,"&lt;&gt;"))</f>
        <v/>
      </c>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86"/>
    </row>
    <row r="96" spans="1:47" ht="60" customHeight="1" x14ac:dyDescent="0.35">
      <c r="A96" s="282" t="s">
        <v>4864</v>
      </c>
      <c r="B96" s="260" t="s">
        <v>5047</v>
      </c>
      <c r="C96" s="261" t="s">
        <v>5056</v>
      </c>
      <c r="D96" s="264" t="s">
        <v>5057</v>
      </c>
      <c r="E96" s="265" t="s">
        <v>4868</v>
      </c>
      <c r="F96" s="268" t="s">
        <v>5000</v>
      </c>
      <c r="G96" s="271" t="str">
        <f>IF(COUNTIF(H96:AU96,"&lt;&gt;")=0,"",SUMPRODUCT(((Recommendations[ImplStatus]="Implemented")+(Recommendations[ImplStatus]="Compensated"))*ISNUMBER(MATCH(Recommendations[Id],H96:AU96,0)))/COUNTIF(H96:AU96,"&lt;&gt;"))</f>
        <v/>
      </c>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86"/>
    </row>
    <row r="97" spans="1:47" ht="60" customHeight="1" x14ac:dyDescent="0.35">
      <c r="A97" s="282" t="s">
        <v>4864</v>
      </c>
      <c r="B97" s="260" t="s">
        <v>5047</v>
      </c>
      <c r="C97" s="261" t="s">
        <v>5058</v>
      </c>
      <c r="D97" s="264" t="s">
        <v>5059</v>
      </c>
      <c r="E97" s="265" t="s">
        <v>4868</v>
      </c>
      <c r="F97" s="268" t="s">
        <v>5060</v>
      </c>
      <c r="G97" s="271" t="str">
        <f>IF(COUNTIF(H97:AU97,"&lt;&gt;")=0,"",SUMPRODUCT(((Recommendations[ImplStatus]="Implemented")+(Recommendations[ImplStatus]="Compensated"))*ISNUMBER(MATCH(Recommendations[Id],H97:AU97,0)))/COUNTIF(H97:AU97,"&lt;&gt;"))</f>
        <v/>
      </c>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86"/>
    </row>
    <row r="98" spans="1:47" ht="60" customHeight="1" x14ac:dyDescent="0.35">
      <c r="A98" s="282" t="s">
        <v>4864</v>
      </c>
      <c r="B98" s="260" t="s">
        <v>5047</v>
      </c>
      <c r="C98" s="261" t="s">
        <v>5061</v>
      </c>
      <c r="D98" s="264" t="s">
        <v>5062</v>
      </c>
      <c r="E98" s="265" t="s">
        <v>4868</v>
      </c>
      <c r="F98" s="268" t="s">
        <v>5060</v>
      </c>
      <c r="G98" s="271" t="str">
        <f>IF(COUNTIF(H98:AU98,"&lt;&gt;")=0,"",SUMPRODUCT(((Recommendations[ImplStatus]="Implemented")+(Recommendations[ImplStatus]="Compensated"))*ISNUMBER(MATCH(Recommendations[Id],H98:AU98,0)))/COUNTIF(H98:AU98,"&lt;&gt;"))</f>
        <v/>
      </c>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86"/>
    </row>
    <row r="99" spans="1:47" ht="60" customHeight="1" x14ac:dyDescent="0.35">
      <c r="A99" s="282" t="s">
        <v>4864</v>
      </c>
      <c r="B99" s="260" t="s">
        <v>5047</v>
      </c>
      <c r="C99" s="261" t="s">
        <v>5063</v>
      </c>
      <c r="D99" s="264" t="s">
        <v>5064</v>
      </c>
      <c r="E99" s="265" t="s">
        <v>4868</v>
      </c>
      <c r="F99" s="268" t="s">
        <v>5060</v>
      </c>
      <c r="G99" s="271" t="str">
        <f>IF(COUNTIF(H99:AU99,"&lt;&gt;")=0,"",SUMPRODUCT(((Recommendations[ImplStatus]="Implemented")+(Recommendations[ImplStatus]="Compensated"))*ISNUMBER(MATCH(Recommendations[Id],H99:AU99,0)))/COUNTIF(H99:AU99,"&lt;&gt;"))</f>
        <v/>
      </c>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86"/>
    </row>
    <row r="100" spans="1:47" ht="60" customHeight="1" x14ac:dyDescent="0.35">
      <c r="A100" s="282" t="s">
        <v>4864</v>
      </c>
      <c r="B100" s="260" t="s">
        <v>5047</v>
      </c>
      <c r="C100" s="261" t="s">
        <v>5065</v>
      </c>
      <c r="D100" s="264" t="s">
        <v>5066</v>
      </c>
      <c r="E100" s="265" t="s">
        <v>4868</v>
      </c>
      <c r="F100" s="268" t="s">
        <v>5060</v>
      </c>
      <c r="G100" s="271" t="str">
        <f>IF(COUNTIF(H100:AU100,"&lt;&gt;")=0,"",SUMPRODUCT(((Recommendations[ImplStatus]="Implemented")+(Recommendations[ImplStatus]="Compensated"))*ISNUMBER(MATCH(Recommendations[Id],H100:AU100,0)))/COUNTIF(H100:AU100,"&lt;&gt;"))</f>
        <v/>
      </c>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86"/>
    </row>
    <row r="101" spans="1:47" ht="60" customHeight="1" x14ac:dyDescent="0.35">
      <c r="A101" s="282" t="s">
        <v>4864</v>
      </c>
      <c r="B101" s="260" t="s">
        <v>5047</v>
      </c>
      <c r="C101" s="261" t="s">
        <v>5067</v>
      </c>
      <c r="D101" s="264" t="s">
        <v>5068</v>
      </c>
      <c r="E101" s="265" t="s">
        <v>4868</v>
      </c>
      <c r="F101" s="268" t="s">
        <v>5000</v>
      </c>
      <c r="G101" s="271" t="str">
        <f>IF(COUNTIF(H101:AU101,"&lt;&gt;")=0,"",SUMPRODUCT(((Recommendations[ImplStatus]="Implemented")+(Recommendations[ImplStatus]="Compensated"))*ISNUMBER(MATCH(Recommendations[Id],H101:AU101,0)))/COUNTIF(H101:AU101,"&lt;&gt;"))</f>
        <v/>
      </c>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86"/>
    </row>
    <row r="102" spans="1:47" ht="60" customHeight="1" x14ac:dyDescent="0.35">
      <c r="A102" s="282" t="s">
        <v>4864</v>
      </c>
      <c r="B102" s="260" t="s">
        <v>5047</v>
      </c>
      <c r="C102" s="261" t="s">
        <v>5069</v>
      </c>
      <c r="D102" s="264" t="s">
        <v>5070</v>
      </c>
      <c r="E102" s="265" t="s">
        <v>5012</v>
      </c>
      <c r="F102" s="268" t="s">
        <v>5000</v>
      </c>
      <c r="G102" s="271" t="str">
        <f>IF(COUNTIF(H102:AU102,"&lt;&gt;")=0,"",SUMPRODUCT(((Recommendations[ImplStatus]="Implemented")+(Recommendations[ImplStatus]="Compensated"))*ISNUMBER(MATCH(Recommendations[Id],H102:AU102,0)))/COUNTIF(H102:AU102,"&lt;&gt;"))</f>
        <v/>
      </c>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86"/>
    </row>
    <row r="103" spans="1:47" ht="60" customHeight="1" x14ac:dyDescent="0.35">
      <c r="A103" s="282" t="s">
        <v>4864</v>
      </c>
      <c r="B103" s="260" t="s">
        <v>5047</v>
      </c>
      <c r="C103" s="261" t="s">
        <v>5071</v>
      </c>
      <c r="D103" s="264" t="s">
        <v>5072</v>
      </c>
      <c r="E103" s="265" t="s">
        <v>5012</v>
      </c>
      <c r="F103" s="268" t="s">
        <v>5000</v>
      </c>
      <c r="G103" s="271" t="str">
        <f>IF(COUNTIF(H103:AU103,"&lt;&gt;")=0,"",SUMPRODUCT(((Recommendations[ImplStatus]="Implemented")+(Recommendations[ImplStatus]="Compensated"))*ISNUMBER(MATCH(Recommendations[Id],H103:AU103,0)))/COUNTIF(H103:AU103,"&lt;&gt;"))</f>
        <v/>
      </c>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86"/>
    </row>
    <row r="104" spans="1:47" ht="60" customHeight="1" x14ac:dyDescent="0.35">
      <c r="A104" s="282" t="s">
        <v>4864</v>
      </c>
      <c r="B104" s="260" t="s">
        <v>5047</v>
      </c>
      <c r="C104" s="261" t="s">
        <v>5073</v>
      </c>
      <c r="D104" s="264" t="s">
        <v>5074</v>
      </c>
      <c r="E104" s="265" t="s">
        <v>5012</v>
      </c>
      <c r="F104" s="268" t="s">
        <v>5000</v>
      </c>
      <c r="G104" s="271" t="str">
        <f>IF(COUNTIF(H104:AU104,"&lt;&gt;")=0,"",SUMPRODUCT(((Recommendations[ImplStatus]="Implemented")+(Recommendations[ImplStatus]="Compensated"))*ISNUMBER(MATCH(Recommendations[Id],H104:AU104,0)))/COUNTIF(H104:AU104,"&lt;&gt;"))</f>
        <v/>
      </c>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86"/>
    </row>
    <row r="105" spans="1:47" ht="60" customHeight="1" x14ac:dyDescent="0.35">
      <c r="A105" s="282" t="s">
        <v>4864</v>
      </c>
      <c r="B105" s="260" t="s">
        <v>5047</v>
      </c>
      <c r="C105" s="261" t="s">
        <v>5075</v>
      </c>
      <c r="D105" s="264" t="s">
        <v>5076</v>
      </c>
      <c r="E105" s="265" t="s">
        <v>4897</v>
      </c>
      <c r="F105" s="268" t="s">
        <v>5000</v>
      </c>
      <c r="G105" s="271" t="str">
        <f>IF(COUNTIF(H105:AU105,"&lt;&gt;")=0,"",SUMPRODUCT(((Recommendations[ImplStatus]="Implemented")+(Recommendations[ImplStatus]="Compensated"))*ISNUMBER(MATCH(Recommendations[Id],H105:AU105,0)))/COUNTIF(H105:AU105,"&lt;&gt;"))</f>
        <v/>
      </c>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86"/>
    </row>
    <row r="106" spans="1:47" ht="60" customHeight="1" outlineLevel="2" x14ac:dyDescent="0.35">
      <c r="A106" s="281" t="s">
        <v>4864</v>
      </c>
      <c r="B106" s="259" t="s">
        <v>5077</v>
      </c>
      <c r="C106" s="259"/>
      <c r="D106" s="263"/>
      <c r="E106" s="259"/>
      <c r="F106" s="267"/>
      <c r="G106" s="270" t="str">
        <f>IF(COUNTIF(H106:AU106,"&lt;&gt;")=0,"",SUMPRODUCT(((Recommendations[ImplStatus]="Implemented")+(Recommendations[ImplStatus]="Compensated"))*ISNUMBER(MATCH(Recommendations[Id],H106:AU106,0)))/COUNTIF(H106:AU106,"&lt;&gt;"))</f>
        <v/>
      </c>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85"/>
    </row>
    <row r="107" spans="1:47" ht="60" customHeight="1" x14ac:dyDescent="0.35">
      <c r="A107" s="282" t="s">
        <v>4864</v>
      </c>
      <c r="B107" s="260" t="s">
        <v>5077</v>
      </c>
      <c r="C107" s="261" t="s">
        <v>5078</v>
      </c>
      <c r="D107" s="264" t="s">
        <v>5079</v>
      </c>
      <c r="E107" s="265" t="s">
        <v>5012</v>
      </c>
      <c r="F107" s="268" t="s">
        <v>5000</v>
      </c>
      <c r="G107" s="271" t="str">
        <f>IF(COUNTIF(H107:AU107,"&lt;&gt;")=0,"",SUMPRODUCT(((Recommendations[ImplStatus]="Implemented")+(Recommendations[ImplStatus]="Compensated"))*ISNUMBER(MATCH(Recommendations[Id],H107:AU107,0)))/COUNTIF(H107:AU107,"&lt;&gt;"))</f>
        <v/>
      </c>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86"/>
    </row>
    <row r="108" spans="1:47" ht="60" customHeight="1" x14ac:dyDescent="0.35">
      <c r="A108" s="282" t="s">
        <v>4864</v>
      </c>
      <c r="B108" s="260" t="s">
        <v>5077</v>
      </c>
      <c r="C108" s="261" t="s">
        <v>5080</v>
      </c>
      <c r="D108" s="264" t="s">
        <v>5081</v>
      </c>
      <c r="E108" s="265" t="s">
        <v>5012</v>
      </c>
      <c r="F108" s="268" t="s">
        <v>5000</v>
      </c>
      <c r="G108" s="271" t="str">
        <f>IF(COUNTIF(H108:AU108,"&lt;&gt;")=0,"",SUMPRODUCT(((Recommendations[ImplStatus]="Implemented")+(Recommendations[ImplStatus]="Compensated"))*ISNUMBER(MATCH(Recommendations[Id],H108:AU108,0)))/COUNTIF(H108:AU108,"&lt;&gt;"))</f>
        <v/>
      </c>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86"/>
    </row>
    <row r="109" spans="1:47" ht="60" customHeight="1" x14ac:dyDescent="0.35">
      <c r="A109" s="282" t="s">
        <v>4864</v>
      </c>
      <c r="B109" s="260" t="s">
        <v>5077</v>
      </c>
      <c r="C109" s="261" t="s">
        <v>5082</v>
      </c>
      <c r="D109" s="264" t="s">
        <v>5083</v>
      </c>
      <c r="E109" s="265" t="s">
        <v>5012</v>
      </c>
      <c r="F109" s="268" t="s">
        <v>5000</v>
      </c>
      <c r="G109" s="271" t="str">
        <f>IF(COUNTIF(H109:AU109,"&lt;&gt;")=0,"",SUMPRODUCT(((Recommendations[ImplStatus]="Implemented")+(Recommendations[ImplStatus]="Compensated"))*ISNUMBER(MATCH(Recommendations[Id],H109:AU109,0)))/COUNTIF(H109:AU109,"&lt;&gt;"))</f>
        <v/>
      </c>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86"/>
    </row>
    <row r="110" spans="1:47" ht="60" customHeight="1" x14ac:dyDescent="0.35">
      <c r="A110" s="282" t="s">
        <v>4864</v>
      </c>
      <c r="B110" s="260" t="s">
        <v>5077</v>
      </c>
      <c r="C110" s="261" t="s">
        <v>5084</v>
      </c>
      <c r="D110" s="264" t="s">
        <v>5085</v>
      </c>
      <c r="E110" s="265" t="s">
        <v>5012</v>
      </c>
      <c r="F110" s="268" t="s">
        <v>5000</v>
      </c>
      <c r="G110" s="271" t="str">
        <f>IF(COUNTIF(H110:AU110,"&lt;&gt;")=0,"",SUMPRODUCT(((Recommendations[ImplStatus]="Implemented")+(Recommendations[ImplStatus]="Compensated"))*ISNUMBER(MATCH(Recommendations[Id],H110:AU110,0)))/COUNTIF(H110:AU110,"&lt;&gt;"))</f>
        <v/>
      </c>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86"/>
    </row>
    <row r="111" spans="1:47" ht="60" customHeight="1" x14ac:dyDescent="0.35">
      <c r="A111" s="282" t="s">
        <v>4864</v>
      </c>
      <c r="B111" s="260" t="s">
        <v>5077</v>
      </c>
      <c r="C111" s="261" t="s">
        <v>5086</v>
      </c>
      <c r="D111" s="264" t="s">
        <v>5087</v>
      </c>
      <c r="E111" s="265" t="s">
        <v>5012</v>
      </c>
      <c r="F111" s="268" t="s">
        <v>5000</v>
      </c>
      <c r="G111" s="271" t="str">
        <f>IF(COUNTIF(H111:AU111,"&lt;&gt;")=0,"",SUMPRODUCT(((Recommendations[ImplStatus]="Implemented")+(Recommendations[ImplStatus]="Compensated"))*ISNUMBER(MATCH(Recommendations[Id],H111:AU111,0)))/COUNTIF(H111:AU111,"&lt;&gt;"))</f>
        <v/>
      </c>
      <c r="H111" s="272"/>
      <c r="I111" s="272"/>
      <c r="J111" s="272"/>
      <c r="K111" s="272"/>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86"/>
    </row>
    <row r="112" spans="1:47" ht="60" customHeight="1" x14ac:dyDescent="0.35">
      <c r="A112" s="282" t="s">
        <v>4864</v>
      </c>
      <c r="B112" s="260" t="s">
        <v>5077</v>
      </c>
      <c r="C112" s="261" t="s">
        <v>5088</v>
      </c>
      <c r="D112" s="264" t="s">
        <v>5089</v>
      </c>
      <c r="E112" s="265" t="s">
        <v>5012</v>
      </c>
      <c r="F112" s="268" t="s">
        <v>5000</v>
      </c>
      <c r="G112" s="271" t="str">
        <f>IF(COUNTIF(H112:AU112,"&lt;&gt;")=0,"",SUMPRODUCT(((Recommendations[ImplStatus]="Implemented")+(Recommendations[ImplStatus]="Compensated"))*ISNUMBER(MATCH(Recommendations[Id],H112:AU112,0)))/COUNTIF(H112:AU112,"&lt;&gt;"))</f>
        <v/>
      </c>
      <c r="H112" s="272"/>
      <c r="I112" s="272"/>
      <c r="J112" s="272"/>
      <c r="K112" s="272"/>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86"/>
    </row>
    <row r="113" spans="1:47" ht="60" customHeight="1" x14ac:dyDescent="0.35">
      <c r="A113" s="282" t="s">
        <v>4864</v>
      </c>
      <c r="B113" s="260" t="s">
        <v>5077</v>
      </c>
      <c r="C113" s="261" t="s">
        <v>5090</v>
      </c>
      <c r="D113" s="264" t="s">
        <v>5091</v>
      </c>
      <c r="E113" s="265" t="s">
        <v>5012</v>
      </c>
      <c r="F113" s="268" t="s">
        <v>5000</v>
      </c>
      <c r="G113" s="271" t="str">
        <f>IF(COUNTIF(H113:AU113,"&lt;&gt;")=0,"",SUMPRODUCT(((Recommendations[ImplStatus]="Implemented")+(Recommendations[ImplStatus]="Compensated"))*ISNUMBER(MATCH(Recommendations[Id],H113:AU113,0)))/COUNTIF(H113:AU113,"&lt;&gt;"))</f>
        <v/>
      </c>
      <c r="H113" s="272"/>
      <c r="I113" s="272"/>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86"/>
    </row>
    <row r="114" spans="1:47" ht="60" customHeight="1" x14ac:dyDescent="0.35">
      <c r="A114" s="282" t="s">
        <v>4864</v>
      </c>
      <c r="B114" s="260" t="s">
        <v>5077</v>
      </c>
      <c r="C114" s="261" t="s">
        <v>5092</v>
      </c>
      <c r="D114" s="264" t="s">
        <v>5093</v>
      </c>
      <c r="E114" s="265" t="s">
        <v>5012</v>
      </c>
      <c r="F114" s="268" t="s">
        <v>5000</v>
      </c>
      <c r="G114" s="271" t="str">
        <f>IF(COUNTIF(H114:AU114,"&lt;&gt;")=0,"",SUMPRODUCT(((Recommendations[ImplStatus]="Implemented")+(Recommendations[ImplStatus]="Compensated"))*ISNUMBER(MATCH(Recommendations[Id],H114:AU114,0)))/COUNTIF(H114:AU114,"&lt;&gt;"))</f>
        <v/>
      </c>
      <c r="H114" s="272"/>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86"/>
    </row>
    <row r="115" spans="1:47" ht="60" customHeight="1" x14ac:dyDescent="0.35">
      <c r="A115" s="282" t="s">
        <v>4864</v>
      </c>
      <c r="B115" s="260" t="s">
        <v>5077</v>
      </c>
      <c r="C115" s="261" t="s">
        <v>5094</v>
      </c>
      <c r="D115" s="264" t="s">
        <v>5095</v>
      </c>
      <c r="E115" s="265" t="s">
        <v>5012</v>
      </c>
      <c r="F115" s="268" t="s">
        <v>5000</v>
      </c>
      <c r="G115" s="271" t="str">
        <f>IF(COUNTIF(H115:AU115,"&lt;&gt;")=0,"",SUMPRODUCT(((Recommendations[ImplStatus]="Implemented")+(Recommendations[ImplStatus]="Compensated"))*ISNUMBER(MATCH(Recommendations[Id],H115:AU115,0)))/COUNTIF(H115:AU115,"&lt;&gt;"))</f>
        <v/>
      </c>
      <c r="H115" s="272"/>
      <c r="I115" s="272"/>
      <c r="J115" s="272"/>
      <c r="K115" s="272"/>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86"/>
    </row>
    <row r="116" spans="1:47" ht="60" customHeight="1" x14ac:dyDescent="0.35">
      <c r="A116" s="282" t="s">
        <v>4864</v>
      </c>
      <c r="B116" s="260" t="s">
        <v>5077</v>
      </c>
      <c r="C116" s="261" t="s">
        <v>5096</v>
      </c>
      <c r="D116" s="264" t="s">
        <v>5097</v>
      </c>
      <c r="E116" s="265" t="s">
        <v>5012</v>
      </c>
      <c r="F116" s="268" t="s">
        <v>5000</v>
      </c>
      <c r="G116" s="271" t="str">
        <f>IF(COUNTIF(H116:AU116,"&lt;&gt;")=0,"",SUMPRODUCT(((Recommendations[ImplStatus]="Implemented")+(Recommendations[ImplStatus]="Compensated"))*ISNUMBER(MATCH(Recommendations[Id],H116:AU116,0)))/COUNTIF(H116:AU116,"&lt;&gt;"))</f>
        <v/>
      </c>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86"/>
    </row>
    <row r="117" spans="1:47" ht="60" customHeight="1" x14ac:dyDescent="0.35">
      <c r="A117" s="282" t="s">
        <v>4864</v>
      </c>
      <c r="B117" s="260" t="s">
        <v>5077</v>
      </c>
      <c r="C117" s="261" t="s">
        <v>5098</v>
      </c>
      <c r="D117" s="264" t="s">
        <v>5099</v>
      </c>
      <c r="E117" s="265" t="s">
        <v>5012</v>
      </c>
      <c r="F117" s="268" t="s">
        <v>5000</v>
      </c>
      <c r="G117" s="271" t="str">
        <f>IF(COUNTIF(H117:AU117,"&lt;&gt;")=0,"",SUMPRODUCT(((Recommendations[ImplStatus]="Implemented")+(Recommendations[ImplStatus]="Compensated"))*ISNUMBER(MATCH(Recommendations[Id],H117:AU117,0)))/COUNTIF(H117:AU117,"&lt;&gt;"))</f>
        <v/>
      </c>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86"/>
    </row>
    <row r="118" spans="1:47" ht="60" customHeight="1" outlineLevel="1" x14ac:dyDescent="0.35">
      <c r="A118" s="280" t="s">
        <v>5100</v>
      </c>
      <c r="B118" s="258"/>
      <c r="C118" s="258"/>
      <c r="D118" s="262"/>
      <c r="E118" s="258"/>
      <c r="F118" s="266"/>
      <c r="G118" s="269" t="str">
        <f>IF(COUNTIF(H118:AU118,"&lt;&gt;")=0,"",SUMPRODUCT(((Recommendations[ImplStatus]="Implemented")+(Recommendations[ImplStatus]="Compensated"))*ISNUMBER(MATCH(Recommendations[Id],H118:AU118,0)))/COUNTIF(H118:AU118,"&lt;&gt;"))</f>
        <v/>
      </c>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84"/>
    </row>
    <row r="119" spans="1:47" ht="60" customHeight="1" outlineLevel="2" x14ac:dyDescent="0.35">
      <c r="A119" s="281" t="s">
        <v>5100</v>
      </c>
      <c r="B119" s="259" t="s">
        <v>5101</v>
      </c>
      <c r="C119" s="259"/>
      <c r="D119" s="263"/>
      <c r="E119" s="259"/>
      <c r="F119" s="267"/>
      <c r="G119" s="270" t="str">
        <f>IF(COUNTIF(H119:AU119,"&lt;&gt;")=0,"",SUMPRODUCT(((Recommendations[ImplStatus]="Implemented")+(Recommendations[ImplStatus]="Compensated"))*ISNUMBER(MATCH(Recommendations[Id],H119:AU119,0)))/COUNTIF(H119:AU119,"&lt;&gt;"))</f>
        <v/>
      </c>
      <c r="H119" s="267"/>
      <c r="I119" s="267"/>
      <c r="J119" s="267"/>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67"/>
      <c r="AN119" s="267"/>
      <c r="AO119" s="267"/>
      <c r="AP119" s="267"/>
      <c r="AQ119" s="267"/>
      <c r="AR119" s="267"/>
      <c r="AS119" s="267"/>
      <c r="AT119" s="267"/>
      <c r="AU119" s="285"/>
    </row>
    <row r="120" spans="1:47" ht="60" customHeight="1" x14ac:dyDescent="0.35">
      <c r="A120" s="282" t="s">
        <v>5100</v>
      </c>
      <c r="B120" s="260" t="s">
        <v>5101</v>
      </c>
      <c r="C120" s="261" t="s">
        <v>5102</v>
      </c>
      <c r="D120" s="264" t="s">
        <v>5103</v>
      </c>
      <c r="E120" s="265" t="s">
        <v>4868</v>
      </c>
      <c r="F120" s="268" t="s">
        <v>5104</v>
      </c>
      <c r="G120" s="271" t="str">
        <f>IF(COUNTIF(H120:AU120,"&lt;&gt;")=0,"",SUMPRODUCT(((Recommendations[ImplStatus]="Implemented")+(Recommendations[ImplStatus]="Compensated"))*ISNUMBER(MATCH(Recommendations[Id],H120:AU120,0)))/COUNTIF(H120:AU120,"&lt;&gt;"))</f>
        <v/>
      </c>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2"/>
      <c r="AR120" s="272"/>
      <c r="AS120" s="272"/>
      <c r="AT120" s="272"/>
      <c r="AU120" s="286"/>
    </row>
    <row r="121" spans="1:47" ht="60" customHeight="1" x14ac:dyDescent="0.35">
      <c r="A121" s="282" t="s">
        <v>5100</v>
      </c>
      <c r="B121" s="260" t="s">
        <v>5101</v>
      </c>
      <c r="C121" s="261" t="s">
        <v>5105</v>
      </c>
      <c r="D121" s="264" t="s">
        <v>5106</v>
      </c>
      <c r="E121" s="265" t="s">
        <v>4868</v>
      </c>
      <c r="F121" s="268" t="s">
        <v>5104</v>
      </c>
      <c r="G121" s="271" t="str">
        <f>IF(COUNTIF(H121:AU121,"&lt;&gt;")=0,"",SUMPRODUCT(((Recommendations[ImplStatus]="Implemented")+(Recommendations[ImplStatus]="Compensated"))*ISNUMBER(MATCH(Recommendations[Id],H121:AU121,0)))/COUNTIF(H121:AU121,"&lt;&gt;"))</f>
        <v/>
      </c>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2"/>
      <c r="AR121" s="272"/>
      <c r="AS121" s="272"/>
      <c r="AT121" s="272"/>
      <c r="AU121" s="286"/>
    </row>
    <row r="122" spans="1:47" ht="60" customHeight="1" x14ac:dyDescent="0.35">
      <c r="A122" s="282" t="s">
        <v>5100</v>
      </c>
      <c r="B122" s="260" t="s">
        <v>5101</v>
      </c>
      <c r="C122" s="261" t="s">
        <v>5107</v>
      </c>
      <c r="D122" s="264" t="s">
        <v>5108</v>
      </c>
      <c r="E122" s="265" t="s">
        <v>4868</v>
      </c>
      <c r="F122" s="268" t="s">
        <v>5104</v>
      </c>
      <c r="G122" s="271" t="str">
        <f>IF(COUNTIF(H122:AU122,"&lt;&gt;")=0,"",SUMPRODUCT(((Recommendations[ImplStatus]="Implemented")+(Recommendations[ImplStatus]="Compensated"))*ISNUMBER(MATCH(Recommendations[Id],H122:AU122,0)))/COUNTIF(H122:AU122,"&lt;&gt;"))</f>
        <v/>
      </c>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86"/>
    </row>
    <row r="123" spans="1:47" ht="60" customHeight="1" x14ac:dyDescent="0.35">
      <c r="A123" s="282" t="s">
        <v>5100</v>
      </c>
      <c r="B123" s="260" t="s">
        <v>5101</v>
      </c>
      <c r="C123" s="261" t="s">
        <v>5109</v>
      </c>
      <c r="D123" s="264" t="s">
        <v>5110</v>
      </c>
      <c r="E123" s="265" t="s">
        <v>4868</v>
      </c>
      <c r="F123" s="268" t="s">
        <v>5104</v>
      </c>
      <c r="G123" s="271" t="str">
        <f>IF(COUNTIF(H123:AU123,"&lt;&gt;")=0,"",SUMPRODUCT(((Recommendations[ImplStatus]="Implemented")+(Recommendations[ImplStatus]="Compensated"))*ISNUMBER(MATCH(Recommendations[Id],H123:AU123,0)))/COUNTIF(H123:AU123,"&lt;&gt;"))</f>
        <v/>
      </c>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86"/>
    </row>
    <row r="124" spans="1:47" ht="60" customHeight="1" x14ac:dyDescent="0.35">
      <c r="A124" s="282" t="s">
        <v>5100</v>
      </c>
      <c r="B124" s="260" t="s">
        <v>5101</v>
      </c>
      <c r="C124" s="261" t="s">
        <v>5111</v>
      </c>
      <c r="D124" s="264" t="s">
        <v>5112</v>
      </c>
      <c r="E124" s="265" t="s">
        <v>4868</v>
      </c>
      <c r="F124" s="268" t="s">
        <v>5104</v>
      </c>
      <c r="G124" s="271" t="str">
        <f>IF(COUNTIF(H124:AU124,"&lt;&gt;")=0,"",SUMPRODUCT(((Recommendations[ImplStatus]="Implemented")+(Recommendations[ImplStatus]="Compensated"))*ISNUMBER(MATCH(Recommendations[Id],H124:AU124,0)))/COUNTIF(H124:AU124,"&lt;&gt;"))</f>
        <v/>
      </c>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86"/>
    </row>
    <row r="125" spans="1:47" ht="60" customHeight="1" x14ac:dyDescent="0.35">
      <c r="A125" s="282" t="s">
        <v>5100</v>
      </c>
      <c r="B125" s="260" t="s">
        <v>5101</v>
      </c>
      <c r="C125" s="261" t="s">
        <v>5113</v>
      </c>
      <c r="D125" s="264" t="s">
        <v>5114</v>
      </c>
      <c r="E125" s="265" t="s">
        <v>4868</v>
      </c>
      <c r="F125" s="268" t="s">
        <v>5104</v>
      </c>
      <c r="G125" s="271" t="str">
        <f>IF(COUNTIF(H125:AU125,"&lt;&gt;")=0,"",SUMPRODUCT(((Recommendations[ImplStatus]="Implemented")+(Recommendations[ImplStatus]="Compensated"))*ISNUMBER(MATCH(Recommendations[Id],H125:AU125,0)))/COUNTIF(H125:AU125,"&lt;&gt;"))</f>
        <v/>
      </c>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86"/>
    </row>
    <row r="126" spans="1:47" ht="60" customHeight="1" x14ac:dyDescent="0.35">
      <c r="A126" s="282" t="s">
        <v>5100</v>
      </c>
      <c r="B126" s="260" t="s">
        <v>5101</v>
      </c>
      <c r="C126" s="261" t="s">
        <v>5115</v>
      </c>
      <c r="D126" s="264" t="s">
        <v>5116</v>
      </c>
      <c r="E126" s="265" t="s">
        <v>4868</v>
      </c>
      <c r="F126" s="268" t="s">
        <v>5104</v>
      </c>
      <c r="G126" s="271" t="str">
        <f>IF(COUNTIF(H126:AU126,"&lt;&gt;")=0,"",SUMPRODUCT(((Recommendations[ImplStatus]="Implemented")+(Recommendations[ImplStatus]="Compensated"))*ISNUMBER(MATCH(Recommendations[Id],H126:AU126,0)))/COUNTIF(H126:AU126,"&lt;&gt;"))</f>
        <v/>
      </c>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86"/>
    </row>
    <row r="127" spans="1:47" ht="60" customHeight="1" x14ac:dyDescent="0.35">
      <c r="A127" s="282" t="s">
        <v>5100</v>
      </c>
      <c r="B127" s="260" t="s">
        <v>5101</v>
      </c>
      <c r="C127" s="261" t="s">
        <v>5117</v>
      </c>
      <c r="D127" s="264" t="s">
        <v>5118</v>
      </c>
      <c r="E127" s="265" t="s">
        <v>4868</v>
      </c>
      <c r="F127" s="268" t="s">
        <v>5104</v>
      </c>
      <c r="G127" s="271" t="str">
        <f>IF(COUNTIF(H127:AU127,"&lt;&gt;")=0,"",SUMPRODUCT(((Recommendations[ImplStatus]="Implemented")+(Recommendations[ImplStatus]="Compensated"))*ISNUMBER(MATCH(Recommendations[Id],H127:AU127,0)))/COUNTIF(H127:AU127,"&lt;&gt;"))</f>
        <v/>
      </c>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86"/>
    </row>
    <row r="128" spans="1:47" ht="60" customHeight="1" x14ac:dyDescent="0.35">
      <c r="A128" s="282" t="s">
        <v>5100</v>
      </c>
      <c r="B128" s="260" t="s">
        <v>5101</v>
      </c>
      <c r="C128" s="261" t="s">
        <v>5119</v>
      </c>
      <c r="D128" s="264" t="s">
        <v>5120</v>
      </c>
      <c r="E128" s="265" t="s">
        <v>4868</v>
      </c>
      <c r="F128" s="268" t="s">
        <v>5104</v>
      </c>
      <c r="G128" s="271" t="str">
        <f>IF(COUNTIF(H128:AU128,"&lt;&gt;")=0,"",SUMPRODUCT(((Recommendations[ImplStatus]="Implemented")+(Recommendations[ImplStatus]="Compensated"))*ISNUMBER(MATCH(Recommendations[Id],H128:AU128,0)))/COUNTIF(H128:AU128,"&lt;&gt;"))</f>
        <v/>
      </c>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86"/>
    </row>
    <row r="129" spans="1:47" ht="60" customHeight="1" x14ac:dyDescent="0.35">
      <c r="A129" s="282" t="s">
        <v>5100</v>
      </c>
      <c r="B129" s="260" t="s">
        <v>5101</v>
      </c>
      <c r="C129" s="261" t="s">
        <v>5121</v>
      </c>
      <c r="D129" s="264" t="s">
        <v>5122</v>
      </c>
      <c r="E129" s="265" t="s">
        <v>4868</v>
      </c>
      <c r="F129" s="268" t="s">
        <v>5104</v>
      </c>
      <c r="G129" s="271" t="str">
        <f>IF(COUNTIF(H129:AU129,"&lt;&gt;")=0,"",SUMPRODUCT(((Recommendations[ImplStatus]="Implemented")+(Recommendations[ImplStatus]="Compensated"))*ISNUMBER(MATCH(Recommendations[Id],H129:AU129,0)))/COUNTIF(H129:AU129,"&lt;&gt;"))</f>
        <v/>
      </c>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86"/>
    </row>
    <row r="130" spans="1:47" ht="60" customHeight="1" x14ac:dyDescent="0.35">
      <c r="A130" s="282" t="s">
        <v>5100</v>
      </c>
      <c r="B130" s="260" t="s">
        <v>5101</v>
      </c>
      <c r="C130" s="261" t="s">
        <v>5123</v>
      </c>
      <c r="D130" s="264" t="s">
        <v>5124</v>
      </c>
      <c r="E130" s="265" t="s">
        <v>4868</v>
      </c>
      <c r="F130" s="268" t="s">
        <v>5104</v>
      </c>
      <c r="G130" s="271" t="str">
        <f>IF(COUNTIF(H130:AU130,"&lt;&gt;")=0,"",SUMPRODUCT(((Recommendations[ImplStatus]="Implemented")+(Recommendations[ImplStatus]="Compensated"))*ISNUMBER(MATCH(Recommendations[Id],H130:AU130,0)))/COUNTIF(H130:AU130,"&lt;&gt;"))</f>
        <v/>
      </c>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86"/>
    </row>
    <row r="131" spans="1:47" ht="60" customHeight="1" x14ac:dyDescent="0.35">
      <c r="A131" s="282" t="s">
        <v>5100</v>
      </c>
      <c r="B131" s="260" t="s">
        <v>5101</v>
      </c>
      <c r="C131" s="261" t="s">
        <v>5125</v>
      </c>
      <c r="D131" s="264" t="s">
        <v>5126</v>
      </c>
      <c r="E131" s="265" t="s">
        <v>4868</v>
      </c>
      <c r="F131" s="268" t="s">
        <v>5104</v>
      </c>
      <c r="G131" s="271" t="str">
        <f>IF(COUNTIF(H131:AU131,"&lt;&gt;")=0,"",SUMPRODUCT(((Recommendations[ImplStatus]="Implemented")+(Recommendations[ImplStatus]="Compensated"))*ISNUMBER(MATCH(Recommendations[Id],H131:AU131,0)))/COUNTIF(H131:AU131,"&lt;&gt;"))</f>
        <v/>
      </c>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86"/>
    </row>
    <row r="132" spans="1:47" ht="60" customHeight="1" x14ac:dyDescent="0.35">
      <c r="A132" s="282" t="s">
        <v>5100</v>
      </c>
      <c r="B132" s="260" t="s">
        <v>5101</v>
      </c>
      <c r="C132" s="261" t="s">
        <v>5127</v>
      </c>
      <c r="D132" s="264" t="s">
        <v>5128</v>
      </c>
      <c r="E132" s="265" t="s">
        <v>4868</v>
      </c>
      <c r="F132" s="268" t="s">
        <v>5104</v>
      </c>
      <c r="G132" s="271" t="str">
        <f>IF(COUNTIF(H132:AU132,"&lt;&gt;")=0,"",SUMPRODUCT(((Recommendations[ImplStatus]="Implemented")+(Recommendations[ImplStatus]="Compensated"))*ISNUMBER(MATCH(Recommendations[Id],H132:AU132,0)))/COUNTIF(H132:AU132,"&lt;&gt;"))</f>
        <v/>
      </c>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86"/>
    </row>
    <row r="133" spans="1:47" ht="60" customHeight="1" x14ac:dyDescent="0.35">
      <c r="A133" s="282" t="s">
        <v>5100</v>
      </c>
      <c r="B133" s="260" t="s">
        <v>5101</v>
      </c>
      <c r="C133" s="261" t="s">
        <v>5129</v>
      </c>
      <c r="D133" s="264" t="s">
        <v>5130</v>
      </c>
      <c r="E133" s="265" t="s">
        <v>4897</v>
      </c>
      <c r="F133" s="268" t="s">
        <v>5104</v>
      </c>
      <c r="G133" s="271" t="str">
        <f>IF(COUNTIF(H133:AU133,"&lt;&gt;")=0,"",SUMPRODUCT(((Recommendations[ImplStatus]="Implemented")+(Recommendations[ImplStatus]="Compensated"))*ISNUMBER(MATCH(Recommendations[Id],H133:AU133,0)))/COUNTIF(H133:AU133,"&lt;&gt;"))</f>
        <v/>
      </c>
      <c r="H133" s="272"/>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86"/>
    </row>
    <row r="134" spans="1:47" ht="60" customHeight="1" x14ac:dyDescent="0.35">
      <c r="A134" s="282" t="s">
        <v>5100</v>
      </c>
      <c r="B134" s="260" t="s">
        <v>5101</v>
      </c>
      <c r="C134" s="261" t="s">
        <v>5131</v>
      </c>
      <c r="D134" s="264" t="s">
        <v>5132</v>
      </c>
      <c r="E134" s="265" t="s">
        <v>4897</v>
      </c>
      <c r="F134" s="268" t="s">
        <v>5104</v>
      </c>
      <c r="G134" s="271" t="str">
        <f>IF(COUNTIF(H134:AU134,"&lt;&gt;")=0,"",SUMPRODUCT(((Recommendations[ImplStatus]="Implemented")+(Recommendations[ImplStatus]="Compensated"))*ISNUMBER(MATCH(Recommendations[Id],H134:AU134,0)))/COUNTIF(H134:AU134,"&lt;&gt;"))</f>
        <v/>
      </c>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86"/>
    </row>
    <row r="135" spans="1:47" ht="60" customHeight="1" x14ac:dyDescent="0.35">
      <c r="A135" s="282" t="s">
        <v>5100</v>
      </c>
      <c r="B135" s="260" t="s">
        <v>5101</v>
      </c>
      <c r="C135" s="261" t="s">
        <v>5133</v>
      </c>
      <c r="D135" s="264" t="s">
        <v>5134</v>
      </c>
      <c r="E135" s="265" t="s">
        <v>5012</v>
      </c>
      <c r="F135" s="268" t="s">
        <v>5104</v>
      </c>
      <c r="G135" s="271" t="str">
        <f>IF(COUNTIF(H135:AU135,"&lt;&gt;")=0,"",SUMPRODUCT(((Recommendations[ImplStatus]="Implemented")+(Recommendations[ImplStatus]="Compensated"))*ISNUMBER(MATCH(Recommendations[Id],H135:AU135,0)))/COUNTIF(H135:AU135,"&lt;&gt;"))</f>
        <v/>
      </c>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2"/>
      <c r="AT135" s="272"/>
      <c r="AU135" s="286"/>
    </row>
    <row r="136" spans="1:47" ht="60" customHeight="1" x14ac:dyDescent="0.35">
      <c r="A136" s="282" t="s">
        <v>5100</v>
      </c>
      <c r="B136" s="260" t="s">
        <v>5101</v>
      </c>
      <c r="C136" s="261" t="s">
        <v>5135</v>
      </c>
      <c r="D136" s="264" t="s">
        <v>5136</v>
      </c>
      <c r="E136" s="265" t="s">
        <v>4897</v>
      </c>
      <c r="F136" s="268" t="s">
        <v>5104</v>
      </c>
      <c r="G136" s="271" t="str">
        <f>IF(COUNTIF(H136:AU136,"&lt;&gt;")=0,"",SUMPRODUCT(((Recommendations[ImplStatus]="Implemented")+(Recommendations[ImplStatus]="Compensated"))*ISNUMBER(MATCH(Recommendations[Id],H136:AU136,0)))/COUNTIF(H136:AU136,"&lt;&gt;"))</f>
        <v/>
      </c>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2"/>
      <c r="AT136" s="272"/>
      <c r="AU136" s="286"/>
    </row>
    <row r="137" spans="1:47" ht="60" customHeight="1" x14ac:dyDescent="0.35">
      <c r="A137" s="282" t="s">
        <v>5100</v>
      </c>
      <c r="B137" s="260" t="s">
        <v>5101</v>
      </c>
      <c r="C137" s="261" t="s">
        <v>5137</v>
      </c>
      <c r="D137" s="264" t="s">
        <v>5138</v>
      </c>
      <c r="E137" s="265" t="s">
        <v>4897</v>
      </c>
      <c r="F137" s="268" t="s">
        <v>5104</v>
      </c>
      <c r="G137" s="271" t="str">
        <f>IF(COUNTIF(H137:AU137,"&lt;&gt;")=0,"",SUMPRODUCT(((Recommendations[ImplStatus]="Implemented")+(Recommendations[ImplStatus]="Compensated"))*ISNUMBER(MATCH(Recommendations[Id],H137:AU137,0)))/COUNTIF(H137:AU137,"&lt;&gt;"))</f>
        <v/>
      </c>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86"/>
    </row>
    <row r="138" spans="1:47" ht="60" customHeight="1" x14ac:dyDescent="0.35">
      <c r="A138" s="282" t="s">
        <v>5100</v>
      </c>
      <c r="B138" s="260" t="s">
        <v>5101</v>
      </c>
      <c r="C138" s="261" t="s">
        <v>5139</v>
      </c>
      <c r="D138" s="264" t="s">
        <v>5140</v>
      </c>
      <c r="E138" s="265" t="s">
        <v>5012</v>
      </c>
      <c r="F138" s="268" t="s">
        <v>5104</v>
      </c>
      <c r="G138" s="271" t="str">
        <f>IF(COUNTIF(H138:AU138,"&lt;&gt;")=0,"",SUMPRODUCT(((Recommendations[ImplStatus]="Implemented")+(Recommendations[ImplStatus]="Compensated"))*ISNUMBER(MATCH(Recommendations[Id],H138:AU138,0)))/COUNTIF(H138:AU138,"&lt;&gt;"))</f>
        <v/>
      </c>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86"/>
    </row>
    <row r="139" spans="1:47" ht="60" customHeight="1" x14ac:dyDescent="0.35">
      <c r="A139" s="282" t="s">
        <v>5100</v>
      </c>
      <c r="B139" s="260" t="s">
        <v>5101</v>
      </c>
      <c r="C139" s="261" t="s">
        <v>5141</v>
      </c>
      <c r="D139" s="264" t="s">
        <v>5142</v>
      </c>
      <c r="E139" s="265" t="s">
        <v>5012</v>
      </c>
      <c r="F139" s="268" t="s">
        <v>5104</v>
      </c>
      <c r="G139" s="271" t="str">
        <f>IF(COUNTIF(H139:AU139,"&lt;&gt;")=0,"",SUMPRODUCT(((Recommendations[ImplStatus]="Implemented")+(Recommendations[ImplStatus]="Compensated"))*ISNUMBER(MATCH(Recommendations[Id],H139:AU139,0)))/COUNTIF(H139:AU139,"&lt;&gt;"))</f>
        <v/>
      </c>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86"/>
    </row>
    <row r="140" spans="1:47" ht="60" customHeight="1" x14ac:dyDescent="0.35">
      <c r="A140" s="282" t="s">
        <v>5100</v>
      </c>
      <c r="B140" s="260" t="s">
        <v>5101</v>
      </c>
      <c r="C140" s="261" t="s">
        <v>5143</v>
      </c>
      <c r="D140" s="264" t="s">
        <v>5144</v>
      </c>
      <c r="E140" s="265" t="s">
        <v>4868</v>
      </c>
      <c r="F140" s="268" t="s">
        <v>5104</v>
      </c>
      <c r="G140" s="271" t="str">
        <f>IF(COUNTIF(H140:AU140,"&lt;&gt;")=0,"",SUMPRODUCT(((Recommendations[ImplStatus]="Implemented")+(Recommendations[ImplStatus]="Compensated"))*ISNUMBER(MATCH(Recommendations[Id],H140:AU140,0)))/COUNTIF(H140:AU140,"&lt;&gt;"))</f>
        <v/>
      </c>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86"/>
    </row>
    <row r="141" spans="1:47" ht="60" customHeight="1" x14ac:dyDescent="0.35">
      <c r="A141" s="282" t="s">
        <v>5100</v>
      </c>
      <c r="B141" s="260" t="s">
        <v>5101</v>
      </c>
      <c r="C141" s="261" t="s">
        <v>5145</v>
      </c>
      <c r="D141" s="264" t="s">
        <v>5146</v>
      </c>
      <c r="E141" s="265" t="s">
        <v>5147</v>
      </c>
      <c r="F141" s="268" t="s">
        <v>5148</v>
      </c>
      <c r="G141" s="271" t="str">
        <f>IF(COUNTIF(H141:AU141,"&lt;&gt;")=0,"",SUMPRODUCT(((Recommendations[ImplStatus]="Implemented")+(Recommendations[ImplStatus]="Compensated"))*ISNUMBER(MATCH(Recommendations[Id],H141:AU141,0)))/COUNTIF(H141:AU141,"&lt;&gt;"))</f>
        <v/>
      </c>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86"/>
    </row>
    <row r="142" spans="1:47" ht="60" customHeight="1" x14ac:dyDescent="0.35">
      <c r="A142" s="282" t="s">
        <v>5100</v>
      </c>
      <c r="B142" s="260" t="s">
        <v>5101</v>
      </c>
      <c r="C142" s="261" t="s">
        <v>5149</v>
      </c>
      <c r="D142" s="264" t="s">
        <v>5150</v>
      </c>
      <c r="E142" s="265" t="s">
        <v>5147</v>
      </c>
      <c r="F142" s="268" t="s">
        <v>5148</v>
      </c>
      <c r="G142" s="271" t="str">
        <f>IF(COUNTIF(H142:AU142,"&lt;&gt;")=0,"",SUMPRODUCT(((Recommendations[ImplStatus]="Implemented")+(Recommendations[ImplStatus]="Compensated"))*ISNUMBER(MATCH(Recommendations[Id],H142:AU142,0)))/COUNTIF(H142:AU142,"&lt;&gt;"))</f>
        <v/>
      </c>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86"/>
    </row>
    <row r="143" spans="1:47" ht="60" customHeight="1" x14ac:dyDescent="0.35">
      <c r="A143" s="282" t="s">
        <v>5100</v>
      </c>
      <c r="B143" s="260" t="s">
        <v>5101</v>
      </c>
      <c r="C143" s="261" t="s">
        <v>5151</v>
      </c>
      <c r="D143" s="264" t="s">
        <v>5152</v>
      </c>
      <c r="E143" s="265" t="s">
        <v>5147</v>
      </c>
      <c r="F143" s="268" t="s">
        <v>5148</v>
      </c>
      <c r="G143" s="271" t="str">
        <f>IF(COUNTIF(H143:AU143,"&lt;&gt;")=0,"",SUMPRODUCT(((Recommendations[ImplStatus]="Implemented")+(Recommendations[ImplStatus]="Compensated"))*ISNUMBER(MATCH(Recommendations[Id],H143:AU143,0)))/COUNTIF(H143:AU143,"&lt;&gt;"))</f>
        <v/>
      </c>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c r="AO143" s="272"/>
      <c r="AP143" s="272"/>
      <c r="AQ143" s="272"/>
      <c r="AR143" s="272"/>
      <c r="AS143" s="272"/>
      <c r="AT143" s="272"/>
      <c r="AU143" s="286"/>
    </row>
    <row r="144" spans="1:47" ht="60" customHeight="1" x14ac:dyDescent="0.35">
      <c r="A144" s="282" t="s">
        <v>5100</v>
      </c>
      <c r="B144" s="260" t="s">
        <v>5101</v>
      </c>
      <c r="C144" s="261" t="s">
        <v>5153</v>
      </c>
      <c r="D144" s="264" t="s">
        <v>5154</v>
      </c>
      <c r="E144" s="265" t="s">
        <v>4964</v>
      </c>
      <c r="F144" s="268" t="s">
        <v>5148</v>
      </c>
      <c r="G144" s="271" t="str">
        <f>IF(COUNTIF(H144:AU144,"&lt;&gt;")=0,"",SUMPRODUCT(((Recommendations[ImplStatus]="Implemented")+(Recommendations[ImplStatus]="Compensated"))*ISNUMBER(MATCH(Recommendations[Id],H144:AU144,0)))/COUNTIF(H144:AU144,"&lt;&gt;"))</f>
        <v/>
      </c>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c r="AO144" s="272"/>
      <c r="AP144" s="272"/>
      <c r="AQ144" s="272"/>
      <c r="AR144" s="272"/>
      <c r="AS144" s="272"/>
      <c r="AT144" s="272"/>
      <c r="AU144" s="286"/>
    </row>
    <row r="145" spans="1:47" ht="60" customHeight="1" x14ac:dyDescent="0.35">
      <c r="A145" s="282" t="s">
        <v>5100</v>
      </c>
      <c r="B145" s="260" t="s">
        <v>5101</v>
      </c>
      <c r="C145" s="261" t="s">
        <v>5155</v>
      </c>
      <c r="D145" s="264" t="s">
        <v>5156</v>
      </c>
      <c r="E145" s="265" t="s">
        <v>4964</v>
      </c>
      <c r="F145" s="268" t="s">
        <v>5148</v>
      </c>
      <c r="G145" s="271" t="str">
        <f>IF(COUNTIF(H145:AU145,"&lt;&gt;")=0,"",SUMPRODUCT(((Recommendations[ImplStatus]="Implemented")+(Recommendations[ImplStatus]="Compensated"))*ISNUMBER(MATCH(Recommendations[Id],H145:AU145,0)))/COUNTIF(H145:AU145,"&lt;&gt;"))</f>
        <v/>
      </c>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86"/>
    </row>
    <row r="146" spans="1:47" ht="60" customHeight="1" x14ac:dyDescent="0.35">
      <c r="A146" s="282" t="s">
        <v>5100</v>
      </c>
      <c r="B146" s="260" t="s">
        <v>5101</v>
      </c>
      <c r="C146" s="261" t="s">
        <v>5157</v>
      </c>
      <c r="D146" s="264" t="s">
        <v>5158</v>
      </c>
      <c r="E146" s="265" t="s">
        <v>4964</v>
      </c>
      <c r="F146" s="268" t="s">
        <v>5148</v>
      </c>
      <c r="G146" s="271" t="str">
        <f>IF(COUNTIF(H146:AU146,"&lt;&gt;")=0,"",SUMPRODUCT(((Recommendations[ImplStatus]="Implemented")+(Recommendations[ImplStatus]="Compensated"))*ISNUMBER(MATCH(Recommendations[Id],H146:AU146,0)))/COUNTIF(H146:AU146,"&lt;&gt;"))</f>
        <v/>
      </c>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86"/>
    </row>
    <row r="147" spans="1:47" ht="60" customHeight="1" outlineLevel="2" x14ac:dyDescent="0.35">
      <c r="A147" s="281" t="s">
        <v>5100</v>
      </c>
      <c r="B147" s="259" t="s">
        <v>5159</v>
      </c>
      <c r="C147" s="259"/>
      <c r="D147" s="263"/>
      <c r="E147" s="259"/>
      <c r="F147" s="267"/>
      <c r="G147" s="270" t="str">
        <f>IF(COUNTIF(H147:AU147,"&lt;&gt;")=0,"",SUMPRODUCT(((Recommendations[ImplStatus]="Implemented")+(Recommendations[ImplStatus]="Compensated"))*ISNUMBER(MATCH(Recommendations[Id],H147:AU147,0)))/COUNTIF(H147:AU147,"&lt;&gt;"))</f>
        <v/>
      </c>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85"/>
    </row>
    <row r="148" spans="1:47" ht="60" customHeight="1" x14ac:dyDescent="0.35">
      <c r="A148" s="282" t="s">
        <v>5100</v>
      </c>
      <c r="B148" s="260" t="s">
        <v>5159</v>
      </c>
      <c r="C148" s="261" t="s">
        <v>5160</v>
      </c>
      <c r="D148" s="264" t="s">
        <v>5161</v>
      </c>
      <c r="E148" s="265" t="s">
        <v>4897</v>
      </c>
      <c r="F148" s="268" t="s">
        <v>5162</v>
      </c>
      <c r="G148" s="271" t="str">
        <f>IF(COUNTIF(H148:AU148,"&lt;&gt;")=0,"",SUMPRODUCT(((Recommendations[ImplStatus]="Implemented")+(Recommendations[ImplStatus]="Compensated"))*ISNUMBER(MATCH(Recommendations[Id],H148:AU148,0)))/COUNTIF(H148:AU148,"&lt;&gt;"))</f>
        <v/>
      </c>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86"/>
    </row>
    <row r="149" spans="1:47" ht="60" customHeight="1" x14ac:dyDescent="0.35">
      <c r="A149" s="282" t="s">
        <v>5100</v>
      </c>
      <c r="B149" s="260" t="s">
        <v>5159</v>
      </c>
      <c r="C149" s="261" t="s">
        <v>5163</v>
      </c>
      <c r="D149" s="264" t="s">
        <v>5164</v>
      </c>
      <c r="E149" s="265" t="s">
        <v>4897</v>
      </c>
      <c r="F149" s="268" t="s">
        <v>5162</v>
      </c>
      <c r="G149" s="271" t="str">
        <f>IF(COUNTIF(H149:AU149,"&lt;&gt;")=0,"",SUMPRODUCT(((Recommendations[ImplStatus]="Implemented")+(Recommendations[ImplStatus]="Compensated"))*ISNUMBER(MATCH(Recommendations[Id],H149:AU149,0)))/COUNTIF(H149:AU149,"&lt;&gt;"))</f>
        <v/>
      </c>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86"/>
    </row>
    <row r="150" spans="1:47" ht="60" customHeight="1" x14ac:dyDescent="0.35">
      <c r="A150" s="282" t="s">
        <v>5100</v>
      </c>
      <c r="B150" s="260" t="s">
        <v>5159</v>
      </c>
      <c r="C150" s="261" t="s">
        <v>5165</v>
      </c>
      <c r="D150" s="264" t="s">
        <v>5166</v>
      </c>
      <c r="E150" s="265" t="s">
        <v>4897</v>
      </c>
      <c r="F150" s="268" t="s">
        <v>5162</v>
      </c>
      <c r="G150" s="271" t="str">
        <f>IF(COUNTIF(H150:AU150,"&lt;&gt;")=0,"",SUMPRODUCT(((Recommendations[ImplStatus]="Implemented")+(Recommendations[ImplStatus]="Compensated"))*ISNUMBER(MATCH(Recommendations[Id],H150:AU150,0)))/COUNTIF(H150:AU150,"&lt;&gt;"))</f>
        <v/>
      </c>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86"/>
    </row>
    <row r="151" spans="1:47" ht="60" customHeight="1" x14ac:dyDescent="0.35">
      <c r="A151" s="282" t="s">
        <v>5100</v>
      </c>
      <c r="B151" s="260" t="s">
        <v>5159</v>
      </c>
      <c r="C151" s="261" t="s">
        <v>5167</v>
      </c>
      <c r="D151" s="264" t="s">
        <v>5168</v>
      </c>
      <c r="E151" s="265" t="s">
        <v>4897</v>
      </c>
      <c r="F151" s="268" t="s">
        <v>5162</v>
      </c>
      <c r="G151" s="271" t="str">
        <f>IF(COUNTIF(H151:AU151,"&lt;&gt;")=0,"",SUMPRODUCT(((Recommendations[ImplStatus]="Implemented")+(Recommendations[ImplStatus]="Compensated"))*ISNUMBER(MATCH(Recommendations[Id],H151:AU151,0)))/COUNTIF(H151:AU151,"&lt;&gt;"))</f>
        <v/>
      </c>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c r="AN151" s="272"/>
      <c r="AO151" s="272"/>
      <c r="AP151" s="272"/>
      <c r="AQ151" s="272"/>
      <c r="AR151" s="272"/>
      <c r="AS151" s="272"/>
      <c r="AT151" s="272"/>
      <c r="AU151" s="286"/>
    </row>
    <row r="152" spans="1:47" ht="60" customHeight="1" x14ac:dyDescent="0.35">
      <c r="A152" s="282" t="s">
        <v>5100</v>
      </c>
      <c r="B152" s="260" t="s">
        <v>5159</v>
      </c>
      <c r="C152" s="261" t="s">
        <v>5169</v>
      </c>
      <c r="D152" s="264" t="s">
        <v>5170</v>
      </c>
      <c r="E152" s="265" t="s">
        <v>4897</v>
      </c>
      <c r="F152" s="268" t="s">
        <v>5162</v>
      </c>
      <c r="G152" s="271" t="str">
        <f>IF(COUNTIF(H152:AU152,"&lt;&gt;")=0,"",SUMPRODUCT(((Recommendations[ImplStatus]="Implemented")+(Recommendations[ImplStatus]="Compensated"))*ISNUMBER(MATCH(Recommendations[Id],H152:AU152,0)))/COUNTIF(H152:AU152,"&lt;&gt;"))</f>
        <v/>
      </c>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86"/>
    </row>
    <row r="153" spans="1:47" ht="60" customHeight="1" x14ac:dyDescent="0.35">
      <c r="A153" s="282" t="s">
        <v>5100</v>
      </c>
      <c r="B153" s="260" t="s">
        <v>5159</v>
      </c>
      <c r="C153" s="261" t="s">
        <v>5171</v>
      </c>
      <c r="D153" s="264" t="s">
        <v>5172</v>
      </c>
      <c r="E153" s="265" t="s">
        <v>4897</v>
      </c>
      <c r="F153" s="268" t="s">
        <v>5162</v>
      </c>
      <c r="G153" s="271" t="str">
        <f>IF(COUNTIF(H153:AU153,"&lt;&gt;")=0,"",SUMPRODUCT(((Recommendations[ImplStatus]="Implemented")+(Recommendations[ImplStatus]="Compensated"))*ISNUMBER(MATCH(Recommendations[Id],H153:AU153,0)))/COUNTIF(H153:AU153,"&lt;&gt;"))</f>
        <v/>
      </c>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86"/>
    </row>
    <row r="154" spans="1:47" ht="60" customHeight="1" x14ac:dyDescent="0.35">
      <c r="A154" s="282" t="s">
        <v>5100</v>
      </c>
      <c r="B154" s="260" t="s">
        <v>5159</v>
      </c>
      <c r="C154" s="261" t="s">
        <v>5173</v>
      </c>
      <c r="D154" s="264" t="s">
        <v>5174</v>
      </c>
      <c r="E154" s="265" t="s">
        <v>4897</v>
      </c>
      <c r="F154" s="268" t="s">
        <v>5162</v>
      </c>
      <c r="G154" s="271" t="str">
        <f>IF(COUNTIF(H154:AU154,"&lt;&gt;")=0,"",SUMPRODUCT(((Recommendations[ImplStatus]="Implemented")+(Recommendations[ImplStatus]="Compensated"))*ISNUMBER(MATCH(Recommendations[Id],H154:AU154,0)))/COUNTIF(H154:AU154,"&lt;&gt;"))</f>
        <v/>
      </c>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86"/>
    </row>
    <row r="155" spans="1:47" ht="60" customHeight="1" x14ac:dyDescent="0.35">
      <c r="A155" s="282" t="s">
        <v>5100</v>
      </c>
      <c r="B155" s="260" t="s">
        <v>5159</v>
      </c>
      <c r="C155" s="261" t="s">
        <v>5175</v>
      </c>
      <c r="D155" s="264" t="s">
        <v>5176</v>
      </c>
      <c r="E155" s="265" t="s">
        <v>4897</v>
      </c>
      <c r="F155" s="268" t="s">
        <v>5162</v>
      </c>
      <c r="G155" s="271" t="str">
        <f>IF(COUNTIF(H155:AU155,"&lt;&gt;")=0,"",SUMPRODUCT(((Recommendations[ImplStatus]="Implemented")+(Recommendations[ImplStatus]="Compensated"))*ISNUMBER(MATCH(Recommendations[Id],H155:AU155,0)))/COUNTIF(H155:AU155,"&lt;&gt;"))</f>
        <v/>
      </c>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c r="AN155" s="272"/>
      <c r="AO155" s="272"/>
      <c r="AP155" s="272"/>
      <c r="AQ155" s="272"/>
      <c r="AR155" s="272"/>
      <c r="AS155" s="272"/>
      <c r="AT155" s="272"/>
      <c r="AU155" s="286"/>
    </row>
    <row r="156" spans="1:47" ht="60" customHeight="1" x14ac:dyDescent="0.35">
      <c r="A156" s="282" t="s">
        <v>5100</v>
      </c>
      <c r="B156" s="260" t="s">
        <v>5159</v>
      </c>
      <c r="C156" s="261" t="s">
        <v>5177</v>
      </c>
      <c r="D156" s="264" t="s">
        <v>5178</v>
      </c>
      <c r="E156" s="265" t="s">
        <v>4897</v>
      </c>
      <c r="F156" s="268" t="s">
        <v>5162</v>
      </c>
      <c r="G156" s="271" t="str">
        <f>IF(COUNTIF(H156:AU156,"&lt;&gt;")=0,"",SUMPRODUCT(((Recommendations[ImplStatus]="Implemented")+(Recommendations[ImplStatus]="Compensated"))*ISNUMBER(MATCH(Recommendations[Id],H156:AU156,0)))/COUNTIF(H156:AU156,"&lt;&gt;"))</f>
        <v/>
      </c>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c r="AN156" s="272"/>
      <c r="AO156" s="272"/>
      <c r="AP156" s="272"/>
      <c r="AQ156" s="272"/>
      <c r="AR156" s="272"/>
      <c r="AS156" s="272"/>
      <c r="AT156" s="272"/>
      <c r="AU156" s="286"/>
    </row>
    <row r="157" spans="1:47" ht="60" customHeight="1" x14ac:dyDescent="0.35">
      <c r="A157" s="282" t="s">
        <v>5100</v>
      </c>
      <c r="B157" s="260" t="s">
        <v>5159</v>
      </c>
      <c r="C157" s="261" t="s">
        <v>5179</v>
      </c>
      <c r="D157" s="264" t="s">
        <v>5180</v>
      </c>
      <c r="E157" s="265" t="s">
        <v>4897</v>
      </c>
      <c r="F157" s="268" t="s">
        <v>5162</v>
      </c>
      <c r="G157" s="271" t="str">
        <f>IF(COUNTIF(H157:AU157,"&lt;&gt;")=0,"",SUMPRODUCT(((Recommendations[ImplStatus]="Implemented")+(Recommendations[ImplStatus]="Compensated"))*ISNUMBER(MATCH(Recommendations[Id],H157:AU157,0)))/COUNTIF(H157:AU157,"&lt;&gt;"))</f>
        <v/>
      </c>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c r="AN157" s="272"/>
      <c r="AO157" s="272"/>
      <c r="AP157" s="272"/>
      <c r="AQ157" s="272"/>
      <c r="AR157" s="272"/>
      <c r="AS157" s="272"/>
      <c r="AT157" s="272"/>
      <c r="AU157" s="286"/>
    </row>
    <row r="158" spans="1:47" ht="60" customHeight="1" x14ac:dyDescent="0.35">
      <c r="A158" s="282" t="s">
        <v>5100</v>
      </c>
      <c r="B158" s="260" t="s">
        <v>5159</v>
      </c>
      <c r="C158" s="261" t="s">
        <v>5181</v>
      </c>
      <c r="D158" s="264" t="s">
        <v>5182</v>
      </c>
      <c r="E158" s="265" t="s">
        <v>4897</v>
      </c>
      <c r="F158" s="268" t="s">
        <v>5162</v>
      </c>
      <c r="G158" s="271" t="str">
        <f>IF(COUNTIF(H158:AU158,"&lt;&gt;")=0,"",SUMPRODUCT(((Recommendations[ImplStatus]="Implemented")+(Recommendations[ImplStatus]="Compensated"))*ISNUMBER(MATCH(Recommendations[Id],H158:AU158,0)))/COUNTIF(H158:AU158,"&lt;&gt;"))</f>
        <v/>
      </c>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272"/>
      <c r="AL158" s="272"/>
      <c r="AM158" s="272"/>
      <c r="AN158" s="272"/>
      <c r="AO158" s="272"/>
      <c r="AP158" s="272"/>
      <c r="AQ158" s="272"/>
      <c r="AR158" s="272"/>
      <c r="AS158" s="272"/>
      <c r="AT158" s="272"/>
      <c r="AU158" s="286"/>
    </row>
    <row r="159" spans="1:47" ht="60" customHeight="1" x14ac:dyDescent="0.35">
      <c r="A159" s="282" t="s">
        <v>5100</v>
      </c>
      <c r="B159" s="260" t="s">
        <v>5159</v>
      </c>
      <c r="C159" s="261" t="s">
        <v>5183</v>
      </c>
      <c r="D159" s="264" t="s">
        <v>5184</v>
      </c>
      <c r="E159" s="265" t="s">
        <v>4897</v>
      </c>
      <c r="F159" s="268" t="s">
        <v>5162</v>
      </c>
      <c r="G159" s="271" t="str">
        <f>IF(COUNTIF(H159:AU159,"&lt;&gt;")=0,"",SUMPRODUCT(((Recommendations[ImplStatus]="Implemented")+(Recommendations[ImplStatus]="Compensated"))*ISNUMBER(MATCH(Recommendations[Id],H159:AU159,0)))/COUNTIF(H159:AU159,"&lt;&gt;"))</f>
        <v/>
      </c>
      <c r="H159" s="272"/>
      <c r="I159" s="272"/>
      <c r="J159" s="272"/>
      <c r="K159" s="272"/>
      <c r="L159" s="272"/>
      <c r="M159" s="272"/>
      <c r="N159" s="272"/>
      <c r="O159" s="272"/>
      <c r="P159" s="272"/>
      <c r="Q159" s="272"/>
      <c r="R159" s="272"/>
      <c r="S159" s="272"/>
      <c r="T159" s="272"/>
      <c r="U159" s="272"/>
      <c r="V159" s="272"/>
      <c r="W159" s="272"/>
      <c r="X159" s="272"/>
      <c r="Y159" s="272"/>
      <c r="Z159" s="272"/>
      <c r="AA159" s="272"/>
      <c r="AB159" s="272"/>
      <c r="AC159" s="272"/>
      <c r="AD159" s="272"/>
      <c r="AE159" s="272"/>
      <c r="AF159" s="272"/>
      <c r="AG159" s="272"/>
      <c r="AH159" s="272"/>
      <c r="AI159" s="272"/>
      <c r="AJ159" s="272"/>
      <c r="AK159" s="272"/>
      <c r="AL159" s="272"/>
      <c r="AM159" s="272"/>
      <c r="AN159" s="272"/>
      <c r="AO159" s="272"/>
      <c r="AP159" s="272"/>
      <c r="AQ159" s="272"/>
      <c r="AR159" s="272"/>
      <c r="AS159" s="272"/>
      <c r="AT159" s="272"/>
      <c r="AU159" s="286"/>
    </row>
    <row r="160" spans="1:47" ht="60" customHeight="1" x14ac:dyDescent="0.35">
      <c r="A160" s="282" t="s">
        <v>5100</v>
      </c>
      <c r="B160" s="260" t="s">
        <v>5159</v>
      </c>
      <c r="C160" s="261" t="s">
        <v>5185</v>
      </c>
      <c r="D160" s="264" t="s">
        <v>5186</v>
      </c>
      <c r="E160" s="265" t="s">
        <v>4897</v>
      </c>
      <c r="F160" s="268" t="s">
        <v>5187</v>
      </c>
      <c r="G160" s="271" t="str">
        <f>IF(COUNTIF(H160:AU160,"&lt;&gt;")=0,"",SUMPRODUCT(((Recommendations[ImplStatus]="Implemented")+(Recommendations[ImplStatus]="Compensated"))*ISNUMBER(MATCH(Recommendations[Id],H160:AU160,0)))/COUNTIF(H160:AU160,"&lt;&gt;"))</f>
        <v/>
      </c>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c r="AF160" s="272"/>
      <c r="AG160" s="272"/>
      <c r="AH160" s="272"/>
      <c r="AI160" s="272"/>
      <c r="AJ160" s="272"/>
      <c r="AK160" s="272"/>
      <c r="AL160" s="272"/>
      <c r="AM160" s="272"/>
      <c r="AN160" s="272"/>
      <c r="AO160" s="272"/>
      <c r="AP160" s="272"/>
      <c r="AQ160" s="272"/>
      <c r="AR160" s="272"/>
      <c r="AS160" s="272"/>
      <c r="AT160" s="272"/>
      <c r="AU160" s="286"/>
    </row>
    <row r="161" spans="1:47" ht="60" customHeight="1" x14ac:dyDescent="0.35">
      <c r="A161" s="282" t="s">
        <v>5100</v>
      </c>
      <c r="B161" s="260" t="s">
        <v>5159</v>
      </c>
      <c r="C161" s="261" t="s">
        <v>5188</v>
      </c>
      <c r="D161" s="264" t="s">
        <v>5189</v>
      </c>
      <c r="E161" s="265" t="s">
        <v>4897</v>
      </c>
      <c r="F161" s="268" t="s">
        <v>5187</v>
      </c>
      <c r="G161" s="271" t="str">
        <f>IF(COUNTIF(H161:AU161,"&lt;&gt;")=0,"",SUMPRODUCT(((Recommendations[ImplStatus]="Implemented")+(Recommendations[ImplStatus]="Compensated"))*ISNUMBER(MATCH(Recommendations[Id],H161:AU161,0)))/COUNTIF(H161:AU161,"&lt;&gt;"))</f>
        <v/>
      </c>
      <c r="H161" s="272"/>
      <c r="I161" s="272"/>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c r="AN161" s="272"/>
      <c r="AO161" s="272"/>
      <c r="AP161" s="272"/>
      <c r="AQ161" s="272"/>
      <c r="AR161" s="272"/>
      <c r="AS161" s="272"/>
      <c r="AT161" s="272"/>
      <c r="AU161" s="286"/>
    </row>
    <row r="162" spans="1:47" ht="60" customHeight="1" x14ac:dyDescent="0.35">
      <c r="A162" s="282" t="s">
        <v>5100</v>
      </c>
      <c r="B162" s="260" t="s">
        <v>5159</v>
      </c>
      <c r="C162" s="261" t="s">
        <v>5190</v>
      </c>
      <c r="D162" s="264" t="s">
        <v>5191</v>
      </c>
      <c r="E162" s="265" t="s">
        <v>4897</v>
      </c>
      <c r="F162" s="268" t="s">
        <v>5187</v>
      </c>
      <c r="G162" s="271" t="str">
        <f>IF(COUNTIF(H162:AU162,"&lt;&gt;")=0,"",SUMPRODUCT(((Recommendations[ImplStatus]="Implemented")+(Recommendations[ImplStatus]="Compensated"))*ISNUMBER(MATCH(Recommendations[Id],H162:AU162,0)))/COUNTIF(H162:AU162,"&lt;&gt;"))</f>
        <v/>
      </c>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c r="AN162" s="272"/>
      <c r="AO162" s="272"/>
      <c r="AP162" s="272"/>
      <c r="AQ162" s="272"/>
      <c r="AR162" s="272"/>
      <c r="AS162" s="272"/>
      <c r="AT162" s="272"/>
      <c r="AU162" s="286"/>
    </row>
    <row r="163" spans="1:47" ht="60" customHeight="1" x14ac:dyDescent="0.35">
      <c r="A163" s="282" t="s">
        <v>5100</v>
      </c>
      <c r="B163" s="260" t="s">
        <v>5159</v>
      </c>
      <c r="C163" s="261" t="s">
        <v>5192</v>
      </c>
      <c r="D163" s="264" t="s">
        <v>5193</v>
      </c>
      <c r="E163" s="265" t="s">
        <v>4897</v>
      </c>
      <c r="F163" s="268" t="s">
        <v>5187</v>
      </c>
      <c r="G163" s="271" t="str">
        <f>IF(COUNTIF(H163:AU163,"&lt;&gt;")=0,"",SUMPRODUCT(((Recommendations[ImplStatus]="Implemented")+(Recommendations[ImplStatus]="Compensated"))*ISNUMBER(MATCH(Recommendations[Id],H163:AU163,0)))/COUNTIF(H163:AU163,"&lt;&gt;"))</f>
        <v/>
      </c>
      <c r="H163" s="272"/>
      <c r="I163" s="272"/>
      <c r="J163" s="272"/>
      <c r="K163" s="272"/>
      <c r="L163" s="272"/>
      <c r="M163" s="272"/>
      <c r="N163" s="272"/>
      <c r="O163" s="272"/>
      <c r="P163" s="272"/>
      <c r="Q163" s="272"/>
      <c r="R163" s="272"/>
      <c r="S163" s="272"/>
      <c r="T163" s="272"/>
      <c r="U163" s="272"/>
      <c r="V163" s="272"/>
      <c r="W163" s="272"/>
      <c r="X163" s="272"/>
      <c r="Y163" s="272"/>
      <c r="Z163" s="272"/>
      <c r="AA163" s="272"/>
      <c r="AB163" s="272"/>
      <c r="AC163" s="272"/>
      <c r="AD163" s="272"/>
      <c r="AE163" s="272"/>
      <c r="AF163" s="272"/>
      <c r="AG163" s="272"/>
      <c r="AH163" s="272"/>
      <c r="AI163" s="272"/>
      <c r="AJ163" s="272"/>
      <c r="AK163" s="272"/>
      <c r="AL163" s="272"/>
      <c r="AM163" s="272"/>
      <c r="AN163" s="272"/>
      <c r="AO163" s="272"/>
      <c r="AP163" s="272"/>
      <c r="AQ163" s="272"/>
      <c r="AR163" s="272"/>
      <c r="AS163" s="272"/>
      <c r="AT163" s="272"/>
      <c r="AU163" s="286"/>
    </row>
    <row r="164" spans="1:47" ht="60" customHeight="1" x14ac:dyDescent="0.35">
      <c r="A164" s="282" t="s">
        <v>5100</v>
      </c>
      <c r="B164" s="260" t="s">
        <v>5159</v>
      </c>
      <c r="C164" s="261" t="s">
        <v>5194</v>
      </c>
      <c r="D164" s="264" t="s">
        <v>5195</v>
      </c>
      <c r="E164" s="265" t="s">
        <v>4897</v>
      </c>
      <c r="F164" s="268" t="s">
        <v>5187</v>
      </c>
      <c r="G164" s="271" t="str">
        <f>IF(COUNTIF(H164:AU164,"&lt;&gt;")=0,"",SUMPRODUCT(((Recommendations[ImplStatus]="Implemented")+(Recommendations[ImplStatus]="Compensated"))*ISNUMBER(MATCH(Recommendations[Id],H164:AU164,0)))/COUNTIF(H164:AU164,"&lt;&gt;"))</f>
        <v/>
      </c>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c r="AM164" s="272"/>
      <c r="AN164" s="272"/>
      <c r="AO164" s="272"/>
      <c r="AP164" s="272"/>
      <c r="AQ164" s="272"/>
      <c r="AR164" s="272"/>
      <c r="AS164" s="272"/>
      <c r="AT164" s="272"/>
      <c r="AU164" s="286"/>
    </row>
    <row r="165" spans="1:47" ht="60" customHeight="1" outlineLevel="2" x14ac:dyDescent="0.35">
      <c r="A165" s="281" t="s">
        <v>5100</v>
      </c>
      <c r="B165" s="259" t="s">
        <v>5196</v>
      </c>
      <c r="C165" s="259"/>
      <c r="D165" s="263"/>
      <c r="E165" s="259"/>
      <c r="F165" s="267"/>
      <c r="G165" s="270" t="str">
        <f>IF(COUNTIF(H165:AU165,"&lt;&gt;")=0,"",SUMPRODUCT(((Recommendations[ImplStatus]="Implemented")+(Recommendations[ImplStatus]="Compensated"))*ISNUMBER(MATCH(Recommendations[Id],H165:AU165,0)))/COUNTIF(H165:AU165,"&lt;&gt;"))</f>
        <v/>
      </c>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7"/>
      <c r="AO165" s="267"/>
      <c r="AP165" s="267"/>
      <c r="AQ165" s="267"/>
      <c r="AR165" s="267"/>
      <c r="AS165" s="267"/>
      <c r="AT165" s="267"/>
      <c r="AU165" s="285"/>
    </row>
    <row r="166" spans="1:47" ht="60" customHeight="1" x14ac:dyDescent="0.35">
      <c r="A166" s="282" t="s">
        <v>5100</v>
      </c>
      <c r="B166" s="260" t="s">
        <v>5196</v>
      </c>
      <c r="C166" s="261" t="s">
        <v>5197</v>
      </c>
      <c r="D166" s="264" t="s">
        <v>5198</v>
      </c>
      <c r="E166" s="265" t="s">
        <v>4868</v>
      </c>
      <c r="F166" s="268" t="s">
        <v>5199</v>
      </c>
      <c r="G166" s="271" t="str">
        <f>IF(COUNTIF(H166:AU166,"&lt;&gt;")=0,"",SUMPRODUCT(((Recommendations[ImplStatus]="Implemented")+(Recommendations[ImplStatus]="Compensated"))*ISNUMBER(MATCH(Recommendations[Id],H166:AU166,0)))/COUNTIF(H166:AU166,"&lt;&gt;"))</f>
        <v/>
      </c>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86"/>
    </row>
    <row r="167" spans="1:47" ht="60" customHeight="1" x14ac:dyDescent="0.35">
      <c r="A167" s="282" t="s">
        <v>5100</v>
      </c>
      <c r="B167" s="260" t="s">
        <v>5196</v>
      </c>
      <c r="C167" s="261" t="s">
        <v>5200</v>
      </c>
      <c r="D167" s="264" t="s">
        <v>5201</v>
      </c>
      <c r="E167" s="265" t="s">
        <v>5012</v>
      </c>
      <c r="F167" s="268" t="s">
        <v>5199</v>
      </c>
      <c r="G167" s="271" t="str">
        <f>IF(COUNTIF(H167:AU167,"&lt;&gt;")=0,"",SUMPRODUCT(((Recommendations[ImplStatus]="Implemented")+(Recommendations[ImplStatus]="Compensated"))*ISNUMBER(MATCH(Recommendations[Id],H167:AU167,0)))/COUNTIF(H167:AU167,"&lt;&gt;"))</f>
        <v/>
      </c>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86"/>
    </row>
    <row r="168" spans="1:47" ht="60" customHeight="1" x14ac:dyDescent="0.35">
      <c r="A168" s="282" t="s">
        <v>5100</v>
      </c>
      <c r="B168" s="260" t="s">
        <v>5196</v>
      </c>
      <c r="C168" s="261" t="s">
        <v>5202</v>
      </c>
      <c r="D168" s="264" t="s">
        <v>5203</v>
      </c>
      <c r="E168" s="265" t="s">
        <v>4964</v>
      </c>
      <c r="F168" s="268" t="s">
        <v>5199</v>
      </c>
      <c r="G168" s="271" t="str">
        <f>IF(COUNTIF(H168:AU168,"&lt;&gt;")=0,"",SUMPRODUCT(((Recommendations[ImplStatus]="Implemented")+(Recommendations[ImplStatus]="Compensated"))*ISNUMBER(MATCH(Recommendations[Id],H168:AU168,0)))/COUNTIF(H168:AU168,"&lt;&gt;"))</f>
        <v/>
      </c>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2"/>
      <c r="AM168" s="272"/>
      <c r="AN168" s="272"/>
      <c r="AO168" s="272"/>
      <c r="AP168" s="272"/>
      <c r="AQ168" s="272"/>
      <c r="AR168" s="272"/>
      <c r="AS168" s="272"/>
      <c r="AT168" s="272"/>
      <c r="AU168" s="286"/>
    </row>
    <row r="169" spans="1:47" ht="60" customHeight="1" x14ac:dyDescent="0.35">
      <c r="A169" s="282" t="s">
        <v>5100</v>
      </c>
      <c r="B169" s="260" t="s">
        <v>5196</v>
      </c>
      <c r="C169" s="261" t="s">
        <v>5204</v>
      </c>
      <c r="D169" s="264" t="s">
        <v>5205</v>
      </c>
      <c r="E169" s="265" t="s">
        <v>4964</v>
      </c>
      <c r="F169" s="268" t="s">
        <v>5199</v>
      </c>
      <c r="G169" s="271" t="str">
        <f>IF(COUNTIF(H169:AU169,"&lt;&gt;")=0,"",SUMPRODUCT(((Recommendations[ImplStatus]="Implemented")+(Recommendations[ImplStatus]="Compensated"))*ISNUMBER(MATCH(Recommendations[Id],H169:AU169,0)))/COUNTIF(H169:AU169,"&lt;&gt;"))</f>
        <v/>
      </c>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c r="AN169" s="272"/>
      <c r="AO169" s="272"/>
      <c r="AP169" s="272"/>
      <c r="AQ169" s="272"/>
      <c r="AR169" s="272"/>
      <c r="AS169" s="272"/>
      <c r="AT169" s="272"/>
      <c r="AU169" s="286"/>
    </row>
    <row r="170" spans="1:47" ht="60" customHeight="1" x14ac:dyDescent="0.35">
      <c r="A170" s="282" t="s">
        <v>5100</v>
      </c>
      <c r="B170" s="260" t="s">
        <v>5196</v>
      </c>
      <c r="C170" s="261" t="s">
        <v>5206</v>
      </c>
      <c r="D170" s="264" t="s">
        <v>5207</v>
      </c>
      <c r="E170" s="265" t="s">
        <v>5012</v>
      </c>
      <c r="F170" s="268" t="s">
        <v>5199</v>
      </c>
      <c r="G170" s="271" t="str">
        <f>IF(COUNTIF(H170:AU170,"&lt;&gt;")=0,"",SUMPRODUCT(((Recommendations[ImplStatus]="Implemented")+(Recommendations[ImplStatus]="Compensated"))*ISNUMBER(MATCH(Recommendations[Id],H170:AU170,0)))/COUNTIF(H170:AU170,"&lt;&gt;"))</f>
        <v/>
      </c>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86"/>
    </row>
    <row r="171" spans="1:47" ht="60" customHeight="1" x14ac:dyDescent="0.35">
      <c r="A171" s="282" t="s">
        <v>5100</v>
      </c>
      <c r="B171" s="260" t="s">
        <v>5196</v>
      </c>
      <c r="C171" s="261" t="s">
        <v>5208</v>
      </c>
      <c r="D171" s="264" t="s">
        <v>5209</v>
      </c>
      <c r="E171" s="265" t="s">
        <v>4897</v>
      </c>
      <c r="F171" s="268" t="s">
        <v>5199</v>
      </c>
      <c r="G171" s="271" t="str">
        <f>IF(COUNTIF(H171:AU171,"&lt;&gt;")=0,"",SUMPRODUCT(((Recommendations[ImplStatus]="Implemented")+(Recommendations[ImplStatus]="Compensated"))*ISNUMBER(MATCH(Recommendations[Id],H171:AU171,0)))/COUNTIF(H171:AU171,"&lt;&gt;"))</f>
        <v/>
      </c>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86"/>
    </row>
    <row r="172" spans="1:47" ht="60" customHeight="1" x14ac:dyDescent="0.35">
      <c r="A172" s="282" t="s">
        <v>5100</v>
      </c>
      <c r="B172" s="260" t="s">
        <v>5196</v>
      </c>
      <c r="C172" s="261" t="s">
        <v>5210</v>
      </c>
      <c r="D172" s="264" t="s">
        <v>5211</v>
      </c>
      <c r="E172" s="265" t="s">
        <v>4964</v>
      </c>
      <c r="F172" s="268" t="s">
        <v>5199</v>
      </c>
      <c r="G172" s="271" t="str">
        <f>IF(COUNTIF(H172:AU172,"&lt;&gt;")=0,"",SUMPRODUCT(((Recommendations[ImplStatus]="Implemented")+(Recommendations[ImplStatus]="Compensated"))*ISNUMBER(MATCH(Recommendations[Id],H172:AU172,0)))/COUNTIF(H172:AU172,"&lt;&gt;"))</f>
        <v/>
      </c>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c r="AN172" s="272"/>
      <c r="AO172" s="272"/>
      <c r="AP172" s="272"/>
      <c r="AQ172" s="272"/>
      <c r="AR172" s="272"/>
      <c r="AS172" s="272"/>
      <c r="AT172" s="272"/>
      <c r="AU172" s="286"/>
    </row>
    <row r="173" spans="1:47" ht="60" customHeight="1" x14ac:dyDescent="0.35">
      <c r="A173" s="282" t="s">
        <v>5100</v>
      </c>
      <c r="B173" s="260" t="s">
        <v>5196</v>
      </c>
      <c r="C173" s="261" t="s">
        <v>5212</v>
      </c>
      <c r="D173" s="264" t="s">
        <v>5213</v>
      </c>
      <c r="E173" s="265" t="s">
        <v>4897</v>
      </c>
      <c r="F173" s="268" t="s">
        <v>5199</v>
      </c>
      <c r="G173" s="271" t="str">
        <f>IF(COUNTIF(H173:AU173,"&lt;&gt;")=0,"",SUMPRODUCT(((Recommendations[ImplStatus]="Implemented")+(Recommendations[ImplStatus]="Compensated"))*ISNUMBER(MATCH(Recommendations[Id],H173:AU173,0)))/COUNTIF(H173:AU173,"&lt;&gt;"))</f>
        <v/>
      </c>
      <c r="H173" s="272"/>
      <c r="I173" s="272"/>
      <c r="J173" s="272"/>
      <c r="K173" s="272"/>
      <c r="L173" s="272"/>
      <c r="M173" s="272"/>
      <c r="N173" s="272"/>
      <c r="O173" s="272"/>
      <c r="P173" s="272"/>
      <c r="Q173" s="272"/>
      <c r="R173" s="272"/>
      <c r="S173" s="272"/>
      <c r="T173" s="272"/>
      <c r="U173" s="272"/>
      <c r="V173" s="272"/>
      <c r="W173" s="272"/>
      <c r="X173" s="272"/>
      <c r="Y173" s="272"/>
      <c r="Z173" s="272"/>
      <c r="AA173" s="272"/>
      <c r="AB173" s="272"/>
      <c r="AC173" s="272"/>
      <c r="AD173" s="272"/>
      <c r="AE173" s="272"/>
      <c r="AF173" s="272"/>
      <c r="AG173" s="272"/>
      <c r="AH173" s="272"/>
      <c r="AI173" s="272"/>
      <c r="AJ173" s="272"/>
      <c r="AK173" s="272"/>
      <c r="AL173" s="272"/>
      <c r="AM173" s="272"/>
      <c r="AN173" s="272"/>
      <c r="AO173" s="272"/>
      <c r="AP173" s="272"/>
      <c r="AQ173" s="272"/>
      <c r="AR173" s="272"/>
      <c r="AS173" s="272"/>
      <c r="AT173" s="272"/>
      <c r="AU173" s="286"/>
    </row>
    <row r="174" spans="1:47" ht="60" customHeight="1" x14ac:dyDescent="0.35">
      <c r="A174" s="282" t="s">
        <v>5100</v>
      </c>
      <c r="B174" s="260" t="s">
        <v>5196</v>
      </c>
      <c r="C174" s="261" t="s">
        <v>5214</v>
      </c>
      <c r="D174" s="264" t="s">
        <v>5215</v>
      </c>
      <c r="E174" s="265" t="s">
        <v>4964</v>
      </c>
      <c r="F174" s="268" t="s">
        <v>5199</v>
      </c>
      <c r="G174" s="271" t="str">
        <f>IF(COUNTIF(H174:AU174,"&lt;&gt;")=0,"",SUMPRODUCT(((Recommendations[ImplStatus]="Implemented")+(Recommendations[ImplStatus]="Compensated"))*ISNUMBER(MATCH(Recommendations[Id],H174:AU174,0)))/COUNTIF(H174:AU174,"&lt;&gt;"))</f>
        <v/>
      </c>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2"/>
      <c r="AM174" s="272"/>
      <c r="AN174" s="272"/>
      <c r="AO174" s="272"/>
      <c r="AP174" s="272"/>
      <c r="AQ174" s="272"/>
      <c r="AR174" s="272"/>
      <c r="AS174" s="272"/>
      <c r="AT174" s="272"/>
      <c r="AU174" s="286"/>
    </row>
    <row r="175" spans="1:47" ht="60" customHeight="1" x14ac:dyDescent="0.35">
      <c r="A175" s="282" t="s">
        <v>5100</v>
      </c>
      <c r="B175" s="260" t="s">
        <v>5196</v>
      </c>
      <c r="C175" s="261" t="s">
        <v>5216</v>
      </c>
      <c r="D175" s="264" t="s">
        <v>5217</v>
      </c>
      <c r="E175" s="265" t="s">
        <v>4897</v>
      </c>
      <c r="F175" s="268" t="s">
        <v>5199</v>
      </c>
      <c r="G175" s="271" t="str">
        <f>IF(COUNTIF(H175:AU175,"&lt;&gt;")=0,"",SUMPRODUCT(((Recommendations[ImplStatus]="Implemented")+(Recommendations[ImplStatus]="Compensated"))*ISNUMBER(MATCH(Recommendations[Id],H175:AU175,0)))/COUNTIF(H175:AU175,"&lt;&gt;"))</f>
        <v/>
      </c>
      <c r="H175" s="272"/>
      <c r="I175" s="272"/>
      <c r="J175" s="272"/>
      <c r="K175" s="272"/>
      <c r="L175" s="272"/>
      <c r="M175" s="272"/>
      <c r="N175" s="272"/>
      <c r="O175" s="272"/>
      <c r="P175" s="272"/>
      <c r="Q175" s="272"/>
      <c r="R175" s="272"/>
      <c r="S175" s="272"/>
      <c r="T175" s="272"/>
      <c r="U175" s="272"/>
      <c r="V175" s="272"/>
      <c r="W175" s="272"/>
      <c r="X175" s="272"/>
      <c r="Y175" s="272"/>
      <c r="Z175" s="272"/>
      <c r="AA175" s="272"/>
      <c r="AB175" s="272"/>
      <c r="AC175" s="272"/>
      <c r="AD175" s="272"/>
      <c r="AE175" s="272"/>
      <c r="AF175" s="272"/>
      <c r="AG175" s="272"/>
      <c r="AH175" s="272"/>
      <c r="AI175" s="272"/>
      <c r="AJ175" s="272"/>
      <c r="AK175" s="272"/>
      <c r="AL175" s="272"/>
      <c r="AM175" s="272"/>
      <c r="AN175" s="272"/>
      <c r="AO175" s="272"/>
      <c r="AP175" s="272"/>
      <c r="AQ175" s="272"/>
      <c r="AR175" s="272"/>
      <c r="AS175" s="272"/>
      <c r="AT175" s="272"/>
      <c r="AU175" s="286"/>
    </row>
    <row r="176" spans="1:47" ht="60" customHeight="1" x14ac:dyDescent="0.35">
      <c r="A176" s="282" t="s">
        <v>5100</v>
      </c>
      <c r="B176" s="260" t="s">
        <v>5196</v>
      </c>
      <c r="C176" s="261" t="s">
        <v>5218</v>
      </c>
      <c r="D176" s="264" t="s">
        <v>5219</v>
      </c>
      <c r="E176" s="265" t="s">
        <v>4868</v>
      </c>
      <c r="F176" s="268" t="s">
        <v>5199</v>
      </c>
      <c r="G176" s="271" t="str">
        <f>IF(COUNTIF(H176:AU176,"&lt;&gt;")=0,"",SUMPRODUCT(((Recommendations[ImplStatus]="Implemented")+(Recommendations[ImplStatus]="Compensated"))*ISNUMBER(MATCH(Recommendations[Id],H176:AU176,0)))/COUNTIF(H176:AU176,"&lt;&gt;"))</f>
        <v/>
      </c>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c r="AN176" s="272"/>
      <c r="AO176" s="272"/>
      <c r="AP176" s="272"/>
      <c r="AQ176" s="272"/>
      <c r="AR176" s="272"/>
      <c r="AS176" s="272"/>
      <c r="AT176" s="272"/>
      <c r="AU176" s="286"/>
    </row>
    <row r="177" spans="1:47" ht="60" customHeight="1" x14ac:dyDescent="0.35">
      <c r="A177" s="282" t="s">
        <v>5100</v>
      </c>
      <c r="B177" s="260" t="s">
        <v>5196</v>
      </c>
      <c r="C177" s="261" t="s">
        <v>5220</v>
      </c>
      <c r="D177" s="264" t="s">
        <v>5221</v>
      </c>
      <c r="E177" s="265" t="s">
        <v>4868</v>
      </c>
      <c r="F177" s="268" t="s">
        <v>5199</v>
      </c>
      <c r="G177" s="271" t="str">
        <f>IF(COUNTIF(H177:AU177,"&lt;&gt;")=0,"",SUMPRODUCT(((Recommendations[ImplStatus]="Implemented")+(Recommendations[ImplStatus]="Compensated"))*ISNUMBER(MATCH(Recommendations[Id],H177:AU177,0)))/COUNTIF(H177:AU177,"&lt;&gt;"))</f>
        <v/>
      </c>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86"/>
    </row>
    <row r="178" spans="1:47" ht="60" customHeight="1" x14ac:dyDescent="0.35">
      <c r="A178" s="282" t="s">
        <v>5100</v>
      </c>
      <c r="B178" s="260" t="s">
        <v>5196</v>
      </c>
      <c r="C178" s="261" t="s">
        <v>5222</v>
      </c>
      <c r="D178" s="264" t="s">
        <v>5223</v>
      </c>
      <c r="E178" s="265" t="s">
        <v>4897</v>
      </c>
      <c r="F178" s="268" t="s">
        <v>5199</v>
      </c>
      <c r="G178" s="271" t="str">
        <f>IF(COUNTIF(H178:AU178,"&lt;&gt;")=0,"",SUMPRODUCT(((Recommendations[ImplStatus]="Implemented")+(Recommendations[ImplStatus]="Compensated"))*ISNUMBER(MATCH(Recommendations[Id],H178:AU178,0)))/COUNTIF(H178:AU178,"&lt;&gt;"))</f>
        <v/>
      </c>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86"/>
    </row>
    <row r="179" spans="1:47" ht="60" customHeight="1" x14ac:dyDescent="0.35">
      <c r="A179" s="282" t="s">
        <v>5100</v>
      </c>
      <c r="B179" s="260" t="s">
        <v>5196</v>
      </c>
      <c r="C179" s="261" t="s">
        <v>5224</v>
      </c>
      <c r="D179" s="264" t="s">
        <v>5225</v>
      </c>
      <c r="E179" s="265" t="s">
        <v>5012</v>
      </c>
      <c r="F179" s="268" t="s">
        <v>5199</v>
      </c>
      <c r="G179" s="271" t="str">
        <f>IF(COUNTIF(H179:AU179,"&lt;&gt;")=0,"",SUMPRODUCT(((Recommendations[ImplStatus]="Implemented")+(Recommendations[ImplStatus]="Compensated"))*ISNUMBER(MATCH(Recommendations[Id],H179:AU179,0)))/COUNTIF(H179:AU179,"&lt;&gt;"))</f>
        <v/>
      </c>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86"/>
    </row>
    <row r="180" spans="1:47" ht="60" customHeight="1" x14ac:dyDescent="0.35">
      <c r="A180" s="282" t="s">
        <v>5100</v>
      </c>
      <c r="B180" s="260" t="s">
        <v>5196</v>
      </c>
      <c r="C180" s="261" t="s">
        <v>5226</v>
      </c>
      <c r="D180" s="264" t="s">
        <v>5227</v>
      </c>
      <c r="E180" s="265" t="s">
        <v>5012</v>
      </c>
      <c r="F180" s="268" t="s">
        <v>5199</v>
      </c>
      <c r="G180" s="271" t="str">
        <f>IF(COUNTIF(H180:AU180,"&lt;&gt;")=0,"",SUMPRODUCT(((Recommendations[ImplStatus]="Implemented")+(Recommendations[ImplStatus]="Compensated"))*ISNUMBER(MATCH(Recommendations[Id],H180:AU180,0)))/COUNTIF(H180:AU180,"&lt;&gt;"))</f>
        <v/>
      </c>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E180" s="272"/>
      <c r="AF180" s="272"/>
      <c r="AG180" s="272"/>
      <c r="AH180" s="272"/>
      <c r="AI180" s="272"/>
      <c r="AJ180" s="272"/>
      <c r="AK180" s="272"/>
      <c r="AL180" s="272"/>
      <c r="AM180" s="272"/>
      <c r="AN180" s="272"/>
      <c r="AO180" s="272"/>
      <c r="AP180" s="272"/>
      <c r="AQ180" s="272"/>
      <c r="AR180" s="272"/>
      <c r="AS180" s="272"/>
      <c r="AT180" s="272"/>
      <c r="AU180" s="286"/>
    </row>
    <row r="181" spans="1:47" ht="60" customHeight="1" outlineLevel="2" x14ac:dyDescent="0.35">
      <c r="A181" s="281" t="s">
        <v>5100</v>
      </c>
      <c r="B181" s="259" t="s">
        <v>5228</v>
      </c>
      <c r="C181" s="259"/>
      <c r="D181" s="263"/>
      <c r="E181" s="259"/>
      <c r="F181" s="267"/>
      <c r="G181" s="270" t="str">
        <f>IF(COUNTIF(H181:AU181,"&lt;&gt;")=0,"",SUMPRODUCT(((Recommendations[ImplStatus]="Implemented")+(Recommendations[ImplStatus]="Compensated"))*ISNUMBER(MATCH(Recommendations[Id],H181:AU181,0)))/COUNTIF(H181:AU181,"&lt;&gt;"))</f>
        <v/>
      </c>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7"/>
      <c r="AO181" s="267"/>
      <c r="AP181" s="267"/>
      <c r="AQ181" s="267"/>
      <c r="AR181" s="267"/>
      <c r="AS181" s="267"/>
      <c r="AT181" s="267"/>
      <c r="AU181" s="285"/>
    </row>
    <row r="182" spans="1:47" ht="60" customHeight="1" x14ac:dyDescent="0.35">
      <c r="A182" s="282" t="s">
        <v>5100</v>
      </c>
      <c r="B182" s="260" t="s">
        <v>5228</v>
      </c>
      <c r="C182" s="261" t="s">
        <v>5229</v>
      </c>
      <c r="D182" s="264" t="s">
        <v>5230</v>
      </c>
      <c r="E182" s="265" t="s">
        <v>4868</v>
      </c>
      <c r="F182" s="268" t="s">
        <v>5231</v>
      </c>
      <c r="G182" s="271" t="str">
        <f>IF(COUNTIF(H182:AU182,"&lt;&gt;")=0,"",SUMPRODUCT(((Recommendations[ImplStatus]="Implemented")+(Recommendations[ImplStatus]="Compensated"))*ISNUMBER(MATCH(Recommendations[Id],H182:AU182,0)))/COUNTIF(H182:AU182,"&lt;&gt;"))</f>
        <v/>
      </c>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c r="AN182" s="272"/>
      <c r="AO182" s="272"/>
      <c r="AP182" s="272"/>
      <c r="AQ182" s="272"/>
      <c r="AR182" s="272"/>
      <c r="AS182" s="272"/>
      <c r="AT182" s="272"/>
      <c r="AU182" s="286"/>
    </row>
    <row r="183" spans="1:47" ht="60" customHeight="1" x14ac:dyDescent="0.35">
      <c r="A183" s="282" t="s">
        <v>5100</v>
      </c>
      <c r="B183" s="260" t="s">
        <v>5228</v>
      </c>
      <c r="C183" s="261" t="s">
        <v>5232</v>
      </c>
      <c r="D183" s="264" t="s">
        <v>5233</v>
      </c>
      <c r="E183" s="265" t="s">
        <v>4868</v>
      </c>
      <c r="F183" s="268" t="s">
        <v>5231</v>
      </c>
      <c r="G183" s="271" t="str">
        <f>IF(COUNTIF(H183:AU183,"&lt;&gt;")=0,"",SUMPRODUCT(((Recommendations[ImplStatus]="Implemented")+(Recommendations[ImplStatus]="Compensated"))*ISNUMBER(MATCH(Recommendations[Id],H183:AU183,0)))/COUNTIF(H183:AU183,"&lt;&gt;"))</f>
        <v/>
      </c>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86"/>
    </row>
    <row r="184" spans="1:47" ht="60" customHeight="1" x14ac:dyDescent="0.35">
      <c r="A184" s="282" t="s">
        <v>5100</v>
      </c>
      <c r="B184" s="260" t="s">
        <v>5228</v>
      </c>
      <c r="C184" s="261" t="s">
        <v>5234</v>
      </c>
      <c r="D184" s="264" t="s">
        <v>5235</v>
      </c>
      <c r="E184" s="265" t="s">
        <v>4868</v>
      </c>
      <c r="F184" s="268" t="s">
        <v>5231</v>
      </c>
      <c r="G184" s="271" t="str">
        <f>IF(COUNTIF(H184:AU184,"&lt;&gt;")=0,"",SUMPRODUCT(((Recommendations[ImplStatus]="Implemented")+(Recommendations[ImplStatus]="Compensated"))*ISNUMBER(MATCH(Recommendations[Id],H184:AU184,0)))/COUNTIF(H184:AU184,"&lt;&gt;"))</f>
        <v/>
      </c>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2"/>
      <c r="AT184" s="272"/>
      <c r="AU184" s="286"/>
    </row>
    <row r="185" spans="1:47" ht="60" customHeight="1" x14ac:dyDescent="0.35">
      <c r="A185" s="282" t="s">
        <v>5100</v>
      </c>
      <c r="B185" s="260" t="s">
        <v>5228</v>
      </c>
      <c r="C185" s="261" t="s">
        <v>5236</v>
      </c>
      <c r="D185" s="264" t="s">
        <v>5237</v>
      </c>
      <c r="E185" s="265" t="s">
        <v>4868</v>
      </c>
      <c r="F185" s="268" t="s">
        <v>5231</v>
      </c>
      <c r="G185" s="271" t="str">
        <f>IF(COUNTIF(H185:AU185,"&lt;&gt;")=0,"",SUMPRODUCT(((Recommendations[ImplStatus]="Implemented")+(Recommendations[ImplStatus]="Compensated"))*ISNUMBER(MATCH(Recommendations[Id],H185:AU185,0)))/COUNTIF(H185:AU185,"&lt;&gt;"))</f>
        <v/>
      </c>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2"/>
      <c r="AT185" s="272"/>
      <c r="AU185" s="286"/>
    </row>
    <row r="186" spans="1:47" ht="60" customHeight="1" x14ac:dyDescent="0.35">
      <c r="A186" s="282" t="s">
        <v>5100</v>
      </c>
      <c r="B186" s="260" t="s">
        <v>5228</v>
      </c>
      <c r="C186" s="261" t="s">
        <v>5238</v>
      </c>
      <c r="D186" s="264" t="s">
        <v>5239</v>
      </c>
      <c r="E186" s="265" t="s">
        <v>4868</v>
      </c>
      <c r="F186" s="268" t="s">
        <v>5231</v>
      </c>
      <c r="G186" s="271" t="str">
        <f>IF(COUNTIF(H186:AU186,"&lt;&gt;")=0,"",SUMPRODUCT(((Recommendations[ImplStatus]="Implemented")+(Recommendations[ImplStatus]="Compensated"))*ISNUMBER(MATCH(Recommendations[Id],H186:AU186,0)))/COUNTIF(H186:AU186,"&lt;&gt;"))</f>
        <v/>
      </c>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72"/>
      <c r="AL186" s="272"/>
      <c r="AM186" s="272"/>
      <c r="AN186" s="272"/>
      <c r="AO186" s="272"/>
      <c r="AP186" s="272"/>
      <c r="AQ186" s="272"/>
      <c r="AR186" s="272"/>
      <c r="AS186" s="272"/>
      <c r="AT186" s="272"/>
      <c r="AU186" s="286"/>
    </row>
    <row r="187" spans="1:47" ht="60" customHeight="1" x14ac:dyDescent="0.35">
      <c r="A187" s="282" t="s">
        <v>5100</v>
      </c>
      <c r="B187" s="260" t="s">
        <v>5228</v>
      </c>
      <c r="C187" s="261" t="s">
        <v>5240</v>
      </c>
      <c r="D187" s="264" t="s">
        <v>5241</v>
      </c>
      <c r="E187" s="265" t="s">
        <v>4897</v>
      </c>
      <c r="F187" s="268" t="s">
        <v>5231</v>
      </c>
      <c r="G187" s="271" t="str">
        <f>IF(COUNTIF(H187:AU187,"&lt;&gt;")=0,"",SUMPRODUCT(((Recommendations[ImplStatus]="Implemented")+(Recommendations[ImplStatus]="Compensated"))*ISNUMBER(MATCH(Recommendations[Id],H187:AU187,0)))/COUNTIF(H187:AU187,"&lt;&gt;"))</f>
        <v/>
      </c>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c r="AN187" s="272"/>
      <c r="AO187" s="272"/>
      <c r="AP187" s="272"/>
      <c r="AQ187" s="272"/>
      <c r="AR187" s="272"/>
      <c r="AS187" s="272"/>
      <c r="AT187" s="272"/>
      <c r="AU187" s="286"/>
    </row>
    <row r="188" spans="1:47" ht="60" customHeight="1" x14ac:dyDescent="0.35">
      <c r="A188" s="282" t="s">
        <v>5100</v>
      </c>
      <c r="B188" s="260" t="s">
        <v>5228</v>
      </c>
      <c r="C188" s="261" t="s">
        <v>5242</v>
      </c>
      <c r="D188" s="264" t="s">
        <v>5243</v>
      </c>
      <c r="E188" s="265" t="s">
        <v>4897</v>
      </c>
      <c r="F188" s="268" t="s">
        <v>5231</v>
      </c>
      <c r="G188" s="271" t="str">
        <f>IF(COUNTIF(H188:AU188,"&lt;&gt;")=0,"",SUMPRODUCT(((Recommendations[ImplStatus]="Implemented")+(Recommendations[ImplStatus]="Compensated"))*ISNUMBER(MATCH(Recommendations[Id],H188:AU188,0)))/COUNTIF(H188:AU188,"&lt;&gt;"))</f>
        <v/>
      </c>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c r="AN188" s="272"/>
      <c r="AO188" s="272"/>
      <c r="AP188" s="272"/>
      <c r="AQ188" s="272"/>
      <c r="AR188" s="272"/>
      <c r="AS188" s="272"/>
      <c r="AT188" s="272"/>
      <c r="AU188" s="286"/>
    </row>
    <row r="189" spans="1:47" ht="60" customHeight="1" x14ac:dyDescent="0.35">
      <c r="A189" s="282" t="s">
        <v>5100</v>
      </c>
      <c r="B189" s="260" t="s">
        <v>5228</v>
      </c>
      <c r="C189" s="261" t="s">
        <v>5244</v>
      </c>
      <c r="D189" s="264" t="s">
        <v>5245</v>
      </c>
      <c r="E189" s="265" t="s">
        <v>4897</v>
      </c>
      <c r="F189" s="268" t="s">
        <v>5231</v>
      </c>
      <c r="G189" s="271" t="str">
        <f>IF(COUNTIF(H189:AU189,"&lt;&gt;")=0,"",SUMPRODUCT(((Recommendations[ImplStatus]="Implemented")+(Recommendations[ImplStatus]="Compensated"))*ISNUMBER(MATCH(Recommendations[Id],H189:AU189,0)))/COUNTIF(H189:AU189,"&lt;&gt;"))</f>
        <v/>
      </c>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86"/>
    </row>
    <row r="190" spans="1:47" ht="60" customHeight="1" x14ac:dyDescent="0.35">
      <c r="A190" s="282" t="s">
        <v>5100</v>
      </c>
      <c r="B190" s="260" t="s">
        <v>5228</v>
      </c>
      <c r="C190" s="261" t="s">
        <v>5246</v>
      </c>
      <c r="D190" s="264" t="s">
        <v>5247</v>
      </c>
      <c r="E190" s="265" t="s">
        <v>4897</v>
      </c>
      <c r="F190" s="268" t="s">
        <v>5231</v>
      </c>
      <c r="G190" s="271" t="str">
        <f>IF(COUNTIF(H190:AU190,"&lt;&gt;")=0,"",SUMPRODUCT(((Recommendations[ImplStatus]="Implemented")+(Recommendations[ImplStatus]="Compensated"))*ISNUMBER(MATCH(Recommendations[Id],H190:AU190,0)))/COUNTIF(H190:AU190,"&lt;&gt;"))</f>
        <v/>
      </c>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86"/>
    </row>
    <row r="191" spans="1:47" ht="60" customHeight="1" x14ac:dyDescent="0.35">
      <c r="A191" s="282" t="s">
        <v>5100</v>
      </c>
      <c r="B191" s="260" t="s">
        <v>5228</v>
      </c>
      <c r="C191" s="261" t="s">
        <v>5248</v>
      </c>
      <c r="D191" s="264" t="s">
        <v>5249</v>
      </c>
      <c r="E191" s="265" t="s">
        <v>4868</v>
      </c>
      <c r="F191" s="268" t="s">
        <v>5231</v>
      </c>
      <c r="G191" s="271" t="str">
        <f>IF(COUNTIF(H191:AU191,"&lt;&gt;")=0,"",SUMPRODUCT(((Recommendations[ImplStatus]="Implemented")+(Recommendations[ImplStatus]="Compensated"))*ISNUMBER(MATCH(Recommendations[Id],H191:AU191,0)))/COUNTIF(H191:AU191,"&lt;&gt;"))</f>
        <v/>
      </c>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2"/>
      <c r="AT191" s="272"/>
      <c r="AU191" s="286"/>
    </row>
    <row r="192" spans="1:47" ht="60" customHeight="1" x14ac:dyDescent="0.35">
      <c r="A192" s="282" t="s">
        <v>5100</v>
      </c>
      <c r="B192" s="260" t="s">
        <v>5228</v>
      </c>
      <c r="C192" s="261" t="s">
        <v>5250</v>
      </c>
      <c r="D192" s="264" t="s">
        <v>5251</v>
      </c>
      <c r="E192" s="265" t="s">
        <v>4868</v>
      </c>
      <c r="F192" s="268" t="s">
        <v>5231</v>
      </c>
      <c r="G192" s="271" t="str">
        <f>IF(COUNTIF(H192:AU192,"&lt;&gt;")=0,"",SUMPRODUCT(((Recommendations[ImplStatus]="Implemented")+(Recommendations[ImplStatus]="Compensated"))*ISNUMBER(MATCH(Recommendations[Id],H192:AU192,0)))/COUNTIF(H192:AU192,"&lt;&gt;"))</f>
        <v/>
      </c>
      <c r="H192" s="272"/>
      <c r="I192" s="272"/>
      <c r="J192" s="272"/>
      <c r="K192" s="272"/>
      <c r="L192" s="272"/>
      <c r="M192" s="272"/>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c r="AO192" s="272"/>
      <c r="AP192" s="272"/>
      <c r="AQ192" s="272"/>
      <c r="AR192" s="272"/>
      <c r="AS192" s="272"/>
      <c r="AT192" s="272"/>
      <c r="AU192" s="286"/>
    </row>
    <row r="193" spans="1:47" ht="60" customHeight="1" x14ac:dyDescent="0.35">
      <c r="A193" s="282" t="s">
        <v>5100</v>
      </c>
      <c r="B193" s="260" t="s">
        <v>5228</v>
      </c>
      <c r="C193" s="261" t="s">
        <v>5252</v>
      </c>
      <c r="D193" s="264" t="s">
        <v>5253</v>
      </c>
      <c r="E193" s="265" t="s">
        <v>4868</v>
      </c>
      <c r="F193" s="268" t="s">
        <v>5231</v>
      </c>
      <c r="G193" s="271" t="str">
        <f>IF(COUNTIF(H193:AU193,"&lt;&gt;")=0,"",SUMPRODUCT(((Recommendations[ImplStatus]="Implemented")+(Recommendations[ImplStatus]="Compensated"))*ISNUMBER(MATCH(Recommendations[Id],H193:AU193,0)))/COUNTIF(H193:AU193,"&lt;&gt;"))</f>
        <v/>
      </c>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c r="AN193" s="272"/>
      <c r="AO193" s="272"/>
      <c r="AP193" s="272"/>
      <c r="AQ193" s="272"/>
      <c r="AR193" s="272"/>
      <c r="AS193" s="272"/>
      <c r="AT193" s="272"/>
      <c r="AU193" s="286"/>
    </row>
    <row r="194" spans="1:47" ht="60" customHeight="1" x14ac:dyDescent="0.35">
      <c r="A194" s="282" t="s">
        <v>5100</v>
      </c>
      <c r="B194" s="260" t="s">
        <v>5228</v>
      </c>
      <c r="C194" s="261" t="s">
        <v>5254</v>
      </c>
      <c r="D194" s="264" t="s">
        <v>5255</v>
      </c>
      <c r="E194" s="265" t="s">
        <v>4868</v>
      </c>
      <c r="F194" s="268" t="s">
        <v>5231</v>
      </c>
      <c r="G194" s="271" t="str">
        <f>IF(COUNTIF(H194:AU194,"&lt;&gt;")=0,"",SUMPRODUCT(((Recommendations[ImplStatus]="Implemented")+(Recommendations[ImplStatus]="Compensated"))*ISNUMBER(MATCH(Recommendations[Id],H194:AU194,0)))/COUNTIF(H194:AU194,"&lt;&gt;"))</f>
        <v/>
      </c>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c r="AO194" s="272"/>
      <c r="AP194" s="272"/>
      <c r="AQ194" s="272"/>
      <c r="AR194" s="272"/>
      <c r="AS194" s="272"/>
      <c r="AT194" s="272"/>
      <c r="AU194" s="286"/>
    </row>
    <row r="195" spans="1:47" ht="60" customHeight="1" x14ac:dyDescent="0.35">
      <c r="A195" s="282" t="s">
        <v>5100</v>
      </c>
      <c r="B195" s="260" t="s">
        <v>5228</v>
      </c>
      <c r="C195" s="261" t="s">
        <v>5256</v>
      </c>
      <c r="D195" s="264" t="s">
        <v>5257</v>
      </c>
      <c r="E195" s="265" t="s">
        <v>4868</v>
      </c>
      <c r="F195" s="268" t="s">
        <v>5231</v>
      </c>
      <c r="G195" s="271" t="str">
        <f>IF(COUNTIF(H195:AU195,"&lt;&gt;")=0,"",SUMPRODUCT(((Recommendations[ImplStatus]="Implemented")+(Recommendations[ImplStatus]="Compensated"))*ISNUMBER(MATCH(Recommendations[Id],H195:AU195,0)))/COUNTIF(H195:AU195,"&lt;&gt;"))</f>
        <v/>
      </c>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86"/>
    </row>
    <row r="196" spans="1:47" ht="60" customHeight="1" x14ac:dyDescent="0.35">
      <c r="A196" s="282" t="s">
        <v>5100</v>
      </c>
      <c r="B196" s="260" t="s">
        <v>5228</v>
      </c>
      <c r="C196" s="261" t="s">
        <v>5258</v>
      </c>
      <c r="D196" s="264" t="s">
        <v>5259</v>
      </c>
      <c r="E196" s="265" t="s">
        <v>4868</v>
      </c>
      <c r="F196" s="268" t="s">
        <v>5260</v>
      </c>
      <c r="G196" s="271" t="str">
        <f>IF(COUNTIF(H196:AU196,"&lt;&gt;")=0,"",SUMPRODUCT(((Recommendations[ImplStatus]="Implemented")+(Recommendations[ImplStatus]="Compensated"))*ISNUMBER(MATCH(Recommendations[Id],H196:AU196,0)))/COUNTIF(H196:AU196,"&lt;&gt;"))</f>
        <v/>
      </c>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2"/>
      <c r="AT196" s="272"/>
      <c r="AU196" s="286"/>
    </row>
    <row r="197" spans="1:47" ht="60" customHeight="1" x14ac:dyDescent="0.35">
      <c r="A197" s="282" t="s">
        <v>5100</v>
      </c>
      <c r="B197" s="260" t="s">
        <v>5228</v>
      </c>
      <c r="C197" s="261" t="s">
        <v>5261</v>
      </c>
      <c r="D197" s="264" t="s">
        <v>5262</v>
      </c>
      <c r="E197" s="265" t="s">
        <v>4868</v>
      </c>
      <c r="F197" s="268" t="s">
        <v>5260</v>
      </c>
      <c r="G197" s="271" t="str">
        <f>IF(COUNTIF(H197:AU197,"&lt;&gt;")=0,"",SUMPRODUCT(((Recommendations[ImplStatus]="Implemented")+(Recommendations[ImplStatus]="Compensated"))*ISNUMBER(MATCH(Recommendations[Id],H197:AU197,0)))/COUNTIF(H197:AU197,"&lt;&gt;"))</f>
        <v/>
      </c>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2"/>
      <c r="AT197" s="272"/>
      <c r="AU197" s="286"/>
    </row>
    <row r="198" spans="1:47" ht="60" customHeight="1" x14ac:dyDescent="0.35">
      <c r="A198" s="282" t="s">
        <v>5100</v>
      </c>
      <c r="B198" s="260" t="s">
        <v>5228</v>
      </c>
      <c r="C198" s="261" t="s">
        <v>5263</v>
      </c>
      <c r="D198" s="264" t="s">
        <v>5264</v>
      </c>
      <c r="E198" s="265" t="s">
        <v>4868</v>
      </c>
      <c r="F198" s="268" t="s">
        <v>5260</v>
      </c>
      <c r="G198" s="271" t="str">
        <f>IF(COUNTIF(H198:AU198,"&lt;&gt;")=0,"",SUMPRODUCT(((Recommendations[ImplStatus]="Implemented")+(Recommendations[ImplStatus]="Compensated"))*ISNUMBER(MATCH(Recommendations[Id],H198:AU198,0)))/COUNTIF(H198:AU198,"&lt;&gt;"))</f>
        <v/>
      </c>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c r="AN198" s="272"/>
      <c r="AO198" s="272"/>
      <c r="AP198" s="272"/>
      <c r="AQ198" s="272"/>
      <c r="AR198" s="272"/>
      <c r="AS198" s="272"/>
      <c r="AT198" s="272"/>
      <c r="AU198" s="286"/>
    </row>
    <row r="199" spans="1:47" ht="60" customHeight="1" x14ac:dyDescent="0.35">
      <c r="A199" s="282" t="s">
        <v>5100</v>
      </c>
      <c r="B199" s="260" t="s">
        <v>5228</v>
      </c>
      <c r="C199" s="261" t="s">
        <v>5265</v>
      </c>
      <c r="D199" s="264" t="s">
        <v>5266</v>
      </c>
      <c r="E199" s="265" t="s">
        <v>4868</v>
      </c>
      <c r="F199" s="268" t="s">
        <v>5260</v>
      </c>
      <c r="G199" s="271" t="str">
        <f>IF(COUNTIF(H199:AU199,"&lt;&gt;")=0,"",SUMPRODUCT(((Recommendations[ImplStatus]="Implemented")+(Recommendations[ImplStatus]="Compensated"))*ISNUMBER(MATCH(Recommendations[Id],H199:AU199,0)))/COUNTIF(H199:AU199,"&lt;&gt;"))</f>
        <v/>
      </c>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c r="AN199" s="272"/>
      <c r="AO199" s="272"/>
      <c r="AP199" s="272"/>
      <c r="AQ199" s="272"/>
      <c r="AR199" s="272"/>
      <c r="AS199" s="272"/>
      <c r="AT199" s="272"/>
      <c r="AU199" s="286"/>
    </row>
    <row r="200" spans="1:47" ht="60" customHeight="1" outlineLevel="1" x14ac:dyDescent="0.35">
      <c r="A200" s="280" t="s">
        <v>5267</v>
      </c>
      <c r="B200" s="258"/>
      <c r="C200" s="258"/>
      <c r="D200" s="262"/>
      <c r="E200" s="258"/>
      <c r="F200" s="266"/>
      <c r="G200" s="269" t="str">
        <f>IF(COUNTIF(H200:AU200,"&lt;&gt;")=0,"",SUMPRODUCT(((Recommendations[ImplStatus]="Implemented")+(Recommendations[ImplStatus]="Compensated"))*ISNUMBER(MATCH(Recommendations[Id],H200:AU200,0)))/COUNTIF(H200:AU200,"&lt;&gt;"))</f>
        <v/>
      </c>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84"/>
    </row>
    <row r="201" spans="1:47" ht="60" customHeight="1" outlineLevel="2" x14ac:dyDescent="0.35">
      <c r="A201" s="281" t="s">
        <v>5267</v>
      </c>
      <c r="B201" s="259" t="s">
        <v>5268</v>
      </c>
      <c r="C201" s="259"/>
      <c r="D201" s="263"/>
      <c r="E201" s="259"/>
      <c r="F201" s="267"/>
      <c r="G201" s="270" t="str">
        <f>IF(COUNTIF(H201:AU201,"&lt;&gt;")=0,"",SUMPRODUCT(((Recommendations[ImplStatus]="Implemented")+(Recommendations[ImplStatus]="Compensated"))*ISNUMBER(MATCH(Recommendations[Id],H201:AU201,0)))/COUNTIF(H201:AU201,"&lt;&gt;"))</f>
        <v/>
      </c>
      <c r="H201" s="267"/>
      <c r="I201" s="267"/>
      <c r="J201" s="267"/>
      <c r="K201" s="267"/>
      <c r="L201" s="267"/>
      <c r="M201" s="267"/>
      <c r="N201" s="267"/>
      <c r="O201" s="267"/>
      <c r="P201" s="267"/>
      <c r="Q201" s="267"/>
      <c r="R201" s="267"/>
      <c r="S201" s="267"/>
      <c r="T201" s="267"/>
      <c r="U201" s="267"/>
      <c r="V201" s="267"/>
      <c r="W201" s="267"/>
      <c r="X201" s="267"/>
      <c r="Y201" s="267"/>
      <c r="Z201" s="267"/>
      <c r="AA201" s="267"/>
      <c r="AB201" s="267"/>
      <c r="AC201" s="267"/>
      <c r="AD201" s="267"/>
      <c r="AE201" s="267"/>
      <c r="AF201" s="267"/>
      <c r="AG201" s="267"/>
      <c r="AH201" s="267"/>
      <c r="AI201" s="267"/>
      <c r="AJ201" s="267"/>
      <c r="AK201" s="267"/>
      <c r="AL201" s="267"/>
      <c r="AM201" s="267"/>
      <c r="AN201" s="267"/>
      <c r="AO201" s="267"/>
      <c r="AP201" s="267"/>
      <c r="AQ201" s="267"/>
      <c r="AR201" s="267"/>
      <c r="AS201" s="267"/>
      <c r="AT201" s="267"/>
      <c r="AU201" s="285"/>
    </row>
    <row r="202" spans="1:47" ht="60" customHeight="1" x14ac:dyDescent="0.35">
      <c r="A202" s="282" t="s">
        <v>5267</v>
      </c>
      <c r="B202" s="260" t="s">
        <v>5268</v>
      </c>
      <c r="C202" s="261" t="s">
        <v>5269</v>
      </c>
      <c r="D202" s="264" t="s">
        <v>5270</v>
      </c>
      <c r="E202" s="265" t="s">
        <v>5147</v>
      </c>
      <c r="F202" s="268" t="s">
        <v>5271</v>
      </c>
      <c r="G202" s="271" t="str">
        <f>IF(COUNTIF(H202:AU202,"&lt;&gt;")=0,"",SUMPRODUCT(((Recommendations[ImplStatus]="Implemented")+(Recommendations[ImplStatus]="Compensated"))*ISNUMBER(MATCH(Recommendations[Id],H202:AU202,0)))/COUNTIF(H202:AU202,"&lt;&gt;"))</f>
        <v/>
      </c>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2"/>
      <c r="AT202" s="272"/>
      <c r="AU202" s="286"/>
    </row>
    <row r="203" spans="1:47" ht="60" customHeight="1" x14ac:dyDescent="0.35">
      <c r="A203" s="282" t="s">
        <v>5267</v>
      </c>
      <c r="B203" s="260" t="s">
        <v>5268</v>
      </c>
      <c r="C203" s="261" t="s">
        <v>5272</v>
      </c>
      <c r="D203" s="264" t="s">
        <v>5273</v>
      </c>
      <c r="E203" s="265" t="s">
        <v>5147</v>
      </c>
      <c r="F203" s="268" t="s">
        <v>5271</v>
      </c>
      <c r="G203" s="271" t="str">
        <f>IF(COUNTIF(H203:AU203,"&lt;&gt;")=0,"",SUMPRODUCT(((Recommendations[ImplStatus]="Implemented")+(Recommendations[ImplStatus]="Compensated"))*ISNUMBER(MATCH(Recommendations[Id],H203:AU203,0)))/COUNTIF(H203:AU203,"&lt;&gt;"))</f>
        <v/>
      </c>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2"/>
      <c r="AT203" s="272"/>
      <c r="AU203" s="286"/>
    </row>
    <row r="204" spans="1:47" ht="60" customHeight="1" x14ac:dyDescent="0.35">
      <c r="A204" s="282" t="s">
        <v>5267</v>
      </c>
      <c r="B204" s="260" t="s">
        <v>5268</v>
      </c>
      <c r="C204" s="261" t="s">
        <v>5274</v>
      </c>
      <c r="D204" s="264" t="s">
        <v>5275</v>
      </c>
      <c r="E204" s="265" t="s">
        <v>5147</v>
      </c>
      <c r="F204" s="268" t="s">
        <v>5271</v>
      </c>
      <c r="G204" s="271" t="str">
        <f>IF(COUNTIF(H204:AU204,"&lt;&gt;")=0,"",SUMPRODUCT(((Recommendations[ImplStatus]="Implemented")+(Recommendations[ImplStatus]="Compensated"))*ISNUMBER(MATCH(Recommendations[Id],H204:AU204,0)))/COUNTIF(H204:AU204,"&lt;&gt;"))</f>
        <v/>
      </c>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c r="AE204" s="272"/>
      <c r="AF204" s="272"/>
      <c r="AG204" s="272"/>
      <c r="AH204" s="272"/>
      <c r="AI204" s="272"/>
      <c r="AJ204" s="272"/>
      <c r="AK204" s="272"/>
      <c r="AL204" s="272"/>
      <c r="AM204" s="272"/>
      <c r="AN204" s="272"/>
      <c r="AO204" s="272"/>
      <c r="AP204" s="272"/>
      <c r="AQ204" s="272"/>
      <c r="AR204" s="272"/>
      <c r="AS204" s="272"/>
      <c r="AT204" s="272"/>
      <c r="AU204" s="286"/>
    </row>
    <row r="205" spans="1:47" ht="60" customHeight="1" x14ac:dyDescent="0.35">
      <c r="A205" s="282" t="s">
        <v>5267</v>
      </c>
      <c r="B205" s="260" t="s">
        <v>5268</v>
      </c>
      <c r="C205" s="261" t="s">
        <v>5276</v>
      </c>
      <c r="D205" s="264" t="s">
        <v>5277</v>
      </c>
      <c r="E205" s="265" t="s">
        <v>5147</v>
      </c>
      <c r="F205" s="268" t="s">
        <v>5271</v>
      </c>
      <c r="G205" s="271" t="str">
        <f>IF(COUNTIF(H205:AU205,"&lt;&gt;")=0,"",SUMPRODUCT(((Recommendations[ImplStatus]="Implemented")+(Recommendations[ImplStatus]="Compensated"))*ISNUMBER(MATCH(Recommendations[Id],H205:AU205,0)))/COUNTIF(H205:AU205,"&lt;&gt;"))</f>
        <v/>
      </c>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c r="AN205" s="272"/>
      <c r="AO205" s="272"/>
      <c r="AP205" s="272"/>
      <c r="AQ205" s="272"/>
      <c r="AR205" s="272"/>
      <c r="AS205" s="272"/>
      <c r="AT205" s="272"/>
      <c r="AU205" s="286"/>
    </row>
    <row r="206" spans="1:47" ht="60" customHeight="1" x14ac:dyDescent="0.35">
      <c r="A206" s="282" t="s">
        <v>5267</v>
      </c>
      <c r="B206" s="260" t="s">
        <v>5268</v>
      </c>
      <c r="C206" s="261" t="s">
        <v>5278</v>
      </c>
      <c r="D206" s="264" t="s">
        <v>5279</v>
      </c>
      <c r="E206" s="265" t="s">
        <v>5147</v>
      </c>
      <c r="F206" s="268" t="s">
        <v>5271</v>
      </c>
      <c r="G206" s="271" t="str">
        <f>IF(COUNTIF(H206:AU206,"&lt;&gt;")=0,"",SUMPRODUCT(((Recommendations[ImplStatus]="Implemented")+(Recommendations[ImplStatus]="Compensated"))*ISNUMBER(MATCH(Recommendations[Id],H206:AU206,0)))/COUNTIF(H206:AU206,"&lt;&gt;"))</f>
        <v/>
      </c>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c r="AN206" s="272"/>
      <c r="AO206" s="272"/>
      <c r="AP206" s="272"/>
      <c r="AQ206" s="272"/>
      <c r="AR206" s="272"/>
      <c r="AS206" s="272"/>
      <c r="AT206" s="272"/>
      <c r="AU206" s="286"/>
    </row>
    <row r="207" spans="1:47" ht="60" customHeight="1" x14ac:dyDescent="0.35">
      <c r="A207" s="282" t="s">
        <v>5267</v>
      </c>
      <c r="B207" s="260" t="s">
        <v>5268</v>
      </c>
      <c r="C207" s="261" t="s">
        <v>5280</v>
      </c>
      <c r="D207" s="264" t="s">
        <v>5281</v>
      </c>
      <c r="E207" s="265" t="s">
        <v>5012</v>
      </c>
      <c r="F207" s="268" t="s">
        <v>5271</v>
      </c>
      <c r="G207" s="271" t="str">
        <f>IF(COUNTIF(H207:AU207,"&lt;&gt;")=0,"",SUMPRODUCT(((Recommendations[ImplStatus]="Implemented")+(Recommendations[ImplStatus]="Compensated"))*ISNUMBER(MATCH(Recommendations[Id],H207:AU207,0)))/COUNTIF(H207:AU207,"&lt;&gt;"))</f>
        <v/>
      </c>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86"/>
    </row>
    <row r="208" spans="1:47" ht="60" customHeight="1" x14ac:dyDescent="0.35">
      <c r="A208" s="282" t="s">
        <v>5267</v>
      </c>
      <c r="B208" s="260" t="s">
        <v>5268</v>
      </c>
      <c r="C208" s="261" t="s">
        <v>5282</v>
      </c>
      <c r="D208" s="264" t="s">
        <v>5283</v>
      </c>
      <c r="E208" s="265" t="s">
        <v>5012</v>
      </c>
      <c r="F208" s="268" t="s">
        <v>5271</v>
      </c>
      <c r="G208" s="271" t="str">
        <f>IF(COUNTIF(H208:AU208,"&lt;&gt;")=0,"",SUMPRODUCT(((Recommendations[ImplStatus]="Implemented")+(Recommendations[ImplStatus]="Compensated"))*ISNUMBER(MATCH(Recommendations[Id],H208:AU208,0)))/COUNTIF(H208:AU208,"&lt;&gt;"))</f>
        <v/>
      </c>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86"/>
    </row>
    <row r="209" spans="1:47" ht="60" customHeight="1" x14ac:dyDescent="0.35">
      <c r="A209" s="282" t="s">
        <v>5267</v>
      </c>
      <c r="B209" s="260" t="s">
        <v>5268</v>
      </c>
      <c r="C209" s="261" t="s">
        <v>5284</v>
      </c>
      <c r="D209" s="264" t="s">
        <v>5285</v>
      </c>
      <c r="E209" s="265" t="s">
        <v>5147</v>
      </c>
      <c r="F209" s="268" t="s">
        <v>5271</v>
      </c>
      <c r="G209" s="271" t="str">
        <f>IF(COUNTIF(H209:AU209,"&lt;&gt;")=0,"",SUMPRODUCT(((Recommendations[ImplStatus]="Implemented")+(Recommendations[ImplStatus]="Compensated"))*ISNUMBER(MATCH(Recommendations[Id],H209:AU209,0)))/COUNTIF(H209:AU209,"&lt;&gt;"))</f>
        <v/>
      </c>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86"/>
    </row>
    <row r="210" spans="1:47" ht="60" customHeight="1" x14ac:dyDescent="0.35">
      <c r="A210" s="282" t="s">
        <v>5267</v>
      </c>
      <c r="B210" s="260" t="s">
        <v>5268</v>
      </c>
      <c r="C210" s="261" t="s">
        <v>5286</v>
      </c>
      <c r="D210" s="264" t="s">
        <v>5287</v>
      </c>
      <c r="E210" s="265" t="s">
        <v>4897</v>
      </c>
      <c r="F210" s="268" t="s">
        <v>5288</v>
      </c>
      <c r="G210" s="271" t="str">
        <f>IF(COUNTIF(H210:AU210,"&lt;&gt;")=0,"",SUMPRODUCT(((Recommendations[ImplStatus]="Implemented")+(Recommendations[ImplStatus]="Compensated"))*ISNUMBER(MATCH(Recommendations[Id],H210:AU210,0)))/COUNTIF(H210:AU210,"&lt;&gt;"))</f>
        <v/>
      </c>
      <c r="H210" s="272"/>
      <c r="I210" s="272"/>
      <c r="J210" s="272"/>
      <c r="K210" s="272"/>
      <c r="L210" s="272"/>
      <c r="M210" s="272"/>
      <c r="N210" s="272"/>
      <c r="O210" s="272"/>
      <c r="P210" s="272"/>
      <c r="Q210" s="272"/>
      <c r="R210" s="272"/>
      <c r="S210" s="272"/>
      <c r="T210" s="272"/>
      <c r="U210" s="272"/>
      <c r="V210" s="272"/>
      <c r="W210" s="272"/>
      <c r="X210" s="272"/>
      <c r="Y210" s="272"/>
      <c r="Z210" s="272"/>
      <c r="AA210" s="272"/>
      <c r="AB210" s="272"/>
      <c r="AC210" s="272"/>
      <c r="AD210" s="272"/>
      <c r="AE210" s="272"/>
      <c r="AF210" s="272"/>
      <c r="AG210" s="272"/>
      <c r="AH210" s="272"/>
      <c r="AI210" s="272"/>
      <c r="AJ210" s="272"/>
      <c r="AK210" s="272"/>
      <c r="AL210" s="272"/>
      <c r="AM210" s="272"/>
      <c r="AN210" s="272"/>
      <c r="AO210" s="272"/>
      <c r="AP210" s="272"/>
      <c r="AQ210" s="272"/>
      <c r="AR210" s="272"/>
      <c r="AS210" s="272"/>
      <c r="AT210" s="272"/>
      <c r="AU210" s="286"/>
    </row>
    <row r="211" spans="1:47" ht="60" customHeight="1" x14ac:dyDescent="0.35">
      <c r="A211" s="282" t="s">
        <v>5267</v>
      </c>
      <c r="B211" s="260" t="s">
        <v>5268</v>
      </c>
      <c r="C211" s="261" t="s">
        <v>5289</v>
      </c>
      <c r="D211" s="264" t="s">
        <v>5290</v>
      </c>
      <c r="E211" s="265" t="s">
        <v>4897</v>
      </c>
      <c r="F211" s="268" t="s">
        <v>5288</v>
      </c>
      <c r="G211" s="271" t="str">
        <f>IF(COUNTIF(H211:AU211,"&lt;&gt;")=0,"",SUMPRODUCT(((Recommendations[ImplStatus]="Implemented")+(Recommendations[ImplStatus]="Compensated"))*ISNUMBER(MATCH(Recommendations[Id],H211:AU211,0)))/COUNTIF(H211:AU211,"&lt;&gt;"))</f>
        <v/>
      </c>
      <c r="H211" s="272"/>
      <c r="I211" s="272"/>
      <c r="J211" s="272"/>
      <c r="K211" s="272"/>
      <c r="L211" s="272"/>
      <c r="M211" s="272"/>
      <c r="N211" s="272"/>
      <c r="O211" s="272"/>
      <c r="P211" s="272"/>
      <c r="Q211" s="272"/>
      <c r="R211" s="272"/>
      <c r="S211" s="272"/>
      <c r="T211" s="272"/>
      <c r="U211" s="272"/>
      <c r="V211" s="272"/>
      <c r="W211" s="272"/>
      <c r="X211" s="272"/>
      <c r="Y211" s="272"/>
      <c r="Z211" s="272"/>
      <c r="AA211" s="272"/>
      <c r="AB211" s="272"/>
      <c r="AC211" s="272"/>
      <c r="AD211" s="272"/>
      <c r="AE211" s="272"/>
      <c r="AF211" s="272"/>
      <c r="AG211" s="272"/>
      <c r="AH211" s="272"/>
      <c r="AI211" s="272"/>
      <c r="AJ211" s="272"/>
      <c r="AK211" s="272"/>
      <c r="AL211" s="272"/>
      <c r="AM211" s="272"/>
      <c r="AN211" s="272"/>
      <c r="AO211" s="272"/>
      <c r="AP211" s="272"/>
      <c r="AQ211" s="272"/>
      <c r="AR211" s="272"/>
      <c r="AS211" s="272"/>
      <c r="AT211" s="272"/>
      <c r="AU211" s="286"/>
    </row>
    <row r="212" spans="1:47" ht="60" customHeight="1" x14ac:dyDescent="0.35">
      <c r="A212" s="282" t="s">
        <v>5267</v>
      </c>
      <c r="B212" s="260" t="s">
        <v>5268</v>
      </c>
      <c r="C212" s="261" t="s">
        <v>5291</v>
      </c>
      <c r="D212" s="264" t="s">
        <v>5292</v>
      </c>
      <c r="E212" s="265" t="s">
        <v>4964</v>
      </c>
      <c r="F212" s="268" t="s">
        <v>5293</v>
      </c>
      <c r="G212" s="271" t="str">
        <f>IF(COUNTIF(H212:AU212,"&lt;&gt;")=0,"",SUMPRODUCT(((Recommendations[ImplStatus]="Implemented")+(Recommendations[ImplStatus]="Compensated"))*ISNUMBER(MATCH(Recommendations[Id],H212:AU212,0)))/COUNTIF(H212:AU212,"&lt;&gt;"))</f>
        <v/>
      </c>
      <c r="H212" s="272"/>
      <c r="I212" s="272"/>
      <c r="J212" s="272"/>
      <c r="K212" s="272"/>
      <c r="L212" s="272"/>
      <c r="M212" s="272"/>
      <c r="N212" s="272"/>
      <c r="O212" s="272"/>
      <c r="P212" s="272"/>
      <c r="Q212" s="272"/>
      <c r="R212" s="272"/>
      <c r="S212" s="272"/>
      <c r="T212" s="272"/>
      <c r="U212" s="272"/>
      <c r="V212" s="272"/>
      <c r="W212" s="272"/>
      <c r="X212" s="272"/>
      <c r="Y212" s="272"/>
      <c r="Z212" s="272"/>
      <c r="AA212" s="272"/>
      <c r="AB212" s="272"/>
      <c r="AC212" s="272"/>
      <c r="AD212" s="272"/>
      <c r="AE212" s="272"/>
      <c r="AF212" s="272"/>
      <c r="AG212" s="272"/>
      <c r="AH212" s="272"/>
      <c r="AI212" s="272"/>
      <c r="AJ212" s="272"/>
      <c r="AK212" s="272"/>
      <c r="AL212" s="272"/>
      <c r="AM212" s="272"/>
      <c r="AN212" s="272"/>
      <c r="AO212" s="272"/>
      <c r="AP212" s="272"/>
      <c r="AQ212" s="272"/>
      <c r="AR212" s="272"/>
      <c r="AS212" s="272"/>
      <c r="AT212" s="272"/>
      <c r="AU212" s="286"/>
    </row>
    <row r="213" spans="1:47" ht="60" customHeight="1" x14ac:dyDescent="0.35">
      <c r="A213" s="282" t="s">
        <v>5267</v>
      </c>
      <c r="B213" s="260" t="s">
        <v>5268</v>
      </c>
      <c r="C213" s="261" t="s">
        <v>5294</v>
      </c>
      <c r="D213" s="264" t="s">
        <v>5295</v>
      </c>
      <c r="E213" s="265" t="s">
        <v>4897</v>
      </c>
      <c r="F213" s="268" t="s">
        <v>5296</v>
      </c>
      <c r="G213" s="271" t="str">
        <f>IF(COUNTIF(H213:AU213,"&lt;&gt;")=0,"",SUMPRODUCT(((Recommendations[ImplStatus]="Implemented")+(Recommendations[ImplStatus]="Compensated"))*ISNUMBER(MATCH(Recommendations[Id],H213:AU213,0)))/COUNTIF(H213:AU213,"&lt;&gt;"))</f>
        <v/>
      </c>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2"/>
      <c r="AT213" s="272"/>
      <c r="AU213" s="286"/>
    </row>
    <row r="214" spans="1:47" ht="60" customHeight="1" x14ac:dyDescent="0.35">
      <c r="A214" s="282" t="s">
        <v>5267</v>
      </c>
      <c r="B214" s="260" t="s">
        <v>5268</v>
      </c>
      <c r="C214" s="261" t="s">
        <v>5297</v>
      </c>
      <c r="D214" s="264" t="s">
        <v>5298</v>
      </c>
      <c r="E214" s="265" t="s">
        <v>4964</v>
      </c>
      <c r="F214" s="268" t="s">
        <v>5299</v>
      </c>
      <c r="G214" s="271" t="str">
        <f>IF(COUNTIF(H214:AU214,"&lt;&gt;")=0,"",SUMPRODUCT(((Recommendations[ImplStatus]="Implemented")+(Recommendations[ImplStatus]="Compensated"))*ISNUMBER(MATCH(Recommendations[Id],H214:AU214,0)))/COUNTIF(H214:AU214,"&lt;&gt;"))</f>
        <v/>
      </c>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2"/>
      <c r="AT214" s="272"/>
      <c r="AU214" s="286"/>
    </row>
    <row r="215" spans="1:47" ht="60" customHeight="1" x14ac:dyDescent="0.35">
      <c r="A215" s="282" t="s">
        <v>5267</v>
      </c>
      <c r="B215" s="260" t="s">
        <v>5268</v>
      </c>
      <c r="C215" s="261" t="s">
        <v>5300</v>
      </c>
      <c r="D215" s="264" t="s">
        <v>5301</v>
      </c>
      <c r="E215" s="265" t="s">
        <v>4868</v>
      </c>
      <c r="F215" s="268" t="s">
        <v>5299</v>
      </c>
      <c r="G215" s="271" t="str">
        <f>IF(COUNTIF(H215:AU215,"&lt;&gt;")=0,"",SUMPRODUCT(((Recommendations[ImplStatus]="Implemented")+(Recommendations[ImplStatus]="Compensated"))*ISNUMBER(MATCH(Recommendations[Id],H215:AU215,0)))/COUNTIF(H215:AU215,"&lt;&gt;"))</f>
        <v/>
      </c>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2"/>
      <c r="AT215" s="272"/>
      <c r="AU215" s="286"/>
    </row>
    <row r="216" spans="1:47" ht="60" customHeight="1" x14ac:dyDescent="0.35">
      <c r="A216" s="282" t="s">
        <v>5267</v>
      </c>
      <c r="B216" s="260" t="s">
        <v>5268</v>
      </c>
      <c r="C216" s="261" t="s">
        <v>5302</v>
      </c>
      <c r="D216" s="264" t="s">
        <v>5303</v>
      </c>
      <c r="E216" s="265" t="s">
        <v>4868</v>
      </c>
      <c r="F216" s="268" t="s">
        <v>5299</v>
      </c>
      <c r="G216" s="271" t="str">
        <f>IF(COUNTIF(H216:AU216,"&lt;&gt;")=0,"",SUMPRODUCT(((Recommendations[ImplStatus]="Implemented")+(Recommendations[ImplStatus]="Compensated"))*ISNUMBER(MATCH(Recommendations[Id],H216:AU216,0)))/COUNTIF(H216:AU216,"&lt;&gt;"))</f>
        <v/>
      </c>
      <c r="H216" s="272"/>
      <c r="I216" s="272"/>
      <c r="J216" s="272"/>
      <c r="K216" s="272"/>
      <c r="L216" s="272"/>
      <c r="M216" s="272"/>
      <c r="N216" s="272"/>
      <c r="O216" s="272"/>
      <c r="P216" s="272"/>
      <c r="Q216" s="272"/>
      <c r="R216" s="272"/>
      <c r="S216" s="272"/>
      <c r="T216" s="272"/>
      <c r="U216" s="272"/>
      <c r="V216" s="272"/>
      <c r="W216" s="272"/>
      <c r="X216" s="272"/>
      <c r="Y216" s="272"/>
      <c r="Z216" s="272"/>
      <c r="AA216" s="272"/>
      <c r="AB216" s="272"/>
      <c r="AC216" s="272"/>
      <c r="AD216" s="272"/>
      <c r="AE216" s="272"/>
      <c r="AF216" s="272"/>
      <c r="AG216" s="272"/>
      <c r="AH216" s="272"/>
      <c r="AI216" s="272"/>
      <c r="AJ216" s="272"/>
      <c r="AK216" s="272"/>
      <c r="AL216" s="272"/>
      <c r="AM216" s="272"/>
      <c r="AN216" s="272"/>
      <c r="AO216" s="272"/>
      <c r="AP216" s="272"/>
      <c r="AQ216" s="272"/>
      <c r="AR216" s="272"/>
      <c r="AS216" s="272"/>
      <c r="AT216" s="272"/>
      <c r="AU216" s="286"/>
    </row>
    <row r="217" spans="1:47" ht="60" customHeight="1" x14ac:dyDescent="0.35">
      <c r="A217" s="282" t="s">
        <v>5267</v>
      </c>
      <c r="B217" s="260" t="s">
        <v>5268</v>
      </c>
      <c r="C217" s="261" t="s">
        <v>5304</v>
      </c>
      <c r="D217" s="264" t="s">
        <v>5305</v>
      </c>
      <c r="E217" s="265" t="s">
        <v>4897</v>
      </c>
      <c r="F217" s="268" t="s">
        <v>5299</v>
      </c>
      <c r="G217" s="271" t="str">
        <f>IF(COUNTIF(H217:AU217,"&lt;&gt;")=0,"",SUMPRODUCT(((Recommendations[ImplStatus]="Implemented")+(Recommendations[ImplStatus]="Compensated"))*ISNUMBER(MATCH(Recommendations[Id],H217:AU217,0)))/COUNTIF(H217:AU217,"&lt;&gt;"))</f>
        <v/>
      </c>
      <c r="H217" s="272"/>
      <c r="I217" s="272"/>
      <c r="J217" s="272"/>
      <c r="K217" s="272"/>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2"/>
      <c r="AJ217" s="272"/>
      <c r="AK217" s="272"/>
      <c r="AL217" s="272"/>
      <c r="AM217" s="272"/>
      <c r="AN217" s="272"/>
      <c r="AO217" s="272"/>
      <c r="AP217" s="272"/>
      <c r="AQ217" s="272"/>
      <c r="AR217" s="272"/>
      <c r="AS217" s="272"/>
      <c r="AT217" s="272"/>
      <c r="AU217" s="286"/>
    </row>
    <row r="218" spans="1:47" ht="60" customHeight="1" x14ac:dyDescent="0.35">
      <c r="A218" s="282" t="s">
        <v>5267</v>
      </c>
      <c r="B218" s="260" t="s">
        <v>5268</v>
      </c>
      <c r="C218" s="261" t="s">
        <v>5306</v>
      </c>
      <c r="D218" s="264" t="s">
        <v>5307</v>
      </c>
      <c r="E218" s="265" t="s">
        <v>4897</v>
      </c>
      <c r="F218" s="268" t="s">
        <v>5299</v>
      </c>
      <c r="G218" s="271" t="str">
        <f>IF(COUNTIF(H218:AU218,"&lt;&gt;")=0,"",SUMPRODUCT(((Recommendations[ImplStatus]="Implemented")+(Recommendations[ImplStatus]="Compensated"))*ISNUMBER(MATCH(Recommendations[Id],H218:AU218,0)))/COUNTIF(H218:AU218,"&lt;&gt;"))</f>
        <v/>
      </c>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2"/>
      <c r="AJ218" s="272"/>
      <c r="AK218" s="272"/>
      <c r="AL218" s="272"/>
      <c r="AM218" s="272"/>
      <c r="AN218" s="272"/>
      <c r="AO218" s="272"/>
      <c r="AP218" s="272"/>
      <c r="AQ218" s="272"/>
      <c r="AR218" s="272"/>
      <c r="AS218" s="272"/>
      <c r="AT218" s="272"/>
      <c r="AU218" s="286"/>
    </row>
    <row r="219" spans="1:47" ht="60" customHeight="1" x14ac:dyDescent="0.35">
      <c r="A219" s="282" t="s">
        <v>5267</v>
      </c>
      <c r="B219" s="260" t="s">
        <v>5268</v>
      </c>
      <c r="C219" s="261" t="s">
        <v>5308</v>
      </c>
      <c r="D219" s="264" t="s">
        <v>5309</v>
      </c>
      <c r="E219" s="265" t="s">
        <v>4897</v>
      </c>
      <c r="F219" s="268" t="s">
        <v>5299</v>
      </c>
      <c r="G219" s="271" t="str">
        <f>IF(COUNTIF(H219:AU219,"&lt;&gt;")=0,"",SUMPRODUCT(((Recommendations[ImplStatus]="Implemented")+(Recommendations[ImplStatus]="Compensated"))*ISNUMBER(MATCH(Recommendations[Id],H219:AU219,0)))/COUNTIF(H219:AU219,"&lt;&gt;"))</f>
        <v/>
      </c>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2"/>
      <c r="AT219" s="272"/>
      <c r="AU219" s="286"/>
    </row>
    <row r="220" spans="1:47" ht="60" customHeight="1" x14ac:dyDescent="0.35">
      <c r="A220" s="282" t="s">
        <v>5267</v>
      </c>
      <c r="B220" s="260" t="s">
        <v>5268</v>
      </c>
      <c r="C220" s="261" t="s">
        <v>5310</v>
      </c>
      <c r="D220" s="264" t="s">
        <v>5311</v>
      </c>
      <c r="E220" s="265" t="s">
        <v>4897</v>
      </c>
      <c r="F220" s="268" t="s">
        <v>5299</v>
      </c>
      <c r="G220" s="271" t="str">
        <f>IF(COUNTIF(H220:AU220,"&lt;&gt;")=0,"",SUMPRODUCT(((Recommendations[ImplStatus]="Implemented")+(Recommendations[ImplStatus]="Compensated"))*ISNUMBER(MATCH(Recommendations[Id],H220:AU220,0)))/COUNTIF(H220:AU220,"&lt;&gt;"))</f>
        <v/>
      </c>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86"/>
    </row>
    <row r="221" spans="1:47" ht="60" customHeight="1" outlineLevel="2" x14ac:dyDescent="0.35">
      <c r="A221" s="281" t="s">
        <v>5267</v>
      </c>
      <c r="B221" s="259" t="s">
        <v>5312</v>
      </c>
      <c r="C221" s="259"/>
      <c r="D221" s="263"/>
      <c r="E221" s="259"/>
      <c r="F221" s="267"/>
      <c r="G221" s="270" t="str">
        <f>IF(COUNTIF(H221:AU221,"&lt;&gt;")=0,"",SUMPRODUCT(((Recommendations[ImplStatus]="Implemented")+(Recommendations[ImplStatus]="Compensated"))*ISNUMBER(MATCH(Recommendations[Id],H221:AU221,0)))/COUNTIF(H221:AU221,"&lt;&gt;"))</f>
        <v/>
      </c>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7"/>
      <c r="AO221" s="267"/>
      <c r="AP221" s="267"/>
      <c r="AQ221" s="267"/>
      <c r="AR221" s="267"/>
      <c r="AS221" s="267"/>
      <c r="AT221" s="267"/>
      <c r="AU221" s="285"/>
    </row>
    <row r="222" spans="1:47" ht="60" customHeight="1" x14ac:dyDescent="0.35">
      <c r="A222" s="282" t="s">
        <v>5267</v>
      </c>
      <c r="B222" s="260" t="s">
        <v>5312</v>
      </c>
      <c r="C222" s="261" t="s">
        <v>5313</v>
      </c>
      <c r="D222" s="264" t="s">
        <v>5314</v>
      </c>
      <c r="E222" s="265" t="s">
        <v>4964</v>
      </c>
      <c r="F222" s="268" t="s">
        <v>5315</v>
      </c>
      <c r="G222" s="271" t="str">
        <f>IF(COUNTIF(H222:AU222,"&lt;&gt;")=0,"",SUMPRODUCT(((Recommendations[ImplStatus]="Implemented")+(Recommendations[ImplStatus]="Compensated"))*ISNUMBER(MATCH(Recommendations[Id],H222:AU222,0)))/COUNTIF(H222:AU222,"&lt;&gt;"))</f>
        <v/>
      </c>
      <c r="H222" s="272"/>
      <c r="I222" s="272"/>
      <c r="J222" s="272"/>
      <c r="K222" s="272"/>
      <c r="L222" s="272"/>
      <c r="M222" s="272"/>
      <c r="N222" s="272"/>
      <c r="O222" s="272"/>
      <c r="P222" s="272"/>
      <c r="Q222" s="272"/>
      <c r="R222" s="272"/>
      <c r="S222" s="272"/>
      <c r="T222" s="272"/>
      <c r="U222" s="272"/>
      <c r="V222" s="272"/>
      <c r="W222" s="272"/>
      <c r="X222" s="272"/>
      <c r="Y222" s="272"/>
      <c r="Z222" s="272"/>
      <c r="AA222" s="272"/>
      <c r="AB222" s="272"/>
      <c r="AC222" s="272"/>
      <c r="AD222" s="272"/>
      <c r="AE222" s="272"/>
      <c r="AF222" s="272"/>
      <c r="AG222" s="272"/>
      <c r="AH222" s="272"/>
      <c r="AI222" s="272"/>
      <c r="AJ222" s="272"/>
      <c r="AK222" s="272"/>
      <c r="AL222" s="272"/>
      <c r="AM222" s="272"/>
      <c r="AN222" s="272"/>
      <c r="AO222" s="272"/>
      <c r="AP222" s="272"/>
      <c r="AQ222" s="272"/>
      <c r="AR222" s="272"/>
      <c r="AS222" s="272"/>
      <c r="AT222" s="272"/>
      <c r="AU222" s="286"/>
    </row>
    <row r="223" spans="1:47" ht="60" customHeight="1" x14ac:dyDescent="0.35">
      <c r="A223" s="282" t="s">
        <v>5267</v>
      </c>
      <c r="B223" s="260" t="s">
        <v>5312</v>
      </c>
      <c r="C223" s="261" t="s">
        <v>5316</v>
      </c>
      <c r="D223" s="264" t="s">
        <v>5317</v>
      </c>
      <c r="E223" s="265" t="s">
        <v>4964</v>
      </c>
      <c r="F223" s="268" t="s">
        <v>5315</v>
      </c>
      <c r="G223" s="271" t="str">
        <f>IF(COUNTIF(H223:AU223,"&lt;&gt;")=0,"",SUMPRODUCT(((Recommendations[ImplStatus]="Implemented")+(Recommendations[ImplStatus]="Compensated"))*ISNUMBER(MATCH(Recommendations[Id],H223:AU223,0)))/COUNTIF(H223:AU223,"&lt;&gt;"))</f>
        <v/>
      </c>
      <c r="H223" s="272"/>
      <c r="I223" s="272"/>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c r="AF223" s="272"/>
      <c r="AG223" s="272"/>
      <c r="AH223" s="272"/>
      <c r="AI223" s="272"/>
      <c r="AJ223" s="272"/>
      <c r="AK223" s="272"/>
      <c r="AL223" s="272"/>
      <c r="AM223" s="272"/>
      <c r="AN223" s="272"/>
      <c r="AO223" s="272"/>
      <c r="AP223" s="272"/>
      <c r="AQ223" s="272"/>
      <c r="AR223" s="272"/>
      <c r="AS223" s="272"/>
      <c r="AT223" s="272"/>
      <c r="AU223" s="286"/>
    </row>
    <row r="224" spans="1:47" ht="60" customHeight="1" x14ac:dyDescent="0.35">
      <c r="A224" s="282" t="s">
        <v>5267</v>
      </c>
      <c r="B224" s="260" t="s">
        <v>5312</v>
      </c>
      <c r="C224" s="261" t="s">
        <v>5318</v>
      </c>
      <c r="D224" s="264" t="s">
        <v>5319</v>
      </c>
      <c r="E224" s="265" t="s">
        <v>4964</v>
      </c>
      <c r="F224" s="268" t="s">
        <v>5315</v>
      </c>
      <c r="G224" s="271" t="str">
        <f>IF(COUNTIF(H224:AU224,"&lt;&gt;")=0,"",SUMPRODUCT(((Recommendations[ImplStatus]="Implemented")+(Recommendations[ImplStatus]="Compensated"))*ISNUMBER(MATCH(Recommendations[Id],H224:AU224,0)))/COUNTIF(H224:AU224,"&lt;&gt;"))</f>
        <v/>
      </c>
      <c r="H224" s="272"/>
      <c r="I224" s="272"/>
      <c r="J224" s="272"/>
      <c r="K224" s="272"/>
      <c r="L224" s="272"/>
      <c r="M224" s="272"/>
      <c r="N224" s="272"/>
      <c r="O224" s="272"/>
      <c r="P224" s="272"/>
      <c r="Q224" s="272"/>
      <c r="R224" s="272"/>
      <c r="S224" s="272"/>
      <c r="T224" s="272"/>
      <c r="U224" s="272"/>
      <c r="V224" s="272"/>
      <c r="W224" s="272"/>
      <c r="X224" s="272"/>
      <c r="Y224" s="272"/>
      <c r="Z224" s="272"/>
      <c r="AA224" s="272"/>
      <c r="AB224" s="272"/>
      <c r="AC224" s="272"/>
      <c r="AD224" s="272"/>
      <c r="AE224" s="272"/>
      <c r="AF224" s="272"/>
      <c r="AG224" s="272"/>
      <c r="AH224" s="272"/>
      <c r="AI224" s="272"/>
      <c r="AJ224" s="272"/>
      <c r="AK224" s="272"/>
      <c r="AL224" s="272"/>
      <c r="AM224" s="272"/>
      <c r="AN224" s="272"/>
      <c r="AO224" s="272"/>
      <c r="AP224" s="272"/>
      <c r="AQ224" s="272"/>
      <c r="AR224" s="272"/>
      <c r="AS224" s="272"/>
      <c r="AT224" s="272"/>
      <c r="AU224" s="286"/>
    </row>
    <row r="225" spans="1:47" ht="60" customHeight="1" x14ac:dyDescent="0.35">
      <c r="A225" s="282" t="s">
        <v>5267</v>
      </c>
      <c r="B225" s="260" t="s">
        <v>5312</v>
      </c>
      <c r="C225" s="261" t="s">
        <v>5320</v>
      </c>
      <c r="D225" s="264" t="s">
        <v>5321</v>
      </c>
      <c r="E225" s="265" t="s">
        <v>4964</v>
      </c>
      <c r="F225" s="268" t="s">
        <v>5315</v>
      </c>
      <c r="G225" s="271" t="str">
        <f>IF(COUNTIF(H225:AU225,"&lt;&gt;")=0,"",SUMPRODUCT(((Recommendations[ImplStatus]="Implemented")+(Recommendations[ImplStatus]="Compensated"))*ISNUMBER(MATCH(Recommendations[Id],H225:AU225,0)))/COUNTIF(H225:AU225,"&lt;&gt;"))</f>
        <v/>
      </c>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2"/>
      <c r="AT225" s="272"/>
      <c r="AU225" s="286"/>
    </row>
    <row r="226" spans="1:47" ht="60" customHeight="1" x14ac:dyDescent="0.35">
      <c r="A226" s="282" t="s">
        <v>5267</v>
      </c>
      <c r="B226" s="260" t="s">
        <v>5312</v>
      </c>
      <c r="C226" s="261" t="s">
        <v>5322</v>
      </c>
      <c r="D226" s="264" t="s">
        <v>5323</v>
      </c>
      <c r="E226" s="265" t="s">
        <v>4964</v>
      </c>
      <c r="F226" s="268" t="s">
        <v>5315</v>
      </c>
      <c r="G226" s="271" t="str">
        <f>IF(COUNTIF(H226:AU226,"&lt;&gt;")=0,"",SUMPRODUCT(((Recommendations[ImplStatus]="Implemented")+(Recommendations[ImplStatus]="Compensated"))*ISNUMBER(MATCH(Recommendations[Id],H226:AU226,0)))/COUNTIF(H226:AU226,"&lt;&gt;"))</f>
        <v/>
      </c>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86"/>
    </row>
    <row r="227" spans="1:47" ht="60" customHeight="1" x14ac:dyDescent="0.35">
      <c r="A227" s="282" t="s">
        <v>5267</v>
      </c>
      <c r="B227" s="260" t="s">
        <v>5312</v>
      </c>
      <c r="C227" s="261" t="s">
        <v>5324</v>
      </c>
      <c r="D227" s="264" t="s">
        <v>5325</v>
      </c>
      <c r="E227" s="265" t="s">
        <v>4964</v>
      </c>
      <c r="F227" s="268" t="s">
        <v>5315</v>
      </c>
      <c r="G227" s="271" t="str">
        <f>IF(COUNTIF(H227:AU227,"&lt;&gt;")=0,"",SUMPRODUCT(((Recommendations[ImplStatus]="Implemented")+(Recommendations[ImplStatus]="Compensated"))*ISNUMBER(MATCH(Recommendations[Id],H227:AU227,0)))/COUNTIF(H227:AU227,"&lt;&gt;"))</f>
        <v/>
      </c>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86"/>
    </row>
    <row r="228" spans="1:47" ht="60" customHeight="1" x14ac:dyDescent="0.35">
      <c r="A228" s="282" t="s">
        <v>5267</v>
      </c>
      <c r="B228" s="260" t="s">
        <v>5312</v>
      </c>
      <c r="C228" s="261" t="s">
        <v>5326</v>
      </c>
      <c r="D228" s="264" t="s">
        <v>5327</v>
      </c>
      <c r="E228" s="265" t="s">
        <v>4964</v>
      </c>
      <c r="F228" s="268" t="s">
        <v>5315</v>
      </c>
      <c r="G228" s="271" t="str">
        <f>IF(COUNTIF(H228:AU228,"&lt;&gt;")=0,"",SUMPRODUCT(((Recommendations[ImplStatus]="Implemented")+(Recommendations[ImplStatus]="Compensated"))*ISNUMBER(MATCH(Recommendations[Id],H228:AU228,0)))/COUNTIF(H228:AU228,"&lt;&gt;"))</f>
        <v/>
      </c>
      <c r="H228" s="272"/>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c r="AE228" s="272"/>
      <c r="AF228" s="272"/>
      <c r="AG228" s="272"/>
      <c r="AH228" s="272"/>
      <c r="AI228" s="272"/>
      <c r="AJ228" s="272"/>
      <c r="AK228" s="272"/>
      <c r="AL228" s="272"/>
      <c r="AM228" s="272"/>
      <c r="AN228" s="272"/>
      <c r="AO228" s="272"/>
      <c r="AP228" s="272"/>
      <c r="AQ228" s="272"/>
      <c r="AR228" s="272"/>
      <c r="AS228" s="272"/>
      <c r="AT228" s="272"/>
      <c r="AU228" s="286"/>
    </row>
    <row r="229" spans="1:47" ht="60" customHeight="1" x14ac:dyDescent="0.35">
      <c r="A229" s="282" t="s">
        <v>5267</v>
      </c>
      <c r="B229" s="260" t="s">
        <v>5312</v>
      </c>
      <c r="C229" s="261" t="s">
        <v>5328</v>
      </c>
      <c r="D229" s="264" t="s">
        <v>5329</v>
      </c>
      <c r="E229" s="265" t="s">
        <v>4868</v>
      </c>
      <c r="F229" s="268" t="s">
        <v>5315</v>
      </c>
      <c r="G229" s="271" t="str">
        <f>IF(COUNTIF(H229:AU229,"&lt;&gt;")=0,"",SUMPRODUCT(((Recommendations[ImplStatus]="Implemented")+(Recommendations[ImplStatus]="Compensated"))*ISNUMBER(MATCH(Recommendations[Id],H229:AU229,0)))/COUNTIF(H229:AU229,"&lt;&gt;"))</f>
        <v/>
      </c>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E229" s="272"/>
      <c r="AF229" s="272"/>
      <c r="AG229" s="272"/>
      <c r="AH229" s="272"/>
      <c r="AI229" s="272"/>
      <c r="AJ229" s="272"/>
      <c r="AK229" s="272"/>
      <c r="AL229" s="272"/>
      <c r="AM229" s="272"/>
      <c r="AN229" s="272"/>
      <c r="AO229" s="272"/>
      <c r="AP229" s="272"/>
      <c r="AQ229" s="272"/>
      <c r="AR229" s="272"/>
      <c r="AS229" s="272"/>
      <c r="AT229" s="272"/>
      <c r="AU229" s="286"/>
    </row>
    <row r="230" spans="1:47" ht="60" customHeight="1" x14ac:dyDescent="0.35">
      <c r="A230" s="282" t="s">
        <v>5267</v>
      </c>
      <c r="B230" s="260" t="s">
        <v>5312</v>
      </c>
      <c r="C230" s="261" t="s">
        <v>5330</v>
      </c>
      <c r="D230" s="264" t="s">
        <v>5331</v>
      </c>
      <c r="E230" s="265" t="s">
        <v>4868</v>
      </c>
      <c r="F230" s="268" t="s">
        <v>5315</v>
      </c>
      <c r="G230" s="271" t="str">
        <f>IF(COUNTIF(H230:AU230,"&lt;&gt;")=0,"",SUMPRODUCT(((Recommendations[ImplStatus]="Implemented")+(Recommendations[ImplStatus]="Compensated"))*ISNUMBER(MATCH(Recommendations[Id],H230:AU230,0)))/COUNTIF(H230:AU230,"&lt;&gt;"))</f>
        <v/>
      </c>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c r="AN230" s="272"/>
      <c r="AO230" s="272"/>
      <c r="AP230" s="272"/>
      <c r="AQ230" s="272"/>
      <c r="AR230" s="272"/>
      <c r="AS230" s="272"/>
      <c r="AT230" s="272"/>
      <c r="AU230" s="286"/>
    </row>
    <row r="231" spans="1:47" ht="60" customHeight="1" x14ac:dyDescent="0.35">
      <c r="A231" s="282" t="s">
        <v>5267</v>
      </c>
      <c r="B231" s="260" t="s">
        <v>5312</v>
      </c>
      <c r="C231" s="261" t="s">
        <v>5332</v>
      </c>
      <c r="D231" s="264" t="s">
        <v>5333</v>
      </c>
      <c r="E231" s="265" t="s">
        <v>4964</v>
      </c>
      <c r="F231" s="268" t="s">
        <v>5334</v>
      </c>
      <c r="G231" s="271" t="str">
        <f>IF(COUNTIF(H231:AU231,"&lt;&gt;")=0,"",SUMPRODUCT(((Recommendations[ImplStatus]="Implemented")+(Recommendations[ImplStatus]="Compensated"))*ISNUMBER(MATCH(Recommendations[Id],H231:AU231,0)))/COUNTIF(H231:AU231,"&lt;&gt;"))</f>
        <v/>
      </c>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86"/>
    </row>
    <row r="232" spans="1:47" ht="60" customHeight="1" x14ac:dyDescent="0.35">
      <c r="A232" s="282" t="s">
        <v>5267</v>
      </c>
      <c r="B232" s="260" t="s">
        <v>5312</v>
      </c>
      <c r="C232" s="261" t="s">
        <v>5335</v>
      </c>
      <c r="D232" s="264" t="s">
        <v>5336</v>
      </c>
      <c r="E232" s="265" t="s">
        <v>4964</v>
      </c>
      <c r="F232" s="268" t="s">
        <v>5334</v>
      </c>
      <c r="G232" s="271" t="str">
        <f>IF(COUNTIF(H232:AU232,"&lt;&gt;")=0,"",SUMPRODUCT(((Recommendations[ImplStatus]="Implemented")+(Recommendations[ImplStatus]="Compensated"))*ISNUMBER(MATCH(Recommendations[Id],H232:AU232,0)))/COUNTIF(H232:AU232,"&lt;&gt;"))</f>
        <v/>
      </c>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86"/>
    </row>
    <row r="233" spans="1:47" ht="60" customHeight="1" x14ac:dyDescent="0.35">
      <c r="A233" s="282" t="s">
        <v>5267</v>
      </c>
      <c r="B233" s="260" t="s">
        <v>5312</v>
      </c>
      <c r="C233" s="261" t="s">
        <v>5337</v>
      </c>
      <c r="D233" s="264" t="s">
        <v>5338</v>
      </c>
      <c r="E233" s="265" t="s">
        <v>4897</v>
      </c>
      <c r="F233" s="268" t="s">
        <v>5334</v>
      </c>
      <c r="G233" s="271" t="str">
        <f>IF(COUNTIF(H233:AU233,"&lt;&gt;")=0,"",SUMPRODUCT(((Recommendations[ImplStatus]="Implemented")+(Recommendations[ImplStatus]="Compensated"))*ISNUMBER(MATCH(Recommendations[Id],H233:AU233,0)))/COUNTIF(H233:AU233,"&lt;&gt;"))</f>
        <v/>
      </c>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2"/>
      <c r="AT233" s="272"/>
      <c r="AU233" s="286"/>
    </row>
    <row r="234" spans="1:47" ht="60" customHeight="1" x14ac:dyDescent="0.35">
      <c r="A234" s="282" t="s">
        <v>5267</v>
      </c>
      <c r="B234" s="260" t="s">
        <v>5312</v>
      </c>
      <c r="C234" s="261" t="s">
        <v>5339</v>
      </c>
      <c r="D234" s="264" t="s">
        <v>5340</v>
      </c>
      <c r="E234" s="265" t="s">
        <v>4897</v>
      </c>
      <c r="F234" s="268" t="s">
        <v>5334</v>
      </c>
      <c r="G234" s="271" t="str">
        <f>IF(COUNTIF(H234:AU234,"&lt;&gt;")=0,"",SUMPRODUCT(((Recommendations[ImplStatus]="Implemented")+(Recommendations[ImplStatus]="Compensated"))*ISNUMBER(MATCH(Recommendations[Id],H234:AU234,0)))/COUNTIF(H234:AU234,"&lt;&gt;"))</f>
        <v/>
      </c>
      <c r="H234" s="272"/>
      <c r="I234" s="272"/>
      <c r="J234" s="272"/>
      <c r="K234" s="272"/>
      <c r="L234" s="272"/>
      <c r="M234" s="272"/>
      <c r="N234" s="272"/>
      <c r="O234" s="272"/>
      <c r="P234" s="272"/>
      <c r="Q234" s="272"/>
      <c r="R234" s="272"/>
      <c r="S234" s="272"/>
      <c r="T234" s="272"/>
      <c r="U234" s="272"/>
      <c r="V234" s="272"/>
      <c r="W234" s="272"/>
      <c r="X234" s="272"/>
      <c r="Y234" s="272"/>
      <c r="Z234" s="272"/>
      <c r="AA234" s="272"/>
      <c r="AB234" s="272"/>
      <c r="AC234" s="272"/>
      <c r="AD234" s="272"/>
      <c r="AE234" s="272"/>
      <c r="AF234" s="272"/>
      <c r="AG234" s="272"/>
      <c r="AH234" s="272"/>
      <c r="AI234" s="272"/>
      <c r="AJ234" s="272"/>
      <c r="AK234" s="272"/>
      <c r="AL234" s="272"/>
      <c r="AM234" s="272"/>
      <c r="AN234" s="272"/>
      <c r="AO234" s="272"/>
      <c r="AP234" s="272"/>
      <c r="AQ234" s="272"/>
      <c r="AR234" s="272"/>
      <c r="AS234" s="272"/>
      <c r="AT234" s="272"/>
      <c r="AU234" s="286"/>
    </row>
    <row r="235" spans="1:47" ht="60" customHeight="1" x14ac:dyDescent="0.35">
      <c r="A235" s="282" t="s">
        <v>5267</v>
      </c>
      <c r="B235" s="260" t="s">
        <v>5312</v>
      </c>
      <c r="C235" s="261" t="s">
        <v>5341</v>
      </c>
      <c r="D235" s="264" t="s">
        <v>5342</v>
      </c>
      <c r="E235" s="265" t="s">
        <v>4964</v>
      </c>
      <c r="F235" s="268" t="s">
        <v>5334</v>
      </c>
      <c r="G235" s="271" t="str">
        <f>IF(COUNTIF(H235:AU235,"&lt;&gt;")=0,"",SUMPRODUCT(((Recommendations[ImplStatus]="Implemented")+(Recommendations[ImplStatus]="Compensated"))*ISNUMBER(MATCH(Recommendations[Id],H235:AU235,0)))/COUNTIF(H235:AU235,"&lt;&gt;"))</f>
        <v/>
      </c>
      <c r="H235" s="272"/>
      <c r="I235" s="272"/>
      <c r="J235" s="272"/>
      <c r="K235" s="272"/>
      <c r="L235" s="272"/>
      <c r="M235" s="272"/>
      <c r="N235" s="272"/>
      <c r="O235" s="272"/>
      <c r="P235" s="272"/>
      <c r="Q235" s="272"/>
      <c r="R235" s="272"/>
      <c r="S235" s="272"/>
      <c r="T235" s="272"/>
      <c r="U235" s="272"/>
      <c r="V235" s="272"/>
      <c r="W235" s="272"/>
      <c r="X235" s="272"/>
      <c r="Y235" s="272"/>
      <c r="Z235" s="272"/>
      <c r="AA235" s="272"/>
      <c r="AB235" s="272"/>
      <c r="AC235" s="272"/>
      <c r="AD235" s="272"/>
      <c r="AE235" s="272"/>
      <c r="AF235" s="272"/>
      <c r="AG235" s="272"/>
      <c r="AH235" s="272"/>
      <c r="AI235" s="272"/>
      <c r="AJ235" s="272"/>
      <c r="AK235" s="272"/>
      <c r="AL235" s="272"/>
      <c r="AM235" s="272"/>
      <c r="AN235" s="272"/>
      <c r="AO235" s="272"/>
      <c r="AP235" s="272"/>
      <c r="AQ235" s="272"/>
      <c r="AR235" s="272"/>
      <c r="AS235" s="272"/>
      <c r="AT235" s="272"/>
      <c r="AU235" s="286"/>
    </row>
    <row r="236" spans="1:47" ht="60" customHeight="1" x14ac:dyDescent="0.35">
      <c r="A236" s="282" t="s">
        <v>5267</v>
      </c>
      <c r="B236" s="260" t="s">
        <v>5312</v>
      </c>
      <c r="C236" s="261" t="s">
        <v>5343</v>
      </c>
      <c r="D236" s="264" t="s">
        <v>5344</v>
      </c>
      <c r="E236" s="265" t="s">
        <v>4897</v>
      </c>
      <c r="F236" s="268" t="s">
        <v>5334</v>
      </c>
      <c r="G236" s="271" t="str">
        <f>IF(COUNTIF(H236:AU236,"&lt;&gt;")=0,"",SUMPRODUCT(((Recommendations[ImplStatus]="Implemented")+(Recommendations[ImplStatus]="Compensated"))*ISNUMBER(MATCH(Recommendations[Id],H236:AU236,0)))/COUNTIF(H236:AU236,"&lt;&gt;"))</f>
        <v/>
      </c>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c r="AN236" s="272"/>
      <c r="AO236" s="272"/>
      <c r="AP236" s="272"/>
      <c r="AQ236" s="272"/>
      <c r="AR236" s="272"/>
      <c r="AS236" s="272"/>
      <c r="AT236" s="272"/>
      <c r="AU236" s="286"/>
    </row>
    <row r="237" spans="1:47" ht="60" customHeight="1" outlineLevel="2" x14ac:dyDescent="0.35">
      <c r="A237" s="281" t="s">
        <v>5267</v>
      </c>
      <c r="B237" s="259" t="s">
        <v>1501</v>
      </c>
      <c r="C237" s="259"/>
      <c r="D237" s="263"/>
      <c r="E237" s="259"/>
      <c r="F237" s="267"/>
      <c r="G237" s="270" t="str">
        <f>IF(COUNTIF(H237:AU237,"&lt;&gt;")=0,"",SUMPRODUCT(((Recommendations[ImplStatus]="Implemented")+(Recommendations[ImplStatus]="Compensated"))*ISNUMBER(MATCH(Recommendations[Id],H237:AU237,0)))/COUNTIF(H237:AU237,"&lt;&gt;"))</f>
        <v/>
      </c>
      <c r="H237" s="267"/>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267"/>
      <c r="AO237" s="267"/>
      <c r="AP237" s="267"/>
      <c r="AQ237" s="267"/>
      <c r="AR237" s="267"/>
      <c r="AS237" s="267"/>
      <c r="AT237" s="267"/>
      <c r="AU237" s="285"/>
    </row>
    <row r="238" spans="1:47" ht="60" customHeight="1" x14ac:dyDescent="0.35">
      <c r="A238" s="282" t="s">
        <v>5267</v>
      </c>
      <c r="B238" s="260" t="s">
        <v>1501</v>
      </c>
      <c r="C238" s="261" t="s">
        <v>5345</v>
      </c>
      <c r="D238" s="264" t="s">
        <v>5346</v>
      </c>
      <c r="E238" s="265" t="s">
        <v>4868</v>
      </c>
      <c r="F238" s="268" t="s">
        <v>5347</v>
      </c>
      <c r="G238" s="271" t="str">
        <f>IF(COUNTIF(H238:AU238,"&lt;&gt;")=0,"",SUMPRODUCT(((Recommendations[ImplStatus]="Implemented")+(Recommendations[ImplStatus]="Compensated"))*ISNUMBER(MATCH(Recommendations[Id],H238:AU238,0)))/COUNTIF(H238:AU238,"&lt;&gt;"))</f>
        <v/>
      </c>
      <c r="H238" s="272"/>
      <c r="I238" s="272"/>
      <c r="J238" s="272"/>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c r="AN238" s="272"/>
      <c r="AO238" s="272"/>
      <c r="AP238" s="272"/>
      <c r="AQ238" s="272"/>
      <c r="AR238" s="272"/>
      <c r="AS238" s="272"/>
      <c r="AT238" s="272"/>
      <c r="AU238" s="286"/>
    </row>
    <row r="239" spans="1:47" ht="60" customHeight="1" x14ac:dyDescent="0.35">
      <c r="A239" s="282" t="s">
        <v>5267</v>
      </c>
      <c r="B239" s="260" t="s">
        <v>1501</v>
      </c>
      <c r="C239" s="261" t="s">
        <v>5348</v>
      </c>
      <c r="D239" s="264" t="s">
        <v>5349</v>
      </c>
      <c r="E239" s="265" t="s">
        <v>4868</v>
      </c>
      <c r="F239" s="268" t="s">
        <v>5347</v>
      </c>
      <c r="G239" s="271" t="str">
        <f>IF(COUNTIF(H239:AU239,"&lt;&gt;")=0,"",SUMPRODUCT(((Recommendations[ImplStatus]="Implemented")+(Recommendations[ImplStatus]="Compensated"))*ISNUMBER(MATCH(Recommendations[Id],H239:AU239,0)))/COUNTIF(H239:AU239,"&lt;&gt;"))</f>
        <v/>
      </c>
      <c r="H239" s="272"/>
      <c r="I239" s="272"/>
      <c r="J239" s="272"/>
      <c r="K239" s="272"/>
      <c r="L239" s="272"/>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c r="AN239" s="272"/>
      <c r="AO239" s="272"/>
      <c r="AP239" s="272"/>
      <c r="AQ239" s="272"/>
      <c r="AR239" s="272"/>
      <c r="AS239" s="272"/>
      <c r="AT239" s="272"/>
      <c r="AU239" s="286"/>
    </row>
    <row r="240" spans="1:47" ht="60" customHeight="1" x14ac:dyDescent="0.35">
      <c r="A240" s="282" t="s">
        <v>5267</v>
      </c>
      <c r="B240" s="260" t="s">
        <v>1501</v>
      </c>
      <c r="C240" s="261" t="s">
        <v>5350</v>
      </c>
      <c r="D240" s="264" t="s">
        <v>5351</v>
      </c>
      <c r="E240" s="265" t="s">
        <v>4868</v>
      </c>
      <c r="F240" s="268" t="s">
        <v>5347</v>
      </c>
      <c r="G240" s="271" t="str">
        <f>IF(COUNTIF(H240:AU240,"&lt;&gt;")=0,"",SUMPRODUCT(((Recommendations[ImplStatus]="Implemented")+(Recommendations[ImplStatus]="Compensated"))*ISNUMBER(MATCH(Recommendations[Id],H240:AU240,0)))/COUNTIF(H240:AU240,"&lt;&gt;"))</f>
        <v/>
      </c>
      <c r="H240" s="272"/>
      <c r="I240" s="272"/>
      <c r="J240" s="272"/>
      <c r="K240" s="272"/>
      <c r="L240" s="272"/>
      <c r="M240" s="272"/>
      <c r="N240" s="272"/>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c r="AN240" s="272"/>
      <c r="AO240" s="272"/>
      <c r="AP240" s="272"/>
      <c r="AQ240" s="272"/>
      <c r="AR240" s="272"/>
      <c r="AS240" s="272"/>
      <c r="AT240" s="272"/>
      <c r="AU240" s="286"/>
    </row>
    <row r="241" spans="1:47" ht="60" customHeight="1" x14ac:dyDescent="0.35">
      <c r="A241" s="282" t="s">
        <v>5267</v>
      </c>
      <c r="B241" s="260" t="s">
        <v>1501</v>
      </c>
      <c r="C241" s="261" t="s">
        <v>5352</v>
      </c>
      <c r="D241" s="264" t="s">
        <v>5353</v>
      </c>
      <c r="E241" s="265" t="s">
        <v>4868</v>
      </c>
      <c r="F241" s="268" t="s">
        <v>5347</v>
      </c>
      <c r="G241" s="271">
        <f>IF(COUNTIF(H241:AU241,"&lt;&gt;")=0,"",SUMPRODUCT(((Recommendations[ImplStatus]="Implemented")+(Recommendations[ImplStatus]="Compensated"))*ISNUMBER(MATCH(Recommendations[Id],H241:AU241,0)))/COUNTIF(H241:AU241,"&lt;&gt;"))</f>
        <v>0</v>
      </c>
      <c r="H241" s="272" t="s">
        <v>87</v>
      </c>
      <c r="I241" s="272" t="s">
        <v>114</v>
      </c>
      <c r="J241" s="272"/>
      <c r="K241" s="272"/>
      <c r="L241" s="272"/>
      <c r="M241" s="272"/>
      <c r="N241" s="272"/>
      <c r="O241" s="272"/>
      <c r="P241" s="272"/>
      <c r="Q241" s="272"/>
      <c r="R241" s="272"/>
      <c r="S241" s="272"/>
      <c r="T241" s="272"/>
      <c r="U241" s="272"/>
      <c r="V241" s="272"/>
      <c r="W241" s="272"/>
      <c r="X241" s="272"/>
      <c r="Y241" s="272"/>
      <c r="Z241" s="272"/>
      <c r="AA241" s="272"/>
      <c r="AB241" s="272"/>
      <c r="AC241" s="272"/>
      <c r="AD241" s="272"/>
      <c r="AE241" s="272"/>
      <c r="AF241" s="272"/>
      <c r="AG241" s="272"/>
      <c r="AH241" s="272"/>
      <c r="AI241" s="272"/>
      <c r="AJ241" s="272"/>
      <c r="AK241" s="272"/>
      <c r="AL241" s="272"/>
      <c r="AM241" s="272"/>
      <c r="AN241" s="272"/>
      <c r="AO241" s="272"/>
      <c r="AP241" s="272"/>
      <c r="AQ241" s="272"/>
      <c r="AR241" s="272"/>
      <c r="AS241" s="272"/>
      <c r="AT241" s="272"/>
      <c r="AU241" s="286"/>
    </row>
    <row r="242" spans="1:47" ht="60" customHeight="1" x14ac:dyDescent="0.35">
      <c r="A242" s="282" t="s">
        <v>5267</v>
      </c>
      <c r="B242" s="260" t="s">
        <v>1501</v>
      </c>
      <c r="C242" s="261" t="s">
        <v>5354</v>
      </c>
      <c r="D242" s="264" t="s">
        <v>5355</v>
      </c>
      <c r="E242" s="265" t="s">
        <v>4868</v>
      </c>
      <c r="F242" s="268" t="s">
        <v>5347</v>
      </c>
      <c r="G242" s="271" t="str">
        <f>IF(COUNTIF(H242:AU242,"&lt;&gt;")=0,"",SUMPRODUCT(((Recommendations[ImplStatus]="Implemented")+(Recommendations[ImplStatus]="Compensated"))*ISNUMBER(MATCH(Recommendations[Id],H242:AU242,0)))/COUNTIF(H242:AU242,"&lt;&gt;"))</f>
        <v/>
      </c>
      <c r="H242" s="272"/>
      <c r="I242" s="272"/>
      <c r="J242" s="272"/>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c r="AT242" s="272"/>
      <c r="AU242" s="286"/>
    </row>
    <row r="243" spans="1:47" ht="60" customHeight="1" x14ac:dyDescent="0.35">
      <c r="A243" s="282" t="s">
        <v>5267</v>
      </c>
      <c r="B243" s="260" t="s">
        <v>1501</v>
      </c>
      <c r="C243" s="261" t="s">
        <v>5356</v>
      </c>
      <c r="D243" s="264" t="s">
        <v>5357</v>
      </c>
      <c r="E243" s="265" t="s">
        <v>4868</v>
      </c>
      <c r="F243" s="268" t="s">
        <v>5347</v>
      </c>
      <c r="G243" s="271" t="str">
        <f>IF(COUNTIF(H243:AU243,"&lt;&gt;")=0,"",SUMPRODUCT(((Recommendations[ImplStatus]="Implemented")+(Recommendations[ImplStatus]="Compensated"))*ISNUMBER(MATCH(Recommendations[Id],H243:AU243,0)))/COUNTIF(H243:AU243,"&lt;&gt;"))</f>
        <v/>
      </c>
      <c r="H243" s="272"/>
      <c r="I243" s="272"/>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c r="AN243" s="272"/>
      <c r="AO243" s="272"/>
      <c r="AP243" s="272"/>
      <c r="AQ243" s="272"/>
      <c r="AR243" s="272"/>
      <c r="AS243" s="272"/>
      <c r="AT243" s="272"/>
      <c r="AU243" s="286"/>
    </row>
    <row r="244" spans="1:47" ht="60" customHeight="1" x14ac:dyDescent="0.35">
      <c r="A244" s="282" t="s">
        <v>5267</v>
      </c>
      <c r="B244" s="260" t="s">
        <v>1501</v>
      </c>
      <c r="C244" s="261" t="s">
        <v>5358</v>
      </c>
      <c r="D244" s="264" t="s">
        <v>5359</v>
      </c>
      <c r="E244" s="265" t="s">
        <v>4868</v>
      </c>
      <c r="F244" s="268" t="s">
        <v>5347</v>
      </c>
      <c r="G244" s="271" t="str">
        <f>IF(COUNTIF(H244:AU244,"&lt;&gt;")=0,"",SUMPRODUCT(((Recommendations[ImplStatus]="Implemented")+(Recommendations[ImplStatus]="Compensated"))*ISNUMBER(MATCH(Recommendations[Id],H244:AU244,0)))/COUNTIF(H244:AU244,"&lt;&gt;"))</f>
        <v/>
      </c>
      <c r="H244" s="272"/>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c r="AT244" s="272"/>
      <c r="AU244" s="286"/>
    </row>
    <row r="245" spans="1:47" ht="60" customHeight="1" x14ac:dyDescent="0.35">
      <c r="A245" s="282" t="s">
        <v>5267</v>
      </c>
      <c r="B245" s="260" t="s">
        <v>1501</v>
      </c>
      <c r="C245" s="261" t="s">
        <v>5360</v>
      </c>
      <c r="D245" s="264" t="s">
        <v>5361</v>
      </c>
      <c r="E245" s="265" t="s">
        <v>4868</v>
      </c>
      <c r="F245" s="268" t="s">
        <v>5347</v>
      </c>
      <c r="G245" s="271" t="str">
        <f>IF(COUNTIF(H245:AU245,"&lt;&gt;")=0,"",SUMPRODUCT(((Recommendations[ImplStatus]="Implemented")+(Recommendations[ImplStatus]="Compensated"))*ISNUMBER(MATCH(Recommendations[Id],H245:AU245,0)))/COUNTIF(H245:AU245,"&lt;&gt;"))</f>
        <v/>
      </c>
      <c r="H245" s="272"/>
      <c r="I245" s="272"/>
      <c r="J245" s="272"/>
      <c r="K245" s="272"/>
      <c r="L245" s="272"/>
      <c r="M245" s="272"/>
      <c r="N245" s="272"/>
      <c r="O245" s="272"/>
      <c r="P245" s="272"/>
      <c r="Q245" s="272"/>
      <c r="R245" s="272"/>
      <c r="S245" s="272"/>
      <c r="T245" s="272"/>
      <c r="U245" s="272"/>
      <c r="V245" s="272"/>
      <c r="W245" s="272"/>
      <c r="X245" s="272"/>
      <c r="Y245" s="272"/>
      <c r="Z245" s="272"/>
      <c r="AA245" s="272"/>
      <c r="AB245" s="272"/>
      <c r="AC245" s="272"/>
      <c r="AD245" s="272"/>
      <c r="AE245" s="272"/>
      <c r="AF245" s="272"/>
      <c r="AG245" s="272"/>
      <c r="AH245" s="272"/>
      <c r="AI245" s="272"/>
      <c r="AJ245" s="272"/>
      <c r="AK245" s="272"/>
      <c r="AL245" s="272"/>
      <c r="AM245" s="272"/>
      <c r="AN245" s="272"/>
      <c r="AO245" s="272"/>
      <c r="AP245" s="272"/>
      <c r="AQ245" s="272"/>
      <c r="AR245" s="272"/>
      <c r="AS245" s="272"/>
      <c r="AT245" s="272"/>
      <c r="AU245" s="286"/>
    </row>
    <row r="246" spans="1:47" ht="60" customHeight="1" x14ac:dyDescent="0.35">
      <c r="A246" s="282" t="s">
        <v>5267</v>
      </c>
      <c r="B246" s="260" t="s">
        <v>1501</v>
      </c>
      <c r="C246" s="261" t="s">
        <v>5362</v>
      </c>
      <c r="D246" s="264" t="s">
        <v>5363</v>
      </c>
      <c r="E246" s="265" t="s">
        <v>4868</v>
      </c>
      <c r="F246" s="268" t="s">
        <v>5347</v>
      </c>
      <c r="G246" s="271" t="str">
        <f>IF(COUNTIF(H246:AU246,"&lt;&gt;")=0,"",SUMPRODUCT(((Recommendations[ImplStatus]="Implemented")+(Recommendations[ImplStatus]="Compensated"))*ISNUMBER(MATCH(Recommendations[Id],H246:AU246,0)))/COUNTIF(H246:AU246,"&lt;&gt;"))</f>
        <v/>
      </c>
      <c r="H246" s="272"/>
      <c r="I246" s="272"/>
      <c r="J246" s="272"/>
      <c r="K246" s="272"/>
      <c r="L246" s="272"/>
      <c r="M246" s="272"/>
      <c r="N246" s="272"/>
      <c r="O246" s="272"/>
      <c r="P246" s="272"/>
      <c r="Q246" s="272"/>
      <c r="R246" s="272"/>
      <c r="S246" s="272"/>
      <c r="T246" s="272"/>
      <c r="U246" s="272"/>
      <c r="V246" s="272"/>
      <c r="W246" s="272"/>
      <c r="X246" s="272"/>
      <c r="Y246" s="272"/>
      <c r="Z246" s="272"/>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86"/>
    </row>
    <row r="247" spans="1:47" ht="60" customHeight="1" x14ac:dyDescent="0.35">
      <c r="A247" s="282" t="s">
        <v>5267</v>
      </c>
      <c r="B247" s="260" t="s">
        <v>1501</v>
      </c>
      <c r="C247" s="261" t="s">
        <v>5364</v>
      </c>
      <c r="D247" s="264" t="s">
        <v>5365</v>
      </c>
      <c r="E247" s="265" t="s">
        <v>4868</v>
      </c>
      <c r="F247" s="268" t="s">
        <v>5347</v>
      </c>
      <c r="G247" s="271">
        <f>IF(COUNTIF(H247:AU247,"&lt;&gt;")=0,"",SUMPRODUCT(((Recommendations[ImplStatus]="Implemented")+(Recommendations[ImplStatus]="Compensated"))*ISNUMBER(MATCH(Recommendations[Id],H247:AU247,0)))/COUNTIF(H247:AU247,"&lt;&gt;"))</f>
        <v>0</v>
      </c>
      <c r="H247" s="272" t="s">
        <v>67</v>
      </c>
      <c r="I247" s="272" t="s">
        <v>92</v>
      </c>
      <c r="J247" s="272"/>
      <c r="K247" s="272"/>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86"/>
    </row>
    <row r="248" spans="1:47" ht="60" customHeight="1" x14ac:dyDescent="0.35">
      <c r="A248" s="282" t="s">
        <v>5267</v>
      </c>
      <c r="B248" s="260" t="s">
        <v>1501</v>
      </c>
      <c r="C248" s="261" t="s">
        <v>5366</v>
      </c>
      <c r="D248" s="264" t="s">
        <v>5367</v>
      </c>
      <c r="E248" s="265" t="s">
        <v>4897</v>
      </c>
      <c r="F248" s="268" t="s">
        <v>5347</v>
      </c>
      <c r="G248" s="271">
        <f>IF(COUNTIF(H248:AU248,"&lt;&gt;")=0,"",SUMPRODUCT(((Recommendations[ImplStatus]="Implemented")+(Recommendations[ImplStatus]="Compensated"))*ISNUMBER(MATCH(Recommendations[Id],H248:AU248,0)))/COUNTIF(H248:AU248,"&lt;&gt;"))</f>
        <v>0</v>
      </c>
      <c r="H248" s="272" t="s">
        <v>119</v>
      </c>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c r="AO248" s="272"/>
      <c r="AP248" s="272"/>
      <c r="AQ248" s="272"/>
      <c r="AR248" s="272"/>
      <c r="AS248" s="272"/>
      <c r="AT248" s="272"/>
      <c r="AU248" s="286"/>
    </row>
    <row r="249" spans="1:47" ht="60" customHeight="1" x14ac:dyDescent="0.35">
      <c r="A249" s="282" t="s">
        <v>5267</v>
      </c>
      <c r="B249" s="260" t="s">
        <v>1501</v>
      </c>
      <c r="C249" s="261" t="s">
        <v>5368</v>
      </c>
      <c r="D249" s="264" t="s">
        <v>5369</v>
      </c>
      <c r="E249" s="265" t="s">
        <v>4897</v>
      </c>
      <c r="F249" s="268" t="s">
        <v>5370</v>
      </c>
      <c r="G249" s="271" t="str">
        <f>IF(COUNTIF(H249:AU249,"&lt;&gt;")=0,"",SUMPRODUCT(((Recommendations[ImplStatus]="Implemented")+(Recommendations[ImplStatus]="Compensated"))*ISNUMBER(MATCH(Recommendations[Id],H249:AU249,0)))/COUNTIF(H249:AU249,"&lt;&gt;"))</f>
        <v/>
      </c>
      <c r="H249" s="272"/>
      <c r="I249" s="272"/>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c r="AO249" s="272"/>
      <c r="AP249" s="272"/>
      <c r="AQ249" s="272"/>
      <c r="AR249" s="272"/>
      <c r="AS249" s="272"/>
      <c r="AT249" s="272"/>
      <c r="AU249" s="286"/>
    </row>
    <row r="250" spans="1:47" ht="60" customHeight="1" x14ac:dyDescent="0.35">
      <c r="A250" s="282" t="s">
        <v>5267</v>
      </c>
      <c r="B250" s="260" t="s">
        <v>1501</v>
      </c>
      <c r="C250" s="261" t="s">
        <v>5371</v>
      </c>
      <c r="D250" s="264" t="s">
        <v>5372</v>
      </c>
      <c r="E250" s="265" t="s">
        <v>4897</v>
      </c>
      <c r="F250" s="268" t="s">
        <v>5370</v>
      </c>
      <c r="G250" s="271" t="str">
        <f>IF(COUNTIF(H250:AU250,"&lt;&gt;")=0,"",SUMPRODUCT(((Recommendations[ImplStatus]="Implemented")+(Recommendations[ImplStatus]="Compensated"))*ISNUMBER(MATCH(Recommendations[Id],H250:AU250,0)))/COUNTIF(H250:AU250,"&lt;&gt;"))</f>
        <v/>
      </c>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c r="AO250" s="272"/>
      <c r="AP250" s="272"/>
      <c r="AQ250" s="272"/>
      <c r="AR250" s="272"/>
      <c r="AS250" s="272"/>
      <c r="AT250" s="272"/>
      <c r="AU250" s="286"/>
    </row>
    <row r="251" spans="1:47" ht="60" customHeight="1" outlineLevel="2" x14ac:dyDescent="0.35">
      <c r="A251" s="281" t="s">
        <v>5267</v>
      </c>
      <c r="B251" s="259" t="s">
        <v>5373</v>
      </c>
      <c r="C251" s="259"/>
      <c r="D251" s="263"/>
      <c r="E251" s="259"/>
      <c r="F251" s="267"/>
      <c r="G251" s="270" t="str">
        <f>IF(COUNTIF(H251:AU251,"&lt;&gt;")=0,"",SUMPRODUCT(((Recommendations[ImplStatus]="Implemented")+(Recommendations[ImplStatus]="Compensated"))*ISNUMBER(MATCH(Recommendations[Id],H251:AU251,0)))/COUNTIF(H251:AU251,"&lt;&gt;"))</f>
        <v/>
      </c>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267"/>
      <c r="AO251" s="267"/>
      <c r="AP251" s="267"/>
      <c r="AQ251" s="267"/>
      <c r="AR251" s="267"/>
      <c r="AS251" s="267"/>
      <c r="AT251" s="267"/>
      <c r="AU251" s="285"/>
    </row>
    <row r="252" spans="1:47" ht="60" customHeight="1" x14ac:dyDescent="0.35">
      <c r="A252" s="282" t="s">
        <v>5267</v>
      </c>
      <c r="B252" s="260" t="s">
        <v>5373</v>
      </c>
      <c r="C252" s="261" t="s">
        <v>5374</v>
      </c>
      <c r="D252" s="264" t="s">
        <v>5375</v>
      </c>
      <c r="E252" s="265" t="s">
        <v>4964</v>
      </c>
      <c r="F252" s="268" t="s">
        <v>5376</v>
      </c>
      <c r="G252" s="271" t="str">
        <f>IF(COUNTIF(H252:AU252,"&lt;&gt;")=0,"",SUMPRODUCT(((Recommendations[ImplStatus]="Implemented")+(Recommendations[ImplStatus]="Compensated"))*ISNUMBER(MATCH(Recommendations[Id],H252:AU252,0)))/COUNTIF(H252:AU252,"&lt;&gt;"))</f>
        <v/>
      </c>
      <c r="H252" s="272"/>
      <c r="I252" s="272"/>
      <c r="J252" s="272"/>
      <c r="K252" s="272"/>
      <c r="L252" s="272"/>
      <c r="M252" s="272"/>
      <c r="N252" s="272"/>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c r="AN252" s="272"/>
      <c r="AO252" s="272"/>
      <c r="AP252" s="272"/>
      <c r="AQ252" s="272"/>
      <c r="AR252" s="272"/>
      <c r="AS252" s="272"/>
      <c r="AT252" s="272"/>
      <c r="AU252" s="286"/>
    </row>
    <row r="253" spans="1:47" ht="60" customHeight="1" x14ac:dyDescent="0.35">
      <c r="A253" s="282" t="s">
        <v>5267</v>
      </c>
      <c r="B253" s="260" t="s">
        <v>5373</v>
      </c>
      <c r="C253" s="261" t="s">
        <v>5377</v>
      </c>
      <c r="D253" s="264" t="s">
        <v>5378</v>
      </c>
      <c r="E253" s="265" t="s">
        <v>4964</v>
      </c>
      <c r="F253" s="268" t="s">
        <v>5376</v>
      </c>
      <c r="G253" s="271" t="str">
        <f>IF(COUNTIF(H253:AU253,"&lt;&gt;")=0,"",SUMPRODUCT(((Recommendations[ImplStatus]="Implemented")+(Recommendations[ImplStatus]="Compensated"))*ISNUMBER(MATCH(Recommendations[Id],H253:AU253,0)))/COUNTIF(H253:AU253,"&lt;&gt;"))</f>
        <v/>
      </c>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c r="AO253" s="272"/>
      <c r="AP253" s="272"/>
      <c r="AQ253" s="272"/>
      <c r="AR253" s="272"/>
      <c r="AS253" s="272"/>
      <c r="AT253" s="272"/>
      <c r="AU253" s="286"/>
    </row>
    <row r="254" spans="1:47" ht="60" customHeight="1" x14ac:dyDescent="0.35">
      <c r="A254" s="282" t="s">
        <v>5267</v>
      </c>
      <c r="B254" s="260" t="s">
        <v>5373</v>
      </c>
      <c r="C254" s="261" t="s">
        <v>5379</v>
      </c>
      <c r="D254" s="264" t="s">
        <v>5380</v>
      </c>
      <c r="E254" s="265" t="s">
        <v>4964</v>
      </c>
      <c r="F254" s="268" t="s">
        <v>5376</v>
      </c>
      <c r="G254" s="271" t="str">
        <f>IF(COUNTIF(H254:AU254,"&lt;&gt;")=0,"",SUMPRODUCT(((Recommendations[ImplStatus]="Implemented")+(Recommendations[ImplStatus]="Compensated"))*ISNUMBER(MATCH(Recommendations[Id],H254:AU254,0)))/COUNTIF(H254:AU254,"&lt;&gt;"))</f>
        <v/>
      </c>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c r="AN254" s="272"/>
      <c r="AO254" s="272"/>
      <c r="AP254" s="272"/>
      <c r="AQ254" s="272"/>
      <c r="AR254" s="272"/>
      <c r="AS254" s="272"/>
      <c r="AT254" s="272"/>
      <c r="AU254" s="286"/>
    </row>
    <row r="255" spans="1:47" ht="60" customHeight="1" x14ac:dyDescent="0.35">
      <c r="A255" s="282" t="s">
        <v>5267</v>
      </c>
      <c r="B255" s="260" t="s">
        <v>5373</v>
      </c>
      <c r="C255" s="261" t="s">
        <v>5381</v>
      </c>
      <c r="D255" s="264" t="s">
        <v>5382</v>
      </c>
      <c r="E255" s="265" t="s">
        <v>4964</v>
      </c>
      <c r="F255" s="268" t="s">
        <v>5376</v>
      </c>
      <c r="G255" s="271" t="str">
        <f>IF(COUNTIF(H255:AU255,"&lt;&gt;")=0,"",SUMPRODUCT(((Recommendations[ImplStatus]="Implemented")+(Recommendations[ImplStatus]="Compensated"))*ISNUMBER(MATCH(Recommendations[Id],H255:AU255,0)))/COUNTIF(H255:AU255,"&lt;&gt;"))</f>
        <v/>
      </c>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c r="AN255" s="272"/>
      <c r="AO255" s="272"/>
      <c r="AP255" s="272"/>
      <c r="AQ255" s="272"/>
      <c r="AR255" s="272"/>
      <c r="AS255" s="272"/>
      <c r="AT255" s="272"/>
      <c r="AU255" s="286"/>
    </row>
    <row r="256" spans="1:47" ht="60" customHeight="1" x14ac:dyDescent="0.35">
      <c r="A256" s="282" t="s">
        <v>5267</v>
      </c>
      <c r="B256" s="260" t="s">
        <v>5373</v>
      </c>
      <c r="C256" s="261" t="s">
        <v>5383</v>
      </c>
      <c r="D256" s="264" t="s">
        <v>5384</v>
      </c>
      <c r="E256" s="265" t="s">
        <v>4964</v>
      </c>
      <c r="F256" s="268" t="s">
        <v>5376</v>
      </c>
      <c r="G256" s="271" t="str">
        <f>IF(COUNTIF(H256:AU256,"&lt;&gt;")=0,"",SUMPRODUCT(((Recommendations[ImplStatus]="Implemented")+(Recommendations[ImplStatus]="Compensated"))*ISNUMBER(MATCH(Recommendations[Id],H256:AU256,0)))/COUNTIF(H256:AU256,"&lt;&gt;"))</f>
        <v/>
      </c>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2"/>
      <c r="AT256" s="272"/>
      <c r="AU256" s="286"/>
    </row>
    <row r="257" spans="1:47" ht="60" customHeight="1" x14ac:dyDescent="0.35">
      <c r="A257" s="282" t="s">
        <v>5267</v>
      </c>
      <c r="B257" s="260" t="s">
        <v>5373</v>
      </c>
      <c r="C257" s="261" t="s">
        <v>5385</v>
      </c>
      <c r="D257" s="264" t="s">
        <v>5386</v>
      </c>
      <c r="E257" s="265" t="s">
        <v>4868</v>
      </c>
      <c r="F257" s="268" t="s">
        <v>5376</v>
      </c>
      <c r="G257" s="271" t="str">
        <f>IF(COUNTIF(H257:AU257,"&lt;&gt;")=0,"",SUMPRODUCT(((Recommendations[ImplStatus]="Implemented")+(Recommendations[ImplStatus]="Compensated"))*ISNUMBER(MATCH(Recommendations[Id],H257:AU257,0)))/COUNTIF(H257:AU257,"&lt;&gt;"))</f>
        <v/>
      </c>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2"/>
      <c r="AT257" s="272"/>
      <c r="AU257" s="286"/>
    </row>
    <row r="258" spans="1:47" ht="60" customHeight="1" x14ac:dyDescent="0.35">
      <c r="A258" s="282" t="s">
        <v>5267</v>
      </c>
      <c r="B258" s="260" t="s">
        <v>5373</v>
      </c>
      <c r="C258" s="261" t="s">
        <v>5387</v>
      </c>
      <c r="D258" s="264" t="s">
        <v>5388</v>
      </c>
      <c r="E258" s="265" t="s">
        <v>4868</v>
      </c>
      <c r="F258" s="268" t="s">
        <v>5376</v>
      </c>
      <c r="G258" s="271" t="str">
        <f>IF(COUNTIF(H258:AU258,"&lt;&gt;")=0,"",SUMPRODUCT(((Recommendations[ImplStatus]="Implemented")+(Recommendations[ImplStatus]="Compensated"))*ISNUMBER(MATCH(Recommendations[Id],H258:AU258,0)))/COUNTIF(H258:AU258,"&lt;&gt;"))</f>
        <v/>
      </c>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86"/>
    </row>
    <row r="259" spans="1:47" ht="60" customHeight="1" x14ac:dyDescent="0.35">
      <c r="A259" s="282" t="s">
        <v>5267</v>
      </c>
      <c r="B259" s="260" t="s">
        <v>5373</v>
      </c>
      <c r="C259" s="261" t="s">
        <v>5389</v>
      </c>
      <c r="D259" s="264" t="s">
        <v>5390</v>
      </c>
      <c r="E259" s="265" t="s">
        <v>4868</v>
      </c>
      <c r="F259" s="268" t="s">
        <v>5376</v>
      </c>
      <c r="G259" s="271" t="str">
        <f>IF(COUNTIF(H259:AU259,"&lt;&gt;")=0,"",SUMPRODUCT(((Recommendations[ImplStatus]="Implemented")+(Recommendations[ImplStatus]="Compensated"))*ISNUMBER(MATCH(Recommendations[Id],H259:AU259,0)))/COUNTIF(H259:AU259,"&lt;&gt;"))</f>
        <v/>
      </c>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c r="AO259" s="272"/>
      <c r="AP259" s="272"/>
      <c r="AQ259" s="272"/>
      <c r="AR259" s="272"/>
      <c r="AS259" s="272"/>
      <c r="AT259" s="272"/>
      <c r="AU259" s="286"/>
    </row>
    <row r="260" spans="1:47" ht="60" customHeight="1" x14ac:dyDescent="0.35">
      <c r="A260" s="282" t="s">
        <v>5267</v>
      </c>
      <c r="B260" s="260" t="s">
        <v>5373</v>
      </c>
      <c r="C260" s="261" t="s">
        <v>5391</v>
      </c>
      <c r="D260" s="264" t="s">
        <v>5392</v>
      </c>
      <c r="E260" s="265" t="s">
        <v>4868</v>
      </c>
      <c r="F260" s="268" t="s">
        <v>5376</v>
      </c>
      <c r="G260" s="271" t="str">
        <f>IF(COUNTIF(H260:AU260,"&lt;&gt;")=0,"",SUMPRODUCT(((Recommendations[ImplStatus]="Implemented")+(Recommendations[ImplStatus]="Compensated"))*ISNUMBER(MATCH(Recommendations[Id],H260:AU260,0)))/COUNTIF(H260:AU260,"&lt;&gt;"))</f>
        <v/>
      </c>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c r="AN260" s="272"/>
      <c r="AO260" s="272"/>
      <c r="AP260" s="272"/>
      <c r="AQ260" s="272"/>
      <c r="AR260" s="272"/>
      <c r="AS260" s="272"/>
      <c r="AT260" s="272"/>
      <c r="AU260" s="286"/>
    </row>
    <row r="261" spans="1:47" ht="60" customHeight="1" x14ac:dyDescent="0.35">
      <c r="A261" s="282" t="s">
        <v>5267</v>
      </c>
      <c r="B261" s="260" t="s">
        <v>5373</v>
      </c>
      <c r="C261" s="261" t="s">
        <v>5393</v>
      </c>
      <c r="D261" s="264" t="s">
        <v>5394</v>
      </c>
      <c r="E261" s="265" t="s">
        <v>5012</v>
      </c>
      <c r="F261" s="268" t="s">
        <v>5376</v>
      </c>
      <c r="G261" s="271" t="str">
        <f>IF(COUNTIF(H261:AU261,"&lt;&gt;")=0,"",SUMPRODUCT(((Recommendations[ImplStatus]="Implemented")+(Recommendations[ImplStatus]="Compensated"))*ISNUMBER(MATCH(Recommendations[Id],H261:AU261,0)))/COUNTIF(H261:AU261,"&lt;&gt;"))</f>
        <v/>
      </c>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c r="AN261" s="272"/>
      <c r="AO261" s="272"/>
      <c r="AP261" s="272"/>
      <c r="AQ261" s="272"/>
      <c r="AR261" s="272"/>
      <c r="AS261" s="272"/>
      <c r="AT261" s="272"/>
      <c r="AU261" s="286"/>
    </row>
    <row r="262" spans="1:47" ht="60" customHeight="1" x14ac:dyDescent="0.35">
      <c r="A262" s="282" t="s">
        <v>5267</v>
      </c>
      <c r="B262" s="260" t="s">
        <v>5373</v>
      </c>
      <c r="C262" s="261" t="s">
        <v>5395</v>
      </c>
      <c r="D262" s="264" t="s">
        <v>5396</v>
      </c>
      <c r="E262" s="265" t="s">
        <v>5012</v>
      </c>
      <c r="F262" s="268" t="s">
        <v>5376</v>
      </c>
      <c r="G262" s="271" t="str">
        <f>IF(COUNTIF(H262:AU262,"&lt;&gt;")=0,"",SUMPRODUCT(((Recommendations[ImplStatus]="Implemented")+(Recommendations[ImplStatus]="Compensated"))*ISNUMBER(MATCH(Recommendations[Id],H262:AU262,0)))/COUNTIF(H262:AU262,"&lt;&gt;"))</f>
        <v/>
      </c>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2"/>
      <c r="AT262" s="272"/>
      <c r="AU262" s="286"/>
    </row>
    <row r="263" spans="1:47" ht="60" customHeight="1" x14ac:dyDescent="0.35">
      <c r="A263" s="282" t="s">
        <v>5267</v>
      </c>
      <c r="B263" s="260" t="s">
        <v>5373</v>
      </c>
      <c r="C263" s="261" t="s">
        <v>5397</v>
      </c>
      <c r="D263" s="264" t="s">
        <v>5398</v>
      </c>
      <c r="E263" s="265" t="s">
        <v>5012</v>
      </c>
      <c r="F263" s="268" t="s">
        <v>5376</v>
      </c>
      <c r="G263" s="271" t="str">
        <f>IF(COUNTIF(H263:AU263,"&lt;&gt;")=0,"",SUMPRODUCT(((Recommendations[ImplStatus]="Implemented")+(Recommendations[ImplStatus]="Compensated"))*ISNUMBER(MATCH(Recommendations[Id],H263:AU263,0)))/COUNTIF(H263:AU263,"&lt;&gt;"))</f>
        <v/>
      </c>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86"/>
    </row>
    <row r="264" spans="1:47" ht="60" customHeight="1" outlineLevel="2" x14ac:dyDescent="0.35">
      <c r="A264" s="281" t="s">
        <v>5267</v>
      </c>
      <c r="B264" s="259" t="s">
        <v>5399</v>
      </c>
      <c r="C264" s="259"/>
      <c r="D264" s="263"/>
      <c r="E264" s="259"/>
      <c r="F264" s="267"/>
      <c r="G264" s="270" t="str">
        <f>IF(COUNTIF(H264:AU264,"&lt;&gt;")=0,"",SUMPRODUCT(((Recommendations[ImplStatus]="Implemented")+(Recommendations[ImplStatus]="Compensated"))*ISNUMBER(MATCH(Recommendations[Id],H264:AU264,0)))/COUNTIF(H264:AU264,"&lt;&gt;"))</f>
        <v/>
      </c>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267"/>
      <c r="AO264" s="267"/>
      <c r="AP264" s="267"/>
      <c r="AQ264" s="267"/>
      <c r="AR264" s="267"/>
      <c r="AS264" s="267"/>
      <c r="AT264" s="267"/>
      <c r="AU264" s="285"/>
    </row>
    <row r="265" spans="1:47" ht="60" customHeight="1" x14ac:dyDescent="0.35">
      <c r="A265" s="282" t="s">
        <v>5267</v>
      </c>
      <c r="B265" s="260" t="s">
        <v>5399</v>
      </c>
      <c r="C265" s="261" t="s">
        <v>5400</v>
      </c>
      <c r="D265" s="264" t="s">
        <v>5401</v>
      </c>
      <c r="E265" s="265" t="s">
        <v>4897</v>
      </c>
      <c r="F265" s="268" t="s">
        <v>5402</v>
      </c>
      <c r="G265" s="271" t="str">
        <f>IF(COUNTIF(H265:AU265,"&lt;&gt;")=0,"",SUMPRODUCT(((Recommendations[ImplStatus]="Implemented")+(Recommendations[ImplStatus]="Compensated"))*ISNUMBER(MATCH(Recommendations[Id],H265:AU265,0)))/COUNTIF(H265:AU265,"&lt;&gt;"))</f>
        <v/>
      </c>
      <c r="H265" s="272"/>
      <c r="I265" s="272"/>
      <c r="J265" s="272"/>
      <c r="K265" s="272"/>
      <c r="L265" s="272"/>
      <c r="M265" s="272"/>
      <c r="N265" s="272"/>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c r="AN265" s="272"/>
      <c r="AO265" s="272"/>
      <c r="AP265" s="272"/>
      <c r="AQ265" s="272"/>
      <c r="AR265" s="272"/>
      <c r="AS265" s="272"/>
      <c r="AT265" s="272"/>
      <c r="AU265" s="286"/>
    </row>
    <row r="266" spans="1:47" ht="60" customHeight="1" x14ac:dyDescent="0.35">
      <c r="A266" s="282" t="s">
        <v>5267</v>
      </c>
      <c r="B266" s="260" t="s">
        <v>5399</v>
      </c>
      <c r="C266" s="261" t="s">
        <v>5403</v>
      </c>
      <c r="D266" s="264" t="s">
        <v>5404</v>
      </c>
      <c r="E266" s="265" t="s">
        <v>4897</v>
      </c>
      <c r="F266" s="268" t="s">
        <v>5402</v>
      </c>
      <c r="G266" s="271" t="str">
        <f>IF(COUNTIF(H266:AU266,"&lt;&gt;")=0,"",SUMPRODUCT(((Recommendations[ImplStatus]="Implemented")+(Recommendations[ImplStatus]="Compensated"))*ISNUMBER(MATCH(Recommendations[Id],H266:AU266,0)))/COUNTIF(H266:AU266,"&lt;&gt;"))</f>
        <v/>
      </c>
      <c r="H266" s="272"/>
      <c r="I266" s="272"/>
      <c r="J266" s="272"/>
      <c r="K266" s="272"/>
      <c r="L266" s="272"/>
      <c r="M266" s="272"/>
      <c r="N266" s="272"/>
      <c r="O266" s="272"/>
      <c r="P266" s="272"/>
      <c r="Q266" s="272"/>
      <c r="R266" s="272"/>
      <c r="S266" s="272"/>
      <c r="T266" s="272"/>
      <c r="U266" s="272"/>
      <c r="V266" s="272"/>
      <c r="W266" s="272"/>
      <c r="X266" s="272"/>
      <c r="Y266" s="272"/>
      <c r="Z266" s="272"/>
      <c r="AA266" s="272"/>
      <c r="AB266" s="272"/>
      <c r="AC266" s="272"/>
      <c r="AD266" s="272"/>
      <c r="AE266" s="272"/>
      <c r="AF266" s="272"/>
      <c r="AG266" s="272"/>
      <c r="AH266" s="272"/>
      <c r="AI266" s="272"/>
      <c r="AJ266" s="272"/>
      <c r="AK266" s="272"/>
      <c r="AL266" s="272"/>
      <c r="AM266" s="272"/>
      <c r="AN266" s="272"/>
      <c r="AO266" s="272"/>
      <c r="AP266" s="272"/>
      <c r="AQ266" s="272"/>
      <c r="AR266" s="272"/>
      <c r="AS266" s="272"/>
      <c r="AT266" s="272"/>
      <c r="AU266" s="286"/>
    </row>
    <row r="267" spans="1:47" ht="60" customHeight="1" x14ac:dyDescent="0.35">
      <c r="A267" s="282" t="s">
        <v>5267</v>
      </c>
      <c r="B267" s="260" t="s">
        <v>5399</v>
      </c>
      <c r="C267" s="261" t="s">
        <v>5405</v>
      </c>
      <c r="D267" s="264" t="s">
        <v>5406</v>
      </c>
      <c r="E267" s="265" t="s">
        <v>4897</v>
      </c>
      <c r="F267" s="268" t="s">
        <v>5402</v>
      </c>
      <c r="G267" s="271" t="str">
        <f>IF(COUNTIF(H267:AU267,"&lt;&gt;")=0,"",SUMPRODUCT(((Recommendations[ImplStatus]="Implemented")+(Recommendations[ImplStatus]="Compensated"))*ISNUMBER(MATCH(Recommendations[Id],H267:AU267,0)))/COUNTIF(H267:AU267,"&lt;&gt;"))</f>
        <v/>
      </c>
      <c r="H267" s="272"/>
      <c r="I267" s="272"/>
      <c r="J267" s="272"/>
      <c r="K267" s="272"/>
      <c r="L267" s="272"/>
      <c r="M267" s="272"/>
      <c r="N267" s="272"/>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c r="AN267" s="272"/>
      <c r="AO267" s="272"/>
      <c r="AP267" s="272"/>
      <c r="AQ267" s="272"/>
      <c r="AR267" s="272"/>
      <c r="AS267" s="272"/>
      <c r="AT267" s="272"/>
      <c r="AU267" s="286"/>
    </row>
    <row r="268" spans="1:47" ht="60" customHeight="1" x14ac:dyDescent="0.35">
      <c r="A268" s="282" t="s">
        <v>5267</v>
      </c>
      <c r="B268" s="260" t="s">
        <v>5399</v>
      </c>
      <c r="C268" s="261" t="s">
        <v>5407</v>
      </c>
      <c r="D268" s="264" t="s">
        <v>5408</v>
      </c>
      <c r="E268" s="265" t="s">
        <v>4897</v>
      </c>
      <c r="F268" s="268" t="s">
        <v>5402</v>
      </c>
      <c r="G268" s="271" t="str">
        <f>IF(COUNTIF(H268:AU268,"&lt;&gt;")=0,"",SUMPRODUCT(((Recommendations[ImplStatus]="Implemented")+(Recommendations[ImplStatus]="Compensated"))*ISNUMBER(MATCH(Recommendations[Id],H268:AU268,0)))/COUNTIF(H268:AU268,"&lt;&gt;"))</f>
        <v/>
      </c>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2"/>
      <c r="AT268" s="272"/>
      <c r="AU268" s="286"/>
    </row>
    <row r="269" spans="1:47" ht="60" customHeight="1" x14ac:dyDescent="0.35">
      <c r="A269" s="282" t="s">
        <v>5267</v>
      </c>
      <c r="B269" s="260" t="s">
        <v>5399</v>
      </c>
      <c r="C269" s="261" t="s">
        <v>5409</v>
      </c>
      <c r="D269" s="264" t="s">
        <v>5410</v>
      </c>
      <c r="E269" s="265" t="s">
        <v>4897</v>
      </c>
      <c r="F269" s="268" t="s">
        <v>5402</v>
      </c>
      <c r="G269" s="271" t="str">
        <f>IF(COUNTIF(H269:AU269,"&lt;&gt;")=0,"",SUMPRODUCT(((Recommendations[ImplStatus]="Implemented")+(Recommendations[ImplStatus]="Compensated"))*ISNUMBER(MATCH(Recommendations[Id],H269:AU269,0)))/COUNTIF(H269:AU269,"&lt;&gt;"))</f>
        <v/>
      </c>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2"/>
      <c r="AT269" s="272"/>
      <c r="AU269" s="286"/>
    </row>
    <row r="270" spans="1:47" ht="60" customHeight="1" x14ac:dyDescent="0.35">
      <c r="A270" s="282" t="s">
        <v>5267</v>
      </c>
      <c r="B270" s="260" t="s">
        <v>5399</v>
      </c>
      <c r="C270" s="261" t="s">
        <v>5411</v>
      </c>
      <c r="D270" s="264" t="s">
        <v>5412</v>
      </c>
      <c r="E270" s="265" t="s">
        <v>4897</v>
      </c>
      <c r="F270" s="268" t="s">
        <v>5402</v>
      </c>
      <c r="G270" s="271" t="str">
        <f>IF(COUNTIF(H270:AU270,"&lt;&gt;")=0,"",SUMPRODUCT(((Recommendations[ImplStatus]="Implemented")+(Recommendations[ImplStatus]="Compensated"))*ISNUMBER(MATCH(Recommendations[Id],H270:AU270,0)))/COUNTIF(H270:AU270,"&lt;&gt;"))</f>
        <v/>
      </c>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86"/>
    </row>
    <row r="271" spans="1:47" ht="60" customHeight="1" x14ac:dyDescent="0.35">
      <c r="A271" s="282" t="s">
        <v>5267</v>
      </c>
      <c r="B271" s="260" t="s">
        <v>5399</v>
      </c>
      <c r="C271" s="261" t="s">
        <v>5413</v>
      </c>
      <c r="D271" s="264" t="s">
        <v>5414</v>
      </c>
      <c r="E271" s="265" t="s">
        <v>4897</v>
      </c>
      <c r="F271" s="268" t="s">
        <v>5402</v>
      </c>
      <c r="G271" s="271" t="str">
        <f>IF(COUNTIF(H271:AU271,"&lt;&gt;")=0,"",SUMPRODUCT(((Recommendations[ImplStatus]="Implemented")+(Recommendations[ImplStatus]="Compensated"))*ISNUMBER(MATCH(Recommendations[Id],H271:AU271,0)))/COUNTIF(H271:AU271,"&lt;&gt;"))</f>
        <v/>
      </c>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c r="AO271" s="272"/>
      <c r="AP271" s="272"/>
      <c r="AQ271" s="272"/>
      <c r="AR271" s="272"/>
      <c r="AS271" s="272"/>
      <c r="AT271" s="272"/>
      <c r="AU271" s="286"/>
    </row>
    <row r="272" spans="1:47" ht="60" customHeight="1" x14ac:dyDescent="0.35">
      <c r="A272" s="282" t="s">
        <v>5267</v>
      </c>
      <c r="B272" s="260" t="s">
        <v>5399</v>
      </c>
      <c r="C272" s="261" t="s">
        <v>5415</v>
      </c>
      <c r="D272" s="264" t="s">
        <v>5416</v>
      </c>
      <c r="E272" s="265" t="s">
        <v>4897</v>
      </c>
      <c r="F272" s="268" t="s">
        <v>5402</v>
      </c>
      <c r="G272" s="271" t="str">
        <f>IF(COUNTIF(H272:AU272,"&lt;&gt;")=0,"",SUMPRODUCT(((Recommendations[ImplStatus]="Implemented")+(Recommendations[ImplStatus]="Compensated"))*ISNUMBER(MATCH(Recommendations[Id],H272:AU272,0)))/COUNTIF(H272:AU272,"&lt;&gt;"))</f>
        <v/>
      </c>
      <c r="H272" s="272"/>
      <c r="I272" s="272"/>
      <c r="J272" s="272"/>
      <c r="K272" s="272"/>
      <c r="L272" s="272"/>
      <c r="M272" s="272"/>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c r="AO272" s="272"/>
      <c r="AP272" s="272"/>
      <c r="AQ272" s="272"/>
      <c r="AR272" s="272"/>
      <c r="AS272" s="272"/>
      <c r="AT272" s="272"/>
      <c r="AU272" s="286"/>
    </row>
    <row r="273" spans="1:47" ht="60" customHeight="1" x14ac:dyDescent="0.35">
      <c r="A273" s="282" t="s">
        <v>5267</v>
      </c>
      <c r="B273" s="260" t="s">
        <v>5399</v>
      </c>
      <c r="C273" s="261" t="s">
        <v>5417</v>
      </c>
      <c r="D273" s="264" t="s">
        <v>5418</v>
      </c>
      <c r="E273" s="265" t="s">
        <v>4897</v>
      </c>
      <c r="F273" s="268" t="s">
        <v>5402</v>
      </c>
      <c r="G273" s="271" t="str">
        <f>IF(COUNTIF(H273:AU273,"&lt;&gt;")=0,"",SUMPRODUCT(((Recommendations[ImplStatus]="Implemented")+(Recommendations[ImplStatus]="Compensated"))*ISNUMBER(MATCH(Recommendations[Id],H273:AU273,0)))/COUNTIF(H273:AU273,"&lt;&gt;"))</f>
        <v/>
      </c>
      <c r="H273" s="272"/>
      <c r="I273" s="272"/>
      <c r="J273" s="272"/>
      <c r="K273" s="272"/>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c r="AN273" s="272"/>
      <c r="AO273" s="272"/>
      <c r="AP273" s="272"/>
      <c r="AQ273" s="272"/>
      <c r="AR273" s="272"/>
      <c r="AS273" s="272"/>
      <c r="AT273" s="272"/>
      <c r="AU273" s="286"/>
    </row>
    <row r="274" spans="1:47" ht="60" customHeight="1" outlineLevel="1" x14ac:dyDescent="0.35">
      <c r="A274" s="280" t="s">
        <v>5419</v>
      </c>
      <c r="B274" s="258"/>
      <c r="C274" s="258"/>
      <c r="D274" s="262"/>
      <c r="E274" s="258"/>
      <c r="F274" s="266"/>
      <c r="G274" s="269" t="str">
        <f>IF(COUNTIF(H274:AU274,"&lt;&gt;")=0,"",SUMPRODUCT(((Recommendations[ImplStatus]="Implemented")+(Recommendations[ImplStatus]="Compensated"))*ISNUMBER(MATCH(Recommendations[Id],H274:AU274,0)))/COUNTIF(H274:AU274,"&lt;&gt;"))</f>
        <v/>
      </c>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6"/>
      <c r="AD274" s="266"/>
      <c r="AE274" s="266"/>
      <c r="AF274" s="266"/>
      <c r="AG274" s="266"/>
      <c r="AH274" s="266"/>
      <c r="AI274" s="266"/>
      <c r="AJ274" s="266"/>
      <c r="AK274" s="266"/>
      <c r="AL274" s="266"/>
      <c r="AM274" s="266"/>
      <c r="AN274" s="266"/>
      <c r="AO274" s="266"/>
      <c r="AP274" s="266"/>
      <c r="AQ274" s="266"/>
      <c r="AR274" s="266"/>
      <c r="AS274" s="266"/>
      <c r="AT274" s="266"/>
      <c r="AU274" s="284"/>
    </row>
    <row r="275" spans="1:47" ht="60" customHeight="1" outlineLevel="2" x14ac:dyDescent="0.35">
      <c r="A275" s="281" t="s">
        <v>5419</v>
      </c>
      <c r="B275" s="259" t="s">
        <v>5420</v>
      </c>
      <c r="C275" s="259"/>
      <c r="D275" s="263"/>
      <c r="E275" s="259"/>
      <c r="F275" s="267"/>
      <c r="G275" s="270" t="str">
        <f>IF(COUNTIF(H275:AU275,"&lt;&gt;")=0,"",SUMPRODUCT(((Recommendations[ImplStatus]="Implemented")+(Recommendations[ImplStatus]="Compensated"))*ISNUMBER(MATCH(Recommendations[Id],H275:AU275,0)))/COUNTIF(H275:AU275,"&lt;&gt;"))</f>
        <v/>
      </c>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267"/>
      <c r="AO275" s="267"/>
      <c r="AP275" s="267"/>
      <c r="AQ275" s="267"/>
      <c r="AR275" s="267"/>
      <c r="AS275" s="267"/>
      <c r="AT275" s="267"/>
      <c r="AU275" s="285"/>
    </row>
    <row r="276" spans="1:47" ht="60" customHeight="1" x14ac:dyDescent="0.35">
      <c r="A276" s="282" t="s">
        <v>5419</v>
      </c>
      <c r="B276" s="260" t="s">
        <v>5420</v>
      </c>
      <c r="C276" s="261" t="s">
        <v>5421</v>
      </c>
      <c r="D276" s="264" t="s">
        <v>5422</v>
      </c>
      <c r="E276" s="265" t="s">
        <v>4868</v>
      </c>
      <c r="F276" s="268" t="s">
        <v>5423</v>
      </c>
      <c r="G276" s="271" t="str">
        <f>IF(COUNTIF(H276:AU276,"&lt;&gt;")=0,"",SUMPRODUCT(((Recommendations[ImplStatus]="Implemented")+(Recommendations[ImplStatus]="Compensated"))*ISNUMBER(MATCH(Recommendations[Id],H276:AU276,0)))/COUNTIF(H276:AU276,"&lt;&gt;"))</f>
        <v/>
      </c>
      <c r="H276" s="272"/>
      <c r="I276" s="272"/>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2"/>
      <c r="AT276" s="272"/>
      <c r="AU276" s="286"/>
    </row>
    <row r="277" spans="1:47" ht="60" customHeight="1" x14ac:dyDescent="0.35">
      <c r="A277" s="282" t="s">
        <v>5419</v>
      </c>
      <c r="B277" s="260" t="s">
        <v>5420</v>
      </c>
      <c r="C277" s="261" t="s">
        <v>5424</v>
      </c>
      <c r="D277" s="264" t="s">
        <v>5425</v>
      </c>
      <c r="E277" s="265" t="s">
        <v>4868</v>
      </c>
      <c r="F277" s="268" t="s">
        <v>5423</v>
      </c>
      <c r="G277" s="271" t="str">
        <f>IF(COUNTIF(H277:AU277,"&lt;&gt;")=0,"",SUMPRODUCT(((Recommendations[ImplStatus]="Implemented")+(Recommendations[ImplStatus]="Compensated"))*ISNUMBER(MATCH(Recommendations[Id],H277:AU277,0)))/COUNTIF(H277:AU277,"&lt;&gt;"))</f>
        <v/>
      </c>
      <c r="H277" s="272"/>
      <c r="I277" s="272"/>
      <c r="J277" s="272"/>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c r="AO277" s="272"/>
      <c r="AP277" s="272"/>
      <c r="AQ277" s="272"/>
      <c r="AR277" s="272"/>
      <c r="AS277" s="272"/>
      <c r="AT277" s="272"/>
      <c r="AU277" s="286"/>
    </row>
    <row r="278" spans="1:47" ht="60" customHeight="1" x14ac:dyDescent="0.35">
      <c r="A278" s="282" t="s">
        <v>5419</v>
      </c>
      <c r="B278" s="260" t="s">
        <v>5420</v>
      </c>
      <c r="C278" s="261" t="s">
        <v>5426</v>
      </c>
      <c r="D278" s="264" t="s">
        <v>5427</v>
      </c>
      <c r="E278" s="265" t="s">
        <v>4868</v>
      </c>
      <c r="F278" s="268" t="s">
        <v>5423</v>
      </c>
      <c r="G278" s="271" t="str">
        <f>IF(COUNTIF(H278:AU278,"&lt;&gt;")=0,"",SUMPRODUCT(((Recommendations[ImplStatus]="Implemented")+(Recommendations[ImplStatus]="Compensated"))*ISNUMBER(MATCH(Recommendations[Id],H278:AU278,0)))/COUNTIF(H278:AU278,"&lt;&gt;"))</f>
        <v/>
      </c>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c r="AO278" s="272"/>
      <c r="AP278" s="272"/>
      <c r="AQ278" s="272"/>
      <c r="AR278" s="272"/>
      <c r="AS278" s="272"/>
      <c r="AT278" s="272"/>
      <c r="AU278" s="286"/>
    </row>
    <row r="279" spans="1:47" ht="60" customHeight="1" x14ac:dyDescent="0.35">
      <c r="A279" s="282" t="s">
        <v>5419</v>
      </c>
      <c r="B279" s="260" t="s">
        <v>5420</v>
      </c>
      <c r="C279" s="261" t="s">
        <v>5428</v>
      </c>
      <c r="D279" s="264" t="s">
        <v>5429</v>
      </c>
      <c r="E279" s="265" t="s">
        <v>4868</v>
      </c>
      <c r="F279" s="268" t="s">
        <v>5423</v>
      </c>
      <c r="G279" s="271" t="str">
        <f>IF(COUNTIF(H279:AU279,"&lt;&gt;")=0,"",SUMPRODUCT(((Recommendations[ImplStatus]="Implemented")+(Recommendations[ImplStatus]="Compensated"))*ISNUMBER(MATCH(Recommendations[Id],H279:AU279,0)))/COUNTIF(H279:AU279,"&lt;&gt;"))</f>
        <v/>
      </c>
      <c r="H279" s="272"/>
      <c r="I279" s="272"/>
      <c r="J279" s="272"/>
      <c r="K279" s="272"/>
      <c r="L279" s="272"/>
      <c r="M279" s="272"/>
      <c r="N279" s="272"/>
      <c r="O279" s="272"/>
      <c r="P279" s="272"/>
      <c r="Q279" s="272"/>
      <c r="R279" s="272"/>
      <c r="S279" s="272"/>
      <c r="T279" s="272"/>
      <c r="U279" s="272"/>
      <c r="V279" s="272"/>
      <c r="W279" s="272"/>
      <c r="X279" s="272"/>
      <c r="Y279" s="272"/>
      <c r="Z279" s="272"/>
      <c r="AA279" s="272"/>
      <c r="AB279" s="272"/>
      <c r="AC279" s="272"/>
      <c r="AD279" s="272"/>
      <c r="AE279" s="272"/>
      <c r="AF279" s="272"/>
      <c r="AG279" s="272"/>
      <c r="AH279" s="272"/>
      <c r="AI279" s="272"/>
      <c r="AJ279" s="272"/>
      <c r="AK279" s="272"/>
      <c r="AL279" s="272"/>
      <c r="AM279" s="272"/>
      <c r="AN279" s="272"/>
      <c r="AO279" s="272"/>
      <c r="AP279" s="272"/>
      <c r="AQ279" s="272"/>
      <c r="AR279" s="272"/>
      <c r="AS279" s="272"/>
      <c r="AT279" s="272"/>
      <c r="AU279" s="286"/>
    </row>
    <row r="280" spans="1:47" ht="60" customHeight="1" x14ac:dyDescent="0.35">
      <c r="A280" s="282" t="s">
        <v>5419</v>
      </c>
      <c r="B280" s="260" t="s">
        <v>5420</v>
      </c>
      <c r="C280" s="261" t="s">
        <v>5430</v>
      </c>
      <c r="D280" s="264" t="s">
        <v>5431</v>
      </c>
      <c r="E280" s="265" t="s">
        <v>4868</v>
      </c>
      <c r="F280" s="268" t="s">
        <v>5423</v>
      </c>
      <c r="G280" s="271" t="str">
        <f>IF(COUNTIF(H280:AU280,"&lt;&gt;")=0,"",SUMPRODUCT(((Recommendations[ImplStatus]="Implemented")+(Recommendations[ImplStatus]="Compensated"))*ISNUMBER(MATCH(Recommendations[Id],H280:AU280,0)))/COUNTIF(H280:AU280,"&lt;&gt;"))</f>
        <v/>
      </c>
      <c r="H280" s="272"/>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2"/>
      <c r="AT280" s="272"/>
      <c r="AU280" s="286"/>
    </row>
    <row r="281" spans="1:47" ht="60" customHeight="1" x14ac:dyDescent="0.35">
      <c r="A281" s="282" t="s">
        <v>5419</v>
      </c>
      <c r="B281" s="260" t="s">
        <v>5420</v>
      </c>
      <c r="C281" s="261" t="s">
        <v>5432</v>
      </c>
      <c r="D281" s="264" t="s">
        <v>5433</v>
      </c>
      <c r="E281" s="265" t="s">
        <v>4868</v>
      </c>
      <c r="F281" s="268" t="s">
        <v>5423</v>
      </c>
      <c r="G281" s="271" t="str">
        <f>IF(COUNTIF(H281:AU281,"&lt;&gt;")=0,"",SUMPRODUCT(((Recommendations[ImplStatus]="Implemented")+(Recommendations[ImplStatus]="Compensated"))*ISNUMBER(MATCH(Recommendations[Id],H281:AU281,0)))/COUNTIF(H281:AU281,"&lt;&gt;"))</f>
        <v/>
      </c>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2"/>
      <c r="AT281" s="272"/>
      <c r="AU281" s="286"/>
    </row>
    <row r="282" spans="1:47" ht="60" customHeight="1" x14ac:dyDescent="0.35">
      <c r="A282" s="282" t="s">
        <v>5419</v>
      </c>
      <c r="B282" s="260" t="s">
        <v>5420</v>
      </c>
      <c r="C282" s="261" t="s">
        <v>5434</v>
      </c>
      <c r="D282" s="264" t="s">
        <v>5435</v>
      </c>
      <c r="E282" s="265" t="s">
        <v>4868</v>
      </c>
      <c r="F282" s="268" t="s">
        <v>5423</v>
      </c>
      <c r="G282" s="271" t="str">
        <f>IF(COUNTIF(H282:AU282,"&lt;&gt;")=0,"",SUMPRODUCT(((Recommendations[ImplStatus]="Implemented")+(Recommendations[ImplStatus]="Compensated"))*ISNUMBER(MATCH(Recommendations[Id],H282:AU282,0)))/COUNTIF(H282:AU282,"&lt;&gt;"))</f>
        <v/>
      </c>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2"/>
      <c r="AT282" s="272"/>
      <c r="AU282" s="286"/>
    </row>
    <row r="283" spans="1:47" ht="60" customHeight="1" x14ac:dyDescent="0.35">
      <c r="A283" s="282" t="s">
        <v>5419</v>
      </c>
      <c r="B283" s="260" t="s">
        <v>5420</v>
      </c>
      <c r="C283" s="261" t="s">
        <v>5436</v>
      </c>
      <c r="D283" s="264" t="s">
        <v>5437</v>
      </c>
      <c r="E283" s="265" t="s">
        <v>4964</v>
      </c>
      <c r="F283" s="268" t="s">
        <v>5438</v>
      </c>
      <c r="G283" s="271" t="str">
        <f>IF(COUNTIF(H283:AU283,"&lt;&gt;")=0,"",SUMPRODUCT(((Recommendations[ImplStatus]="Implemented")+(Recommendations[ImplStatus]="Compensated"))*ISNUMBER(MATCH(Recommendations[Id],H283:AU283,0)))/COUNTIF(H283:AU283,"&lt;&gt;"))</f>
        <v/>
      </c>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c r="AN283" s="272"/>
      <c r="AO283" s="272"/>
      <c r="AP283" s="272"/>
      <c r="AQ283" s="272"/>
      <c r="AR283" s="272"/>
      <c r="AS283" s="272"/>
      <c r="AT283" s="272"/>
      <c r="AU283" s="286"/>
    </row>
    <row r="284" spans="1:47" ht="60" customHeight="1" x14ac:dyDescent="0.35">
      <c r="A284" s="282" t="s">
        <v>5419</v>
      </c>
      <c r="B284" s="260" t="s">
        <v>5420</v>
      </c>
      <c r="C284" s="261" t="s">
        <v>5439</v>
      </c>
      <c r="D284" s="264" t="s">
        <v>5440</v>
      </c>
      <c r="E284" s="265" t="s">
        <v>4964</v>
      </c>
      <c r="F284" s="268" t="s">
        <v>5438</v>
      </c>
      <c r="G284" s="271" t="str">
        <f>IF(COUNTIF(H284:AU284,"&lt;&gt;")=0,"",SUMPRODUCT(((Recommendations[ImplStatus]="Implemented")+(Recommendations[ImplStatus]="Compensated"))*ISNUMBER(MATCH(Recommendations[Id],H284:AU284,0)))/COUNTIF(H284:AU284,"&lt;&gt;"))</f>
        <v/>
      </c>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c r="AN284" s="272"/>
      <c r="AO284" s="272"/>
      <c r="AP284" s="272"/>
      <c r="AQ284" s="272"/>
      <c r="AR284" s="272"/>
      <c r="AS284" s="272"/>
      <c r="AT284" s="272"/>
      <c r="AU284" s="286"/>
    </row>
    <row r="285" spans="1:47" ht="60" customHeight="1" x14ac:dyDescent="0.35">
      <c r="A285" s="282" t="s">
        <v>5419</v>
      </c>
      <c r="B285" s="260" t="s">
        <v>5420</v>
      </c>
      <c r="C285" s="261" t="s">
        <v>5441</v>
      </c>
      <c r="D285" s="264" t="s">
        <v>5442</v>
      </c>
      <c r="E285" s="265" t="s">
        <v>4868</v>
      </c>
      <c r="F285" s="268" t="s">
        <v>5438</v>
      </c>
      <c r="G285" s="271" t="str">
        <f>IF(COUNTIF(H285:AU285,"&lt;&gt;")=0,"",SUMPRODUCT(((Recommendations[ImplStatus]="Implemented")+(Recommendations[ImplStatus]="Compensated"))*ISNUMBER(MATCH(Recommendations[Id],H285:AU285,0)))/COUNTIF(H285:AU285,"&lt;&gt;"))</f>
        <v/>
      </c>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c r="AN285" s="272"/>
      <c r="AO285" s="272"/>
      <c r="AP285" s="272"/>
      <c r="AQ285" s="272"/>
      <c r="AR285" s="272"/>
      <c r="AS285" s="272"/>
      <c r="AT285" s="272"/>
      <c r="AU285" s="286"/>
    </row>
    <row r="286" spans="1:47" ht="60" customHeight="1" x14ac:dyDescent="0.35">
      <c r="A286" s="282" t="s">
        <v>5419</v>
      </c>
      <c r="B286" s="260" t="s">
        <v>5420</v>
      </c>
      <c r="C286" s="261" t="s">
        <v>5443</v>
      </c>
      <c r="D286" s="264" t="s">
        <v>5444</v>
      </c>
      <c r="E286" s="265" t="s">
        <v>4897</v>
      </c>
      <c r="F286" s="268" t="s">
        <v>5438</v>
      </c>
      <c r="G286" s="271" t="str">
        <f>IF(COUNTIF(H286:AU286,"&lt;&gt;")=0,"",SUMPRODUCT(((Recommendations[ImplStatus]="Implemented")+(Recommendations[ImplStatus]="Compensated"))*ISNUMBER(MATCH(Recommendations[Id],H286:AU286,0)))/COUNTIF(H286:AU286,"&lt;&gt;"))</f>
        <v/>
      </c>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2"/>
      <c r="AT286" s="272"/>
      <c r="AU286" s="286"/>
    </row>
    <row r="287" spans="1:47" ht="60" customHeight="1" x14ac:dyDescent="0.35">
      <c r="A287" s="282" t="s">
        <v>5419</v>
      </c>
      <c r="B287" s="260" t="s">
        <v>5420</v>
      </c>
      <c r="C287" s="261" t="s">
        <v>5445</v>
      </c>
      <c r="D287" s="264" t="s">
        <v>5446</v>
      </c>
      <c r="E287" s="265" t="s">
        <v>4897</v>
      </c>
      <c r="F287" s="268" t="s">
        <v>5438</v>
      </c>
      <c r="G287" s="271" t="str">
        <f>IF(COUNTIF(H287:AU287,"&lt;&gt;")=0,"",SUMPRODUCT(((Recommendations[ImplStatus]="Implemented")+(Recommendations[ImplStatus]="Compensated"))*ISNUMBER(MATCH(Recommendations[Id],H287:AU287,0)))/COUNTIF(H287:AU287,"&lt;&gt;"))</f>
        <v/>
      </c>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2"/>
      <c r="AT287" s="272"/>
      <c r="AU287" s="286"/>
    </row>
    <row r="288" spans="1:47" ht="60" customHeight="1" x14ac:dyDescent="0.35">
      <c r="A288" s="282" t="s">
        <v>5419</v>
      </c>
      <c r="B288" s="260" t="s">
        <v>5420</v>
      </c>
      <c r="C288" s="261" t="s">
        <v>5447</v>
      </c>
      <c r="D288" s="264" t="s">
        <v>5448</v>
      </c>
      <c r="E288" s="265" t="s">
        <v>4897</v>
      </c>
      <c r="F288" s="268" t="s">
        <v>5438</v>
      </c>
      <c r="G288" s="271">
        <f>IF(COUNTIF(H288:AU288,"&lt;&gt;")=0,"",SUMPRODUCT(((Recommendations[ImplStatus]="Implemented")+(Recommendations[ImplStatus]="Compensated"))*ISNUMBER(MATCH(Recommendations[Id],H288:AU288,0)))/COUNTIF(H288:AU288,"&lt;&gt;"))</f>
        <v>0</v>
      </c>
      <c r="H288" s="272" t="s">
        <v>72</v>
      </c>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2"/>
      <c r="AT288" s="272"/>
      <c r="AU288" s="286"/>
    </row>
    <row r="289" spans="1:47" ht="60" customHeight="1" x14ac:dyDescent="0.35">
      <c r="A289" s="282" t="s">
        <v>5419</v>
      </c>
      <c r="B289" s="260" t="s">
        <v>5420</v>
      </c>
      <c r="C289" s="261" t="s">
        <v>5449</v>
      </c>
      <c r="D289" s="264" t="s">
        <v>5450</v>
      </c>
      <c r="E289" s="265" t="s">
        <v>4897</v>
      </c>
      <c r="F289" s="268" t="s">
        <v>5438</v>
      </c>
      <c r="G289" s="271" t="str">
        <f>IF(COUNTIF(H289:AU289,"&lt;&gt;")=0,"",SUMPRODUCT(((Recommendations[ImplStatus]="Implemented")+(Recommendations[ImplStatus]="Compensated"))*ISNUMBER(MATCH(Recommendations[Id],H289:AU289,0)))/COUNTIF(H289:AU289,"&lt;&gt;"))</f>
        <v/>
      </c>
      <c r="H289" s="272"/>
      <c r="I289" s="272"/>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c r="AO289" s="272"/>
      <c r="AP289" s="272"/>
      <c r="AQ289" s="272"/>
      <c r="AR289" s="272"/>
      <c r="AS289" s="272"/>
      <c r="AT289" s="272"/>
      <c r="AU289" s="286"/>
    </row>
    <row r="290" spans="1:47" ht="60" customHeight="1" x14ac:dyDescent="0.35">
      <c r="A290" s="282" t="s">
        <v>5419</v>
      </c>
      <c r="B290" s="260" t="s">
        <v>5420</v>
      </c>
      <c r="C290" s="261" t="s">
        <v>5451</v>
      </c>
      <c r="D290" s="264" t="s">
        <v>5452</v>
      </c>
      <c r="E290" s="265" t="s">
        <v>4868</v>
      </c>
      <c r="F290" s="268" t="s">
        <v>5438</v>
      </c>
      <c r="G290" s="271" t="str">
        <f>IF(COUNTIF(H290:AU290,"&lt;&gt;")=0,"",SUMPRODUCT(((Recommendations[ImplStatus]="Implemented")+(Recommendations[ImplStatus]="Compensated"))*ISNUMBER(MATCH(Recommendations[Id],H290:AU290,0)))/COUNTIF(H290:AU290,"&lt;&gt;"))</f>
        <v/>
      </c>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c r="AN290" s="272"/>
      <c r="AO290" s="272"/>
      <c r="AP290" s="272"/>
      <c r="AQ290" s="272"/>
      <c r="AR290" s="272"/>
      <c r="AS290" s="272"/>
      <c r="AT290" s="272"/>
      <c r="AU290" s="286"/>
    </row>
    <row r="291" spans="1:47" ht="60" customHeight="1" x14ac:dyDescent="0.35">
      <c r="A291" s="282" t="s">
        <v>5419</v>
      </c>
      <c r="B291" s="260" t="s">
        <v>5420</v>
      </c>
      <c r="C291" s="261" t="s">
        <v>5453</v>
      </c>
      <c r="D291" s="264" t="s">
        <v>5454</v>
      </c>
      <c r="E291" s="265" t="s">
        <v>4897</v>
      </c>
      <c r="F291" s="268" t="s">
        <v>5455</v>
      </c>
      <c r="G291" s="271" t="str">
        <f>IF(COUNTIF(H291:AU291,"&lt;&gt;")=0,"",SUMPRODUCT(((Recommendations[ImplStatus]="Implemented")+(Recommendations[ImplStatus]="Compensated"))*ISNUMBER(MATCH(Recommendations[Id],H291:AU291,0)))/COUNTIF(H291:AU291,"&lt;&gt;"))</f>
        <v/>
      </c>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c r="AN291" s="272"/>
      <c r="AO291" s="272"/>
      <c r="AP291" s="272"/>
      <c r="AQ291" s="272"/>
      <c r="AR291" s="272"/>
      <c r="AS291" s="272"/>
      <c r="AT291" s="272"/>
      <c r="AU291" s="286"/>
    </row>
    <row r="292" spans="1:47" ht="60" customHeight="1" x14ac:dyDescent="0.35">
      <c r="A292" s="282" t="s">
        <v>5419</v>
      </c>
      <c r="B292" s="260" t="s">
        <v>5420</v>
      </c>
      <c r="C292" s="261" t="s">
        <v>5456</v>
      </c>
      <c r="D292" s="264" t="s">
        <v>5457</v>
      </c>
      <c r="E292" s="265" t="s">
        <v>4897</v>
      </c>
      <c r="F292" s="268" t="s">
        <v>5455</v>
      </c>
      <c r="G292" s="271" t="str">
        <f>IF(COUNTIF(H292:AU292,"&lt;&gt;")=0,"",SUMPRODUCT(((Recommendations[ImplStatus]="Implemented")+(Recommendations[ImplStatus]="Compensated"))*ISNUMBER(MATCH(Recommendations[Id],H292:AU292,0)))/COUNTIF(H292:AU292,"&lt;&gt;"))</f>
        <v/>
      </c>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2"/>
      <c r="AT292" s="272"/>
      <c r="AU292" s="286"/>
    </row>
    <row r="293" spans="1:47" ht="60" customHeight="1" x14ac:dyDescent="0.35">
      <c r="A293" s="282" t="s">
        <v>5419</v>
      </c>
      <c r="B293" s="260" t="s">
        <v>5420</v>
      </c>
      <c r="C293" s="261" t="s">
        <v>5458</v>
      </c>
      <c r="D293" s="264" t="s">
        <v>5459</v>
      </c>
      <c r="E293" s="265" t="s">
        <v>5147</v>
      </c>
      <c r="F293" s="268" t="s">
        <v>5438</v>
      </c>
      <c r="G293" s="271" t="str">
        <f>IF(COUNTIF(H293:AU293,"&lt;&gt;")=0,"",SUMPRODUCT(((Recommendations[ImplStatus]="Implemented")+(Recommendations[ImplStatus]="Compensated"))*ISNUMBER(MATCH(Recommendations[Id],H293:AU293,0)))/COUNTIF(H293:AU293,"&lt;&gt;"))</f>
        <v/>
      </c>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2"/>
      <c r="AR293" s="272"/>
      <c r="AS293" s="272"/>
      <c r="AT293" s="272"/>
      <c r="AU293" s="286"/>
    </row>
    <row r="294" spans="1:47" ht="60" customHeight="1" x14ac:dyDescent="0.35">
      <c r="A294" s="282" t="s">
        <v>5419</v>
      </c>
      <c r="B294" s="260" t="s">
        <v>5420</v>
      </c>
      <c r="C294" s="261" t="s">
        <v>5460</v>
      </c>
      <c r="D294" s="264" t="s">
        <v>5461</v>
      </c>
      <c r="E294" s="265" t="s">
        <v>5147</v>
      </c>
      <c r="F294" s="268" t="s">
        <v>5438</v>
      </c>
      <c r="G294" s="271" t="str">
        <f>IF(COUNTIF(H294:AU294,"&lt;&gt;")=0,"",SUMPRODUCT(((Recommendations[ImplStatus]="Implemented")+(Recommendations[ImplStatus]="Compensated"))*ISNUMBER(MATCH(Recommendations[Id],H294:AU294,0)))/COUNTIF(H294:AU294,"&lt;&gt;"))</f>
        <v/>
      </c>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2"/>
      <c r="AT294" s="272"/>
      <c r="AU294" s="286"/>
    </row>
    <row r="295" spans="1:47" ht="60" customHeight="1" x14ac:dyDescent="0.35">
      <c r="A295" s="282" t="s">
        <v>5419</v>
      </c>
      <c r="B295" s="260" t="s">
        <v>5420</v>
      </c>
      <c r="C295" s="261" t="s">
        <v>5462</v>
      </c>
      <c r="D295" s="264" t="s">
        <v>5463</v>
      </c>
      <c r="E295" s="265" t="s">
        <v>4964</v>
      </c>
      <c r="F295" s="268" t="s">
        <v>5438</v>
      </c>
      <c r="G295" s="271" t="str">
        <f>IF(COUNTIF(H295:AU295,"&lt;&gt;")=0,"",SUMPRODUCT(((Recommendations[ImplStatus]="Implemented")+(Recommendations[ImplStatus]="Compensated"))*ISNUMBER(MATCH(Recommendations[Id],H295:AU295,0)))/COUNTIF(H295:AU295,"&lt;&gt;"))</f>
        <v/>
      </c>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c r="AO295" s="272"/>
      <c r="AP295" s="272"/>
      <c r="AQ295" s="272"/>
      <c r="AR295" s="272"/>
      <c r="AS295" s="272"/>
      <c r="AT295" s="272"/>
      <c r="AU295" s="286"/>
    </row>
    <row r="296" spans="1:47" ht="60" customHeight="1" x14ac:dyDescent="0.35">
      <c r="A296" s="282" t="s">
        <v>5419</v>
      </c>
      <c r="B296" s="260" t="s">
        <v>5420</v>
      </c>
      <c r="C296" s="261" t="s">
        <v>5464</v>
      </c>
      <c r="D296" s="264" t="s">
        <v>5465</v>
      </c>
      <c r="E296" s="265" t="s">
        <v>4964</v>
      </c>
      <c r="F296" s="268" t="s">
        <v>5438</v>
      </c>
      <c r="G296" s="271" t="str">
        <f>IF(COUNTIF(H296:AU296,"&lt;&gt;")=0,"",SUMPRODUCT(((Recommendations[ImplStatus]="Implemented")+(Recommendations[ImplStatus]="Compensated"))*ISNUMBER(MATCH(Recommendations[Id],H296:AU296,0)))/COUNTIF(H296:AU296,"&lt;&gt;"))</f>
        <v/>
      </c>
      <c r="H296" s="272"/>
      <c r="I296" s="272"/>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c r="AN296" s="272"/>
      <c r="AO296" s="272"/>
      <c r="AP296" s="272"/>
      <c r="AQ296" s="272"/>
      <c r="AR296" s="272"/>
      <c r="AS296" s="272"/>
      <c r="AT296" s="272"/>
      <c r="AU296" s="286"/>
    </row>
    <row r="297" spans="1:47" ht="60" customHeight="1" x14ac:dyDescent="0.35">
      <c r="A297" s="282" t="s">
        <v>5419</v>
      </c>
      <c r="B297" s="260" t="s">
        <v>5420</v>
      </c>
      <c r="C297" s="261" t="s">
        <v>5466</v>
      </c>
      <c r="D297" s="264" t="s">
        <v>5467</v>
      </c>
      <c r="E297" s="265" t="s">
        <v>4868</v>
      </c>
      <c r="F297" s="268" t="s">
        <v>5438</v>
      </c>
      <c r="G297" s="271" t="str">
        <f>IF(COUNTIF(H297:AU297,"&lt;&gt;")=0,"",SUMPRODUCT(((Recommendations[ImplStatus]="Implemented")+(Recommendations[ImplStatus]="Compensated"))*ISNUMBER(MATCH(Recommendations[Id],H297:AU297,0)))/COUNTIF(H297:AU297,"&lt;&gt;"))</f>
        <v/>
      </c>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c r="AO297" s="272"/>
      <c r="AP297" s="272"/>
      <c r="AQ297" s="272"/>
      <c r="AR297" s="272"/>
      <c r="AS297" s="272"/>
      <c r="AT297" s="272"/>
      <c r="AU297" s="286"/>
    </row>
    <row r="298" spans="1:47" ht="60" customHeight="1" x14ac:dyDescent="0.35">
      <c r="A298" s="282" t="s">
        <v>5419</v>
      </c>
      <c r="B298" s="260" t="s">
        <v>5420</v>
      </c>
      <c r="C298" s="261" t="s">
        <v>5468</v>
      </c>
      <c r="D298" s="264" t="s">
        <v>5469</v>
      </c>
      <c r="E298" s="265" t="s">
        <v>4964</v>
      </c>
      <c r="F298" s="268" t="s">
        <v>5438</v>
      </c>
      <c r="G298" s="271">
        <f>IF(COUNTIF(H298:AU298,"&lt;&gt;")=0,"",SUMPRODUCT(((Recommendations[ImplStatus]="Implemented")+(Recommendations[ImplStatus]="Compensated"))*ISNUMBER(MATCH(Recommendations[Id],H298:AU298,0)))/COUNTIF(H298:AU298,"&lt;&gt;"))</f>
        <v>0</v>
      </c>
      <c r="H298" s="272" t="s">
        <v>56</v>
      </c>
      <c r="I298" s="272" t="s">
        <v>102</v>
      </c>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86"/>
    </row>
    <row r="299" spans="1:47" ht="60" customHeight="1" x14ac:dyDescent="0.35">
      <c r="A299" s="282" t="s">
        <v>5419</v>
      </c>
      <c r="B299" s="260" t="s">
        <v>5420</v>
      </c>
      <c r="C299" s="261" t="s">
        <v>5470</v>
      </c>
      <c r="D299" s="264" t="s">
        <v>5471</v>
      </c>
      <c r="E299" s="265" t="s">
        <v>4897</v>
      </c>
      <c r="F299" s="268" t="s">
        <v>5438</v>
      </c>
      <c r="G299" s="271" t="str">
        <f>IF(COUNTIF(H299:AU299,"&lt;&gt;")=0,"",SUMPRODUCT(((Recommendations[ImplStatus]="Implemented")+(Recommendations[ImplStatus]="Compensated"))*ISNUMBER(MATCH(Recommendations[Id],H299:AU299,0)))/COUNTIF(H299:AU299,"&lt;&gt;"))</f>
        <v/>
      </c>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86"/>
    </row>
    <row r="300" spans="1:47" ht="60" customHeight="1" x14ac:dyDescent="0.35">
      <c r="A300" s="282" t="s">
        <v>5419</v>
      </c>
      <c r="B300" s="260" t="s">
        <v>5420</v>
      </c>
      <c r="C300" s="261" t="s">
        <v>5472</v>
      </c>
      <c r="D300" s="264" t="s">
        <v>5473</v>
      </c>
      <c r="E300" s="265" t="s">
        <v>4964</v>
      </c>
      <c r="F300" s="268" t="s">
        <v>5438</v>
      </c>
      <c r="G300" s="271" t="str">
        <f>IF(COUNTIF(H300:AU300,"&lt;&gt;")=0,"",SUMPRODUCT(((Recommendations[ImplStatus]="Implemented")+(Recommendations[ImplStatus]="Compensated"))*ISNUMBER(MATCH(Recommendations[Id],H300:AU300,0)))/COUNTIF(H300:AU300,"&lt;&gt;"))</f>
        <v/>
      </c>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2"/>
      <c r="AT300" s="272"/>
      <c r="AU300" s="286"/>
    </row>
    <row r="301" spans="1:47" ht="60" customHeight="1" x14ac:dyDescent="0.35">
      <c r="A301" s="282" t="s">
        <v>5419</v>
      </c>
      <c r="B301" s="260" t="s">
        <v>5420</v>
      </c>
      <c r="C301" s="261" t="s">
        <v>5474</v>
      </c>
      <c r="D301" s="264" t="s">
        <v>5475</v>
      </c>
      <c r="E301" s="265" t="s">
        <v>5012</v>
      </c>
      <c r="F301" s="268" t="s">
        <v>5438</v>
      </c>
      <c r="G301" s="271" t="str">
        <f>IF(COUNTIF(H301:AU301,"&lt;&gt;")=0,"",SUMPRODUCT(((Recommendations[ImplStatus]="Implemented")+(Recommendations[ImplStatus]="Compensated"))*ISNUMBER(MATCH(Recommendations[Id],H301:AU301,0)))/COUNTIF(H301:AU301,"&lt;&gt;"))</f>
        <v/>
      </c>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c r="AN301" s="272"/>
      <c r="AO301" s="272"/>
      <c r="AP301" s="272"/>
      <c r="AQ301" s="272"/>
      <c r="AR301" s="272"/>
      <c r="AS301" s="272"/>
      <c r="AT301" s="272"/>
      <c r="AU301" s="286"/>
    </row>
    <row r="302" spans="1:47" ht="60" customHeight="1" x14ac:dyDescent="0.35">
      <c r="A302" s="282" t="s">
        <v>5419</v>
      </c>
      <c r="B302" s="260" t="s">
        <v>5420</v>
      </c>
      <c r="C302" s="261" t="s">
        <v>5476</v>
      </c>
      <c r="D302" s="264" t="s">
        <v>5477</v>
      </c>
      <c r="E302" s="265" t="s">
        <v>5012</v>
      </c>
      <c r="F302" s="268" t="s">
        <v>5438</v>
      </c>
      <c r="G302" s="271" t="str">
        <f>IF(COUNTIF(H302:AU302,"&lt;&gt;")=0,"",SUMPRODUCT(((Recommendations[ImplStatus]="Implemented")+(Recommendations[ImplStatus]="Compensated"))*ISNUMBER(MATCH(Recommendations[Id],H302:AU302,0)))/COUNTIF(H302:AU302,"&lt;&gt;"))</f>
        <v/>
      </c>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c r="AN302" s="272"/>
      <c r="AO302" s="272"/>
      <c r="AP302" s="272"/>
      <c r="AQ302" s="272"/>
      <c r="AR302" s="272"/>
      <c r="AS302" s="272"/>
      <c r="AT302" s="272"/>
      <c r="AU302" s="286"/>
    </row>
    <row r="303" spans="1:47" ht="60" customHeight="1" outlineLevel="2" x14ac:dyDescent="0.35">
      <c r="A303" s="281" t="s">
        <v>5419</v>
      </c>
      <c r="B303" s="259" t="s">
        <v>1234</v>
      </c>
      <c r="C303" s="259"/>
      <c r="D303" s="263"/>
      <c r="E303" s="259"/>
      <c r="F303" s="267"/>
      <c r="G303" s="270" t="str">
        <f>IF(COUNTIF(H303:AU303,"&lt;&gt;")=0,"",SUMPRODUCT(((Recommendations[ImplStatus]="Implemented")+(Recommendations[ImplStatus]="Compensated"))*ISNUMBER(MATCH(Recommendations[Id],H303:AU303,0)))/COUNTIF(H303:AU303,"&lt;&gt;"))</f>
        <v/>
      </c>
      <c r="H303" s="267"/>
      <c r="I303" s="267"/>
      <c r="J303" s="267"/>
      <c r="K303" s="267"/>
      <c r="L303" s="267"/>
      <c r="M303" s="267"/>
      <c r="N303" s="267"/>
      <c r="O303" s="267"/>
      <c r="P303" s="267"/>
      <c r="Q303" s="267"/>
      <c r="R303" s="267"/>
      <c r="S303" s="267"/>
      <c r="T303" s="267"/>
      <c r="U303" s="267"/>
      <c r="V303" s="267"/>
      <c r="W303" s="267"/>
      <c r="X303" s="267"/>
      <c r="Y303" s="267"/>
      <c r="Z303" s="267"/>
      <c r="AA303" s="267"/>
      <c r="AB303" s="267"/>
      <c r="AC303" s="267"/>
      <c r="AD303" s="267"/>
      <c r="AE303" s="267"/>
      <c r="AF303" s="267"/>
      <c r="AG303" s="267"/>
      <c r="AH303" s="267"/>
      <c r="AI303" s="267"/>
      <c r="AJ303" s="267"/>
      <c r="AK303" s="267"/>
      <c r="AL303" s="267"/>
      <c r="AM303" s="267"/>
      <c r="AN303" s="267"/>
      <c r="AO303" s="267"/>
      <c r="AP303" s="267"/>
      <c r="AQ303" s="267"/>
      <c r="AR303" s="267"/>
      <c r="AS303" s="267"/>
      <c r="AT303" s="267"/>
      <c r="AU303" s="285"/>
    </row>
    <row r="304" spans="1:47" ht="60" customHeight="1" x14ac:dyDescent="0.35">
      <c r="A304" s="282" t="s">
        <v>5419</v>
      </c>
      <c r="B304" s="260" t="s">
        <v>1234</v>
      </c>
      <c r="C304" s="261" t="s">
        <v>5478</v>
      </c>
      <c r="D304" s="264" t="s">
        <v>5479</v>
      </c>
      <c r="E304" s="265" t="s">
        <v>4868</v>
      </c>
      <c r="F304" s="268" t="s">
        <v>5480</v>
      </c>
      <c r="G304" s="271" t="str">
        <f>IF(COUNTIF(H304:AU304,"&lt;&gt;")=0,"",SUMPRODUCT(((Recommendations[ImplStatus]="Implemented")+(Recommendations[ImplStatus]="Compensated"))*ISNUMBER(MATCH(Recommendations[Id],H304:AU304,0)))/COUNTIF(H304:AU304,"&lt;&gt;"))</f>
        <v/>
      </c>
      <c r="H304" s="272"/>
      <c r="I304" s="272"/>
      <c r="J304" s="272"/>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2"/>
      <c r="AT304" s="272"/>
      <c r="AU304" s="286"/>
    </row>
    <row r="305" spans="1:47" ht="60" customHeight="1" x14ac:dyDescent="0.35">
      <c r="A305" s="282" t="s">
        <v>5419</v>
      </c>
      <c r="B305" s="260" t="s">
        <v>1234</v>
      </c>
      <c r="C305" s="261" t="s">
        <v>5481</v>
      </c>
      <c r="D305" s="264" t="s">
        <v>5482</v>
      </c>
      <c r="E305" s="265" t="s">
        <v>4868</v>
      </c>
      <c r="F305" s="268" t="s">
        <v>5480</v>
      </c>
      <c r="G305" s="271" t="str">
        <f>IF(COUNTIF(H305:AU305,"&lt;&gt;")=0,"",SUMPRODUCT(((Recommendations[ImplStatus]="Implemented")+(Recommendations[ImplStatus]="Compensated"))*ISNUMBER(MATCH(Recommendations[Id],H305:AU305,0)))/COUNTIF(H305:AU305,"&lt;&gt;"))</f>
        <v/>
      </c>
      <c r="H305" s="272"/>
      <c r="I305" s="272"/>
      <c r="J305" s="272"/>
      <c r="K305" s="272"/>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2"/>
      <c r="AT305" s="272"/>
      <c r="AU305" s="286"/>
    </row>
    <row r="306" spans="1:47" ht="60" customHeight="1" x14ac:dyDescent="0.35">
      <c r="A306" s="282" t="s">
        <v>5419</v>
      </c>
      <c r="B306" s="260" t="s">
        <v>1234</v>
      </c>
      <c r="C306" s="261" t="s">
        <v>5483</v>
      </c>
      <c r="D306" s="264" t="s">
        <v>5484</v>
      </c>
      <c r="E306" s="265" t="s">
        <v>4868</v>
      </c>
      <c r="F306" s="268" t="s">
        <v>5480</v>
      </c>
      <c r="G306" s="271" t="str">
        <f>IF(COUNTIF(H306:AU306,"&lt;&gt;")=0,"",SUMPRODUCT(((Recommendations[ImplStatus]="Implemented")+(Recommendations[ImplStatus]="Compensated"))*ISNUMBER(MATCH(Recommendations[Id],H306:AU306,0)))/COUNTIF(H306:AU306,"&lt;&gt;"))</f>
        <v/>
      </c>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86"/>
    </row>
    <row r="307" spans="1:47" ht="60" customHeight="1" x14ac:dyDescent="0.35">
      <c r="A307" s="282" t="s">
        <v>5419</v>
      </c>
      <c r="B307" s="260" t="s">
        <v>1234</v>
      </c>
      <c r="C307" s="261" t="s">
        <v>5485</v>
      </c>
      <c r="D307" s="264" t="s">
        <v>5486</v>
      </c>
      <c r="E307" s="265" t="s">
        <v>4868</v>
      </c>
      <c r="F307" s="268" t="s">
        <v>5480</v>
      </c>
      <c r="G307" s="271" t="str">
        <f>IF(COUNTIF(H307:AU307,"&lt;&gt;")=0,"",SUMPRODUCT(((Recommendations[ImplStatus]="Implemented")+(Recommendations[ImplStatus]="Compensated"))*ISNUMBER(MATCH(Recommendations[Id],H307:AU307,0)))/COUNTIF(H307:AU307,"&lt;&gt;"))</f>
        <v/>
      </c>
      <c r="H307" s="272"/>
      <c r="I307" s="272"/>
      <c r="J307" s="272"/>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c r="AN307" s="272"/>
      <c r="AO307" s="272"/>
      <c r="AP307" s="272"/>
      <c r="AQ307" s="272"/>
      <c r="AR307" s="272"/>
      <c r="AS307" s="272"/>
      <c r="AT307" s="272"/>
      <c r="AU307" s="286"/>
    </row>
    <row r="308" spans="1:47" ht="60" customHeight="1" x14ac:dyDescent="0.35">
      <c r="A308" s="282" t="s">
        <v>5419</v>
      </c>
      <c r="B308" s="260" t="s">
        <v>1234</v>
      </c>
      <c r="C308" s="261" t="s">
        <v>5487</v>
      </c>
      <c r="D308" s="264" t="s">
        <v>5488</v>
      </c>
      <c r="E308" s="265" t="s">
        <v>4964</v>
      </c>
      <c r="F308" s="268" t="s">
        <v>5480</v>
      </c>
      <c r="G308" s="271" t="str">
        <f>IF(COUNTIF(H308:AU308,"&lt;&gt;")=0,"",SUMPRODUCT(((Recommendations[ImplStatus]="Implemented")+(Recommendations[ImplStatus]="Compensated"))*ISNUMBER(MATCH(Recommendations[Id],H308:AU308,0)))/COUNTIF(H308:AU308,"&lt;&gt;"))</f>
        <v/>
      </c>
      <c r="H308" s="272"/>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c r="AO308" s="272"/>
      <c r="AP308" s="272"/>
      <c r="AQ308" s="272"/>
      <c r="AR308" s="272"/>
      <c r="AS308" s="272"/>
      <c r="AT308" s="272"/>
      <c r="AU308" s="286"/>
    </row>
    <row r="309" spans="1:47" ht="60" customHeight="1" x14ac:dyDescent="0.35">
      <c r="A309" s="282" t="s">
        <v>5419</v>
      </c>
      <c r="B309" s="260" t="s">
        <v>1234</v>
      </c>
      <c r="C309" s="261" t="s">
        <v>5489</v>
      </c>
      <c r="D309" s="264" t="s">
        <v>5490</v>
      </c>
      <c r="E309" s="265" t="s">
        <v>4964</v>
      </c>
      <c r="F309" s="268" t="s">
        <v>5480</v>
      </c>
      <c r="G309" s="271" t="str">
        <f>IF(COUNTIF(H309:AU309,"&lt;&gt;")=0,"",SUMPRODUCT(((Recommendations[ImplStatus]="Implemented")+(Recommendations[ImplStatus]="Compensated"))*ISNUMBER(MATCH(Recommendations[Id],H309:AU309,0)))/COUNTIF(H309:AU309,"&lt;&gt;"))</f>
        <v/>
      </c>
      <c r="H309" s="272"/>
      <c r="I309" s="272"/>
      <c r="J309" s="272"/>
      <c r="K309" s="272"/>
      <c r="L309" s="272"/>
      <c r="M309" s="272"/>
      <c r="N309" s="272"/>
      <c r="O309" s="272"/>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c r="AO309" s="272"/>
      <c r="AP309" s="272"/>
      <c r="AQ309" s="272"/>
      <c r="AR309" s="272"/>
      <c r="AS309" s="272"/>
      <c r="AT309" s="272"/>
      <c r="AU309" s="286"/>
    </row>
    <row r="310" spans="1:47" ht="60" customHeight="1" x14ac:dyDescent="0.35">
      <c r="A310" s="282" t="s">
        <v>5419</v>
      </c>
      <c r="B310" s="260" t="s">
        <v>1234</v>
      </c>
      <c r="C310" s="261" t="s">
        <v>5491</v>
      </c>
      <c r="D310" s="264" t="s">
        <v>5492</v>
      </c>
      <c r="E310" s="265" t="s">
        <v>4964</v>
      </c>
      <c r="F310" s="268" t="s">
        <v>5480</v>
      </c>
      <c r="G310" s="271" t="str">
        <f>IF(COUNTIF(H310:AU310,"&lt;&gt;")=0,"",SUMPRODUCT(((Recommendations[ImplStatus]="Implemented")+(Recommendations[ImplStatus]="Compensated"))*ISNUMBER(MATCH(Recommendations[Id],H310:AU310,0)))/COUNTIF(H310:AU310,"&lt;&gt;"))</f>
        <v/>
      </c>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2"/>
      <c r="AT310" s="272"/>
      <c r="AU310" s="286"/>
    </row>
    <row r="311" spans="1:47" ht="60" customHeight="1" x14ac:dyDescent="0.35">
      <c r="A311" s="282" t="s">
        <v>5419</v>
      </c>
      <c r="B311" s="260" t="s">
        <v>1234</v>
      </c>
      <c r="C311" s="261" t="s">
        <v>5493</v>
      </c>
      <c r="D311" s="264" t="s">
        <v>5494</v>
      </c>
      <c r="E311" s="265" t="s">
        <v>4964</v>
      </c>
      <c r="F311" s="268" t="s">
        <v>5480</v>
      </c>
      <c r="G311" s="271" t="str">
        <f>IF(COUNTIF(H311:AU311,"&lt;&gt;")=0,"",SUMPRODUCT(((Recommendations[ImplStatus]="Implemented")+(Recommendations[ImplStatus]="Compensated"))*ISNUMBER(MATCH(Recommendations[Id],H311:AU311,0)))/COUNTIF(H311:AU311,"&lt;&gt;"))</f>
        <v/>
      </c>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2"/>
      <c r="AT311" s="272"/>
      <c r="AU311" s="286"/>
    </row>
    <row r="312" spans="1:47" ht="60" customHeight="1" x14ac:dyDescent="0.35">
      <c r="A312" s="282" t="s">
        <v>5419</v>
      </c>
      <c r="B312" s="260" t="s">
        <v>1234</v>
      </c>
      <c r="C312" s="261" t="s">
        <v>5495</v>
      </c>
      <c r="D312" s="264" t="s">
        <v>5496</v>
      </c>
      <c r="E312" s="265" t="s">
        <v>4964</v>
      </c>
      <c r="F312" s="268" t="s">
        <v>5480</v>
      </c>
      <c r="G312" s="271" t="str">
        <f>IF(COUNTIF(H312:AU312,"&lt;&gt;")=0,"",SUMPRODUCT(((Recommendations[ImplStatus]="Implemented")+(Recommendations[ImplStatus]="Compensated"))*ISNUMBER(MATCH(Recommendations[Id],H312:AU312,0)))/COUNTIF(H312:AU312,"&lt;&gt;"))</f>
        <v/>
      </c>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86"/>
    </row>
    <row r="313" spans="1:47" ht="60" customHeight="1" x14ac:dyDescent="0.35">
      <c r="A313" s="282" t="s">
        <v>5419</v>
      </c>
      <c r="B313" s="260" t="s">
        <v>1234</v>
      </c>
      <c r="C313" s="261" t="s">
        <v>5497</v>
      </c>
      <c r="D313" s="264" t="s">
        <v>5498</v>
      </c>
      <c r="E313" s="265" t="s">
        <v>4897</v>
      </c>
      <c r="F313" s="268" t="s">
        <v>5480</v>
      </c>
      <c r="G313" s="271" t="str">
        <f>IF(COUNTIF(H313:AU313,"&lt;&gt;")=0,"",SUMPRODUCT(((Recommendations[ImplStatus]="Implemented")+(Recommendations[ImplStatus]="Compensated"))*ISNUMBER(MATCH(Recommendations[Id],H313:AU313,0)))/COUNTIF(H313:AU313,"&lt;&gt;"))</f>
        <v/>
      </c>
      <c r="H313" s="272"/>
      <c r="I313" s="272"/>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c r="AN313" s="272"/>
      <c r="AO313" s="272"/>
      <c r="AP313" s="272"/>
      <c r="AQ313" s="272"/>
      <c r="AR313" s="272"/>
      <c r="AS313" s="272"/>
      <c r="AT313" s="272"/>
      <c r="AU313" s="286"/>
    </row>
    <row r="314" spans="1:47" ht="60" customHeight="1" x14ac:dyDescent="0.35">
      <c r="A314" s="282" t="s">
        <v>5419</v>
      </c>
      <c r="B314" s="260" t="s">
        <v>1234</v>
      </c>
      <c r="C314" s="261" t="s">
        <v>5499</v>
      </c>
      <c r="D314" s="264" t="s">
        <v>5500</v>
      </c>
      <c r="E314" s="265" t="s">
        <v>4897</v>
      </c>
      <c r="F314" s="268" t="s">
        <v>5480</v>
      </c>
      <c r="G314" s="271" t="str">
        <f>IF(COUNTIF(H314:AU314,"&lt;&gt;")=0,"",SUMPRODUCT(((Recommendations[ImplStatus]="Implemented")+(Recommendations[ImplStatus]="Compensated"))*ISNUMBER(MATCH(Recommendations[Id],H314:AU314,0)))/COUNTIF(H314:AU314,"&lt;&gt;"))</f>
        <v/>
      </c>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c r="AN314" s="272"/>
      <c r="AO314" s="272"/>
      <c r="AP314" s="272"/>
      <c r="AQ314" s="272"/>
      <c r="AR314" s="272"/>
      <c r="AS314" s="272"/>
      <c r="AT314" s="272"/>
      <c r="AU314" s="286"/>
    </row>
    <row r="315" spans="1:47" ht="60" customHeight="1" x14ac:dyDescent="0.35">
      <c r="A315" s="282" t="s">
        <v>5419</v>
      </c>
      <c r="B315" s="260" t="s">
        <v>1234</v>
      </c>
      <c r="C315" s="261" t="s">
        <v>5501</v>
      </c>
      <c r="D315" s="264" t="s">
        <v>5502</v>
      </c>
      <c r="E315" s="265" t="s">
        <v>4897</v>
      </c>
      <c r="F315" s="268" t="s">
        <v>5480</v>
      </c>
      <c r="G315" s="271" t="str">
        <f>IF(COUNTIF(H315:AU315,"&lt;&gt;")=0,"",SUMPRODUCT(((Recommendations[ImplStatus]="Implemented")+(Recommendations[ImplStatus]="Compensated"))*ISNUMBER(MATCH(Recommendations[Id],H315:AU315,0)))/COUNTIF(H315:AU315,"&lt;&gt;"))</f>
        <v/>
      </c>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c r="AO315" s="272"/>
      <c r="AP315" s="272"/>
      <c r="AQ315" s="272"/>
      <c r="AR315" s="272"/>
      <c r="AS315" s="272"/>
      <c r="AT315" s="272"/>
      <c r="AU315" s="286"/>
    </row>
    <row r="316" spans="1:47" ht="60" customHeight="1" x14ac:dyDescent="0.35">
      <c r="A316" s="282" t="s">
        <v>5419</v>
      </c>
      <c r="B316" s="260" t="s">
        <v>1234</v>
      </c>
      <c r="C316" s="261" t="s">
        <v>5503</v>
      </c>
      <c r="D316" s="264" t="s">
        <v>5504</v>
      </c>
      <c r="E316" s="265" t="s">
        <v>4897</v>
      </c>
      <c r="F316" s="268" t="s">
        <v>5480</v>
      </c>
      <c r="G316" s="271" t="str">
        <f>IF(COUNTIF(H316:AU316,"&lt;&gt;")=0,"",SUMPRODUCT(((Recommendations[ImplStatus]="Implemented")+(Recommendations[ImplStatus]="Compensated"))*ISNUMBER(MATCH(Recommendations[Id],H316:AU316,0)))/COUNTIF(H316:AU316,"&lt;&gt;"))</f>
        <v/>
      </c>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c r="AO316" s="272"/>
      <c r="AP316" s="272"/>
      <c r="AQ316" s="272"/>
      <c r="AR316" s="272"/>
      <c r="AS316" s="272"/>
      <c r="AT316" s="272"/>
      <c r="AU316" s="286"/>
    </row>
    <row r="317" spans="1:47" ht="60" customHeight="1" x14ac:dyDescent="0.35">
      <c r="A317" s="282" t="s">
        <v>5419</v>
      </c>
      <c r="B317" s="260" t="s">
        <v>1234</v>
      </c>
      <c r="C317" s="261" t="s">
        <v>5505</v>
      </c>
      <c r="D317" s="264" t="s">
        <v>5506</v>
      </c>
      <c r="E317" s="265" t="s">
        <v>4964</v>
      </c>
      <c r="F317" s="268" t="s">
        <v>5438</v>
      </c>
      <c r="G317" s="271" t="str">
        <f>IF(COUNTIF(H317:AU317,"&lt;&gt;")=0,"",SUMPRODUCT(((Recommendations[ImplStatus]="Implemented")+(Recommendations[ImplStatus]="Compensated"))*ISNUMBER(MATCH(Recommendations[Id],H317:AU317,0)))/COUNTIF(H317:AU317,"&lt;&gt;"))</f>
        <v/>
      </c>
      <c r="H317" s="272"/>
      <c r="I317" s="272"/>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c r="AN317" s="272"/>
      <c r="AO317" s="272"/>
      <c r="AP317" s="272"/>
      <c r="AQ317" s="272"/>
      <c r="AR317" s="272"/>
      <c r="AS317" s="272"/>
      <c r="AT317" s="272"/>
      <c r="AU317" s="286"/>
    </row>
    <row r="318" spans="1:47" ht="60" customHeight="1" x14ac:dyDescent="0.35">
      <c r="A318" s="282" t="s">
        <v>5419</v>
      </c>
      <c r="B318" s="260" t="s">
        <v>1234</v>
      </c>
      <c r="C318" s="261" t="s">
        <v>5507</v>
      </c>
      <c r="D318" s="264" t="s">
        <v>5508</v>
      </c>
      <c r="E318" s="265" t="s">
        <v>5012</v>
      </c>
      <c r="F318" s="268" t="s">
        <v>5438</v>
      </c>
      <c r="G318" s="271" t="str">
        <f>IF(COUNTIF(H318:AU318,"&lt;&gt;")=0,"",SUMPRODUCT(((Recommendations[ImplStatus]="Implemented")+(Recommendations[ImplStatus]="Compensated"))*ISNUMBER(MATCH(Recommendations[Id],H318:AU318,0)))/COUNTIF(H318:AU318,"&lt;&gt;"))</f>
        <v/>
      </c>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c r="AO318" s="272"/>
      <c r="AP318" s="272"/>
      <c r="AQ318" s="272"/>
      <c r="AR318" s="272"/>
      <c r="AS318" s="272"/>
      <c r="AT318" s="272"/>
      <c r="AU318" s="286"/>
    </row>
    <row r="319" spans="1:47" ht="60" customHeight="1" x14ac:dyDescent="0.35">
      <c r="A319" s="282" t="s">
        <v>5419</v>
      </c>
      <c r="B319" s="260" t="s">
        <v>1234</v>
      </c>
      <c r="C319" s="261" t="s">
        <v>5509</v>
      </c>
      <c r="D319" s="264" t="s">
        <v>5510</v>
      </c>
      <c r="E319" s="265" t="s">
        <v>5012</v>
      </c>
      <c r="F319" s="268" t="s">
        <v>5438</v>
      </c>
      <c r="G319" s="271" t="str">
        <f>IF(COUNTIF(H319:AU319,"&lt;&gt;")=0,"",SUMPRODUCT(((Recommendations[ImplStatus]="Implemented")+(Recommendations[ImplStatus]="Compensated"))*ISNUMBER(MATCH(Recommendations[Id],H319:AU319,0)))/COUNTIF(H319:AU319,"&lt;&gt;"))</f>
        <v/>
      </c>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c r="AN319" s="272"/>
      <c r="AO319" s="272"/>
      <c r="AP319" s="272"/>
      <c r="AQ319" s="272"/>
      <c r="AR319" s="272"/>
      <c r="AS319" s="272"/>
      <c r="AT319" s="272"/>
      <c r="AU319" s="286"/>
    </row>
    <row r="320" spans="1:47" ht="60" customHeight="1" outlineLevel="2" x14ac:dyDescent="0.35">
      <c r="A320" s="281" t="s">
        <v>5419</v>
      </c>
      <c r="B320" s="259" t="s">
        <v>5511</v>
      </c>
      <c r="C320" s="259"/>
      <c r="D320" s="263"/>
      <c r="E320" s="259"/>
      <c r="F320" s="267"/>
      <c r="G320" s="270" t="str">
        <f>IF(COUNTIF(H320:AU320,"&lt;&gt;")=0,"",SUMPRODUCT(((Recommendations[ImplStatus]="Implemented")+(Recommendations[ImplStatus]="Compensated"))*ISNUMBER(MATCH(Recommendations[Id],H320:AU320,0)))/COUNTIF(H320:AU320,"&lt;&gt;"))</f>
        <v/>
      </c>
      <c r="H320" s="267"/>
      <c r="I320" s="267"/>
      <c r="J320" s="267"/>
      <c r="K320" s="267"/>
      <c r="L320" s="267"/>
      <c r="M320" s="267"/>
      <c r="N320" s="267"/>
      <c r="O320" s="267"/>
      <c r="P320" s="267"/>
      <c r="Q320" s="267"/>
      <c r="R320" s="267"/>
      <c r="S320" s="267"/>
      <c r="T320" s="267"/>
      <c r="U320" s="267"/>
      <c r="V320" s="267"/>
      <c r="W320" s="267"/>
      <c r="X320" s="267"/>
      <c r="Y320" s="267"/>
      <c r="Z320" s="267"/>
      <c r="AA320" s="267"/>
      <c r="AB320" s="267"/>
      <c r="AC320" s="267"/>
      <c r="AD320" s="267"/>
      <c r="AE320" s="267"/>
      <c r="AF320" s="267"/>
      <c r="AG320" s="267"/>
      <c r="AH320" s="267"/>
      <c r="AI320" s="267"/>
      <c r="AJ320" s="267"/>
      <c r="AK320" s="267"/>
      <c r="AL320" s="267"/>
      <c r="AM320" s="267"/>
      <c r="AN320" s="267"/>
      <c r="AO320" s="267"/>
      <c r="AP320" s="267"/>
      <c r="AQ320" s="267"/>
      <c r="AR320" s="267"/>
      <c r="AS320" s="267"/>
      <c r="AT320" s="267"/>
      <c r="AU320" s="285"/>
    </row>
    <row r="321" spans="1:47" ht="60" customHeight="1" x14ac:dyDescent="0.35">
      <c r="A321" s="282" t="s">
        <v>5419</v>
      </c>
      <c r="B321" s="260" t="s">
        <v>5511</v>
      </c>
      <c r="C321" s="261" t="s">
        <v>5512</v>
      </c>
      <c r="D321" s="264" t="s">
        <v>5513</v>
      </c>
      <c r="E321" s="265" t="s">
        <v>4897</v>
      </c>
      <c r="F321" s="268" t="s">
        <v>5514</v>
      </c>
      <c r="G321" s="271" t="str">
        <f>IF(COUNTIF(H321:AU321,"&lt;&gt;")=0,"",SUMPRODUCT(((Recommendations[ImplStatus]="Implemented")+(Recommendations[ImplStatus]="Compensated"))*ISNUMBER(MATCH(Recommendations[Id],H321:AU321,0)))/COUNTIF(H321:AU321,"&lt;&gt;"))</f>
        <v/>
      </c>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c r="AO321" s="272"/>
      <c r="AP321" s="272"/>
      <c r="AQ321" s="272"/>
      <c r="AR321" s="272"/>
      <c r="AS321" s="272"/>
      <c r="AT321" s="272"/>
      <c r="AU321" s="286"/>
    </row>
    <row r="322" spans="1:47" ht="60" customHeight="1" x14ac:dyDescent="0.35">
      <c r="A322" s="282" t="s">
        <v>5419</v>
      </c>
      <c r="B322" s="260" t="s">
        <v>5511</v>
      </c>
      <c r="C322" s="261" t="s">
        <v>5515</v>
      </c>
      <c r="D322" s="264" t="s">
        <v>5516</v>
      </c>
      <c r="E322" s="265" t="s">
        <v>4897</v>
      </c>
      <c r="F322" s="268" t="s">
        <v>5514</v>
      </c>
      <c r="G322" s="271" t="str">
        <f>IF(COUNTIF(H322:AU322,"&lt;&gt;")=0,"",SUMPRODUCT(((Recommendations[ImplStatus]="Implemented")+(Recommendations[ImplStatus]="Compensated"))*ISNUMBER(MATCH(Recommendations[Id],H322:AU322,0)))/COUNTIF(H322:AU322,"&lt;&gt;"))</f>
        <v/>
      </c>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c r="AN322" s="272"/>
      <c r="AO322" s="272"/>
      <c r="AP322" s="272"/>
      <c r="AQ322" s="272"/>
      <c r="AR322" s="272"/>
      <c r="AS322" s="272"/>
      <c r="AT322" s="272"/>
      <c r="AU322" s="286"/>
    </row>
    <row r="323" spans="1:47" ht="60" customHeight="1" x14ac:dyDescent="0.35">
      <c r="A323" s="282" t="s">
        <v>5419</v>
      </c>
      <c r="B323" s="260" t="s">
        <v>5511</v>
      </c>
      <c r="C323" s="261" t="s">
        <v>5517</v>
      </c>
      <c r="D323" s="264" t="s">
        <v>5518</v>
      </c>
      <c r="E323" s="265" t="s">
        <v>4897</v>
      </c>
      <c r="F323" s="268" t="s">
        <v>5514</v>
      </c>
      <c r="G323" s="271" t="str">
        <f>IF(COUNTIF(H323:AU323,"&lt;&gt;")=0,"",SUMPRODUCT(((Recommendations[ImplStatus]="Implemented")+(Recommendations[ImplStatus]="Compensated"))*ISNUMBER(MATCH(Recommendations[Id],H323:AU323,0)))/COUNTIF(H323:AU323,"&lt;&gt;"))</f>
        <v/>
      </c>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c r="AN323" s="272"/>
      <c r="AO323" s="272"/>
      <c r="AP323" s="272"/>
      <c r="AQ323" s="272"/>
      <c r="AR323" s="272"/>
      <c r="AS323" s="272"/>
      <c r="AT323" s="272"/>
      <c r="AU323" s="286"/>
    </row>
    <row r="324" spans="1:47" ht="60" customHeight="1" x14ac:dyDescent="0.35">
      <c r="A324" s="282" t="s">
        <v>5419</v>
      </c>
      <c r="B324" s="260" t="s">
        <v>5511</v>
      </c>
      <c r="C324" s="261" t="s">
        <v>5519</v>
      </c>
      <c r="D324" s="264" t="s">
        <v>5520</v>
      </c>
      <c r="E324" s="265" t="s">
        <v>4897</v>
      </c>
      <c r="F324" s="268" t="s">
        <v>5514</v>
      </c>
      <c r="G324" s="271" t="str">
        <f>IF(COUNTIF(H324:AU324,"&lt;&gt;")=0,"",SUMPRODUCT(((Recommendations[ImplStatus]="Implemented")+(Recommendations[ImplStatus]="Compensated"))*ISNUMBER(MATCH(Recommendations[Id],H324:AU324,0)))/COUNTIF(H324:AU324,"&lt;&gt;"))</f>
        <v/>
      </c>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c r="AO324" s="272"/>
      <c r="AP324" s="272"/>
      <c r="AQ324" s="272"/>
      <c r="AR324" s="272"/>
      <c r="AS324" s="272"/>
      <c r="AT324" s="272"/>
      <c r="AU324" s="286"/>
    </row>
    <row r="325" spans="1:47" ht="60" customHeight="1" x14ac:dyDescent="0.35">
      <c r="A325" s="282" t="s">
        <v>5419</v>
      </c>
      <c r="B325" s="260" t="s">
        <v>5511</v>
      </c>
      <c r="C325" s="261" t="s">
        <v>5521</v>
      </c>
      <c r="D325" s="264" t="s">
        <v>5522</v>
      </c>
      <c r="E325" s="265" t="s">
        <v>4897</v>
      </c>
      <c r="F325" s="268" t="s">
        <v>5514</v>
      </c>
      <c r="G325" s="271" t="str">
        <f>IF(COUNTIF(H325:AU325,"&lt;&gt;")=0,"",SUMPRODUCT(((Recommendations[ImplStatus]="Implemented")+(Recommendations[ImplStatus]="Compensated"))*ISNUMBER(MATCH(Recommendations[Id],H325:AU325,0)))/COUNTIF(H325:AU325,"&lt;&gt;"))</f>
        <v/>
      </c>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c r="AO325" s="272"/>
      <c r="AP325" s="272"/>
      <c r="AQ325" s="272"/>
      <c r="AR325" s="272"/>
      <c r="AS325" s="272"/>
      <c r="AT325" s="272"/>
      <c r="AU325" s="286"/>
    </row>
    <row r="326" spans="1:47" ht="60" customHeight="1" x14ac:dyDescent="0.35">
      <c r="A326" s="282" t="s">
        <v>5419</v>
      </c>
      <c r="B326" s="260" t="s">
        <v>5511</v>
      </c>
      <c r="C326" s="261" t="s">
        <v>5523</v>
      </c>
      <c r="D326" s="264" t="s">
        <v>5524</v>
      </c>
      <c r="E326" s="265" t="s">
        <v>4897</v>
      </c>
      <c r="F326" s="268" t="s">
        <v>5514</v>
      </c>
      <c r="G326" s="271" t="str">
        <f>IF(COUNTIF(H326:AU326,"&lt;&gt;")=0,"",SUMPRODUCT(((Recommendations[ImplStatus]="Implemented")+(Recommendations[ImplStatus]="Compensated"))*ISNUMBER(MATCH(Recommendations[Id],H326:AU326,0)))/COUNTIF(H326:AU326,"&lt;&gt;"))</f>
        <v/>
      </c>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c r="AN326" s="272"/>
      <c r="AO326" s="272"/>
      <c r="AP326" s="272"/>
      <c r="AQ326" s="272"/>
      <c r="AR326" s="272"/>
      <c r="AS326" s="272"/>
      <c r="AT326" s="272"/>
      <c r="AU326" s="286"/>
    </row>
    <row r="327" spans="1:47" ht="60" customHeight="1" x14ac:dyDescent="0.35">
      <c r="A327" s="282" t="s">
        <v>5419</v>
      </c>
      <c r="B327" s="260" t="s">
        <v>5511</v>
      </c>
      <c r="C327" s="261" t="s">
        <v>5525</v>
      </c>
      <c r="D327" s="264" t="s">
        <v>5526</v>
      </c>
      <c r="E327" s="265" t="s">
        <v>4897</v>
      </c>
      <c r="F327" s="268" t="s">
        <v>5514</v>
      </c>
      <c r="G327" s="271" t="str">
        <f>IF(COUNTIF(H327:AU327,"&lt;&gt;")=0,"",SUMPRODUCT(((Recommendations[ImplStatus]="Implemented")+(Recommendations[ImplStatus]="Compensated"))*ISNUMBER(MATCH(Recommendations[Id],H327:AU327,0)))/COUNTIF(H327:AU327,"&lt;&gt;"))</f>
        <v/>
      </c>
      <c r="H327" s="272"/>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c r="AN327" s="272"/>
      <c r="AO327" s="272"/>
      <c r="AP327" s="272"/>
      <c r="AQ327" s="272"/>
      <c r="AR327" s="272"/>
      <c r="AS327" s="272"/>
      <c r="AT327" s="272"/>
      <c r="AU327" s="286"/>
    </row>
    <row r="328" spans="1:47" ht="60" customHeight="1" x14ac:dyDescent="0.35">
      <c r="A328" s="282" t="s">
        <v>5419</v>
      </c>
      <c r="B328" s="260" t="s">
        <v>5511</v>
      </c>
      <c r="C328" s="261" t="s">
        <v>5527</v>
      </c>
      <c r="D328" s="264" t="s">
        <v>5528</v>
      </c>
      <c r="E328" s="265" t="s">
        <v>4897</v>
      </c>
      <c r="F328" s="268" t="s">
        <v>5514</v>
      </c>
      <c r="G328" s="271" t="str">
        <f>IF(COUNTIF(H328:AU328,"&lt;&gt;")=0,"",SUMPRODUCT(((Recommendations[ImplStatus]="Implemented")+(Recommendations[ImplStatus]="Compensated"))*ISNUMBER(MATCH(Recommendations[Id],H328:AU328,0)))/COUNTIF(H328:AU328,"&lt;&gt;"))</f>
        <v/>
      </c>
      <c r="H328" s="272"/>
      <c r="I328" s="272"/>
      <c r="J328" s="272"/>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86"/>
    </row>
    <row r="329" spans="1:47" ht="60" customHeight="1" x14ac:dyDescent="0.35">
      <c r="A329" s="282" t="s">
        <v>5419</v>
      </c>
      <c r="B329" s="260" t="s">
        <v>5511</v>
      </c>
      <c r="C329" s="261" t="s">
        <v>5529</v>
      </c>
      <c r="D329" s="264" t="s">
        <v>5530</v>
      </c>
      <c r="E329" s="265" t="s">
        <v>4897</v>
      </c>
      <c r="F329" s="268" t="s">
        <v>5514</v>
      </c>
      <c r="G329" s="271" t="str">
        <f>IF(COUNTIF(H329:AU329,"&lt;&gt;")=0,"",SUMPRODUCT(((Recommendations[ImplStatus]="Implemented")+(Recommendations[ImplStatus]="Compensated"))*ISNUMBER(MATCH(Recommendations[Id],H329:AU329,0)))/COUNTIF(H329:AU329,"&lt;&gt;"))</f>
        <v/>
      </c>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c r="AN329" s="272"/>
      <c r="AO329" s="272"/>
      <c r="AP329" s="272"/>
      <c r="AQ329" s="272"/>
      <c r="AR329" s="272"/>
      <c r="AS329" s="272"/>
      <c r="AT329" s="272"/>
      <c r="AU329" s="286"/>
    </row>
    <row r="330" spans="1:47" ht="60" customHeight="1" x14ac:dyDescent="0.35">
      <c r="A330" s="282" t="s">
        <v>5419</v>
      </c>
      <c r="B330" s="260" t="s">
        <v>5511</v>
      </c>
      <c r="C330" s="261" t="s">
        <v>5531</v>
      </c>
      <c r="D330" s="264" t="s">
        <v>5532</v>
      </c>
      <c r="E330" s="265" t="s">
        <v>4897</v>
      </c>
      <c r="F330" s="268" t="s">
        <v>5514</v>
      </c>
      <c r="G330" s="271" t="str">
        <f>IF(COUNTIF(H330:AU330,"&lt;&gt;")=0,"",SUMPRODUCT(((Recommendations[ImplStatus]="Implemented")+(Recommendations[ImplStatus]="Compensated"))*ISNUMBER(MATCH(Recommendations[Id],H330:AU330,0)))/COUNTIF(H330:AU330,"&lt;&gt;"))</f>
        <v/>
      </c>
      <c r="H330" s="272"/>
      <c r="I330" s="272"/>
      <c r="J330" s="272"/>
      <c r="K330" s="272"/>
      <c r="L330" s="272"/>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c r="AN330" s="272"/>
      <c r="AO330" s="272"/>
      <c r="AP330" s="272"/>
      <c r="AQ330" s="272"/>
      <c r="AR330" s="272"/>
      <c r="AS330" s="272"/>
      <c r="AT330" s="272"/>
      <c r="AU330" s="286"/>
    </row>
    <row r="331" spans="1:47" ht="60" customHeight="1" x14ac:dyDescent="0.35">
      <c r="A331" s="282" t="s">
        <v>5419</v>
      </c>
      <c r="B331" s="260" t="s">
        <v>5511</v>
      </c>
      <c r="C331" s="261" t="s">
        <v>5533</v>
      </c>
      <c r="D331" s="264" t="s">
        <v>5534</v>
      </c>
      <c r="E331" s="265" t="s">
        <v>4897</v>
      </c>
      <c r="F331" s="268" t="s">
        <v>5514</v>
      </c>
      <c r="G331" s="271" t="str">
        <f>IF(COUNTIF(H331:AU331,"&lt;&gt;")=0,"",SUMPRODUCT(((Recommendations[ImplStatus]="Implemented")+(Recommendations[ImplStatus]="Compensated"))*ISNUMBER(MATCH(Recommendations[Id],H331:AU331,0)))/COUNTIF(H331:AU331,"&lt;&gt;"))</f>
        <v/>
      </c>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c r="AO331" s="272"/>
      <c r="AP331" s="272"/>
      <c r="AQ331" s="272"/>
      <c r="AR331" s="272"/>
      <c r="AS331" s="272"/>
      <c r="AT331" s="272"/>
      <c r="AU331" s="286"/>
    </row>
    <row r="332" spans="1:47" ht="60" customHeight="1" x14ac:dyDescent="0.35">
      <c r="A332" s="282" t="s">
        <v>5419</v>
      </c>
      <c r="B332" s="260" t="s">
        <v>5511</v>
      </c>
      <c r="C332" s="261" t="s">
        <v>5535</v>
      </c>
      <c r="D332" s="264" t="s">
        <v>5536</v>
      </c>
      <c r="E332" s="265" t="s">
        <v>4897</v>
      </c>
      <c r="F332" s="268" t="s">
        <v>5514</v>
      </c>
      <c r="G332" s="271" t="str">
        <f>IF(COUNTIF(H332:AU332,"&lt;&gt;")=0,"",SUMPRODUCT(((Recommendations[ImplStatus]="Implemented")+(Recommendations[ImplStatus]="Compensated"))*ISNUMBER(MATCH(Recommendations[Id],H332:AU332,0)))/COUNTIF(H332:AU332,"&lt;&gt;"))</f>
        <v/>
      </c>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c r="AO332" s="272"/>
      <c r="AP332" s="272"/>
      <c r="AQ332" s="272"/>
      <c r="AR332" s="272"/>
      <c r="AS332" s="272"/>
      <c r="AT332" s="272"/>
      <c r="AU332" s="286"/>
    </row>
    <row r="333" spans="1:47" ht="60" customHeight="1" x14ac:dyDescent="0.35">
      <c r="A333" s="282" t="s">
        <v>5419</v>
      </c>
      <c r="B333" s="260" t="s">
        <v>5511</v>
      </c>
      <c r="C333" s="261" t="s">
        <v>5537</v>
      </c>
      <c r="D333" s="264" t="s">
        <v>5538</v>
      </c>
      <c r="E333" s="265" t="s">
        <v>4897</v>
      </c>
      <c r="F333" s="268" t="s">
        <v>5514</v>
      </c>
      <c r="G333" s="271" t="str">
        <f>IF(COUNTIF(H333:AU333,"&lt;&gt;")=0,"",SUMPRODUCT(((Recommendations[ImplStatus]="Implemented")+(Recommendations[ImplStatus]="Compensated"))*ISNUMBER(MATCH(Recommendations[Id],H333:AU333,0)))/COUNTIF(H333:AU333,"&lt;&gt;"))</f>
        <v/>
      </c>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c r="AN333" s="272"/>
      <c r="AO333" s="272"/>
      <c r="AP333" s="272"/>
      <c r="AQ333" s="272"/>
      <c r="AR333" s="272"/>
      <c r="AS333" s="272"/>
      <c r="AT333" s="272"/>
      <c r="AU333" s="286"/>
    </row>
    <row r="334" spans="1:47" ht="60" customHeight="1" x14ac:dyDescent="0.35">
      <c r="A334" s="282" t="s">
        <v>5419</v>
      </c>
      <c r="B334" s="260" t="s">
        <v>5511</v>
      </c>
      <c r="C334" s="261" t="s">
        <v>5539</v>
      </c>
      <c r="D334" s="264" t="s">
        <v>5540</v>
      </c>
      <c r="E334" s="265" t="s">
        <v>4897</v>
      </c>
      <c r="F334" s="268" t="s">
        <v>5514</v>
      </c>
      <c r="G334" s="271" t="str">
        <f>IF(COUNTIF(H334:AU334,"&lt;&gt;")=0,"",SUMPRODUCT(((Recommendations[ImplStatus]="Implemented")+(Recommendations[ImplStatus]="Compensated"))*ISNUMBER(MATCH(Recommendations[Id],H334:AU334,0)))/COUNTIF(H334:AU334,"&lt;&gt;"))</f>
        <v/>
      </c>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c r="AO334" s="272"/>
      <c r="AP334" s="272"/>
      <c r="AQ334" s="272"/>
      <c r="AR334" s="272"/>
      <c r="AS334" s="272"/>
      <c r="AT334" s="272"/>
      <c r="AU334" s="286"/>
    </row>
    <row r="335" spans="1:47" ht="60" customHeight="1" x14ac:dyDescent="0.35">
      <c r="A335" s="282" t="s">
        <v>5419</v>
      </c>
      <c r="B335" s="260" t="s">
        <v>5511</v>
      </c>
      <c r="C335" s="261" t="s">
        <v>5541</v>
      </c>
      <c r="D335" s="264" t="s">
        <v>5542</v>
      </c>
      <c r="E335" s="265" t="s">
        <v>4897</v>
      </c>
      <c r="F335" s="268" t="s">
        <v>5514</v>
      </c>
      <c r="G335" s="271" t="str">
        <f>IF(COUNTIF(H335:AU335,"&lt;&gt;")=0,"",SUMPRODUCT(((Recommendations[ImplStatus]="Implemented")+(Recommendations[ImplStatus]="Compensated"))*ISNUMBER(MATCH(Recommendations[Id],H335:AU335,0)))/COUNTIF(H335:AU335,"&lt;&gt;"))</f>
        <v/>
      </c>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2"/>
      <c r="AT335" s="272"/>
      <c r="AU335" s="286"/>
    </row>
    <row r="336" spans="1:47" ht="60" customHeight="1" x14ac:dyDescent="0.35">
      <c r="A336" s="282" t="s">
        <v>5419</v>
      </c>
      <c r="B336" s="260" t="s">
        <v>5511</v>
      </c>
      <c r="C336" s="261" t="s">
        <v>5543</v>
      </c>
      <c r="D336" s="264" t="s">
        <v>5544</v>
      </c>
      <c r="E336" s="265" t="s">
        <v>5012</v>
      </c>
      <c r="F336" s="268" t="s">
        <v>5514</v>
      </c>
      <c r="G336" s="271" t="str">
        <f>IF(COUNTIF(H336:AU336,"&lt;&gt;")=0,"",SUMPRODUCT(((Recommendations[ImplStatus]="Implemented")+(Recommendations[ImplStatus]="Compensated"))*ISNUMBER(MATCH(Recommendations[Id],H336:AU336,0)))/COUNTIF(H336:AU336,"&lt;&gt;"))</f>
        <v/>
      </c>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2"/>
      <c r="AT336" s="272"/>
      <c r="AU336" s="286"/>
    </row>
    <row r="337" spans="1:47" ht="60" customHeight="1" x14ac:dyDescent="0.35">
      <c r="A337" s="282" t="s">
        <v>5419</v>
      </c>
      <c r="B337" s="260" t="s">
        <v>5511</v>
      </c>
      <c r="C337" s="261" t="s">
        <v>5545</v>
      </c>
      <c r="D337" s="264" t="s">
        <v>5546</v>
      </c>
      <c r="E337" s="265" t="s">
        <v>5012</v>
      </c>
      <c r="F337" s="268" t="s">
        <v>5514</v>
      </c>
      <c r="G337" s="271" t="str">
        <f>IF(COUNTIF(H337:AU337,"&lt;&gt;")=0,"",SUMPRODUCT(((Recommendations[ImplStatus]="Implemented")+(Recommendations[ImplStatus]="Compensated"))*ISNUMBER(MATCH(Recommendations[Id],H337:AU337,0)))/COUNTIF(H337:AU337,"&lt;&gt;"))</f>
        <v/>
      </c>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2"/>
      <c r="AT337" s="272"/>
      <c r="AU337" s="286"/>
    </row>
    <row r="338" spans="1:47" ht="60" customHeight="1" x14ac:dyDescent="0.35">
      <c r="A338" s="282" t="s">
        <v>5419</v>
      </c>
      <c r="B338" s="260" t="s">
        <v>5511</v>
      </c>
      <c r="C338" s="261" t="s">
        <v>5547</v>
      </c>
      <c r="D338" s="264" t="s">
        <v>5548</v>
      </c>
      <c r="E338" s="265" t="s">
        <v>4897</v>
      </c>
      <c r="F338" s="268" t="s">
        <v>5514</v>
      </c>
      <c r="G338" s="271" t="str">
        <f>IF(COUNTIF(H338:AU338,"&lt;&gt;")=0,"",SUMPRODUCT(((Recommendations[ImplStatus]="Implemented")+(Recommendations[ImplStatus]="Compensated"))*ISNUMBER(MATCH(Recommendations[Id],H338:AU338,0)))/COUNTIF(H338:AU338,"&lt;&gt;"))</f>
        <v/>
      </c>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c r="AN338" s="272"/>
      <c r="AO338" s="272"/>
      <c r="AP338" s="272"/>
      <c r="AQ338" s="272"/>
      <c r="AR338" s="272"/>
      <c r="AS338" s="272"/>
      <c r="AT338" s="272"/>
      <c r="AU338" s="286"/>
    </row>
    <row r="339" spans="1:47" ht="60" customHeight="1" x14ac:dyDescent="0.35">
      <c r="A339" s="282" t="s">
        <v>5419</v>
      </c>
      <c r="B339" s="260" t="s">
        <v>5511</v>
      </c>
      <c r="C339" s="261" t="s">
        <v>5549</v>
      </c>
      <c r="D339" s="264" t="s">
        <v>5550</v>
      </c>
      <c r="E339" s="265" t="s">
        <v>4897</v>
      </c>
      <c r="F339" s="268" t="s">
        <v>5514</v>
      </c>
      <c r="G339" s="271" t="str">
        <f>IF(COUNTIF(H339:AU339,"&lt;&gt;")=0,"",SUMPRODUCT(((Recommendations[ImplStatus]="Implemented")+(Recommendations[ImplStatus]="Compensated"))*ISNUMBER(MATCH(Recommendations[Id],H339:AU339,0)))/COUNTIF(H339:AU339,"&lt;&gt;"))</f>
        <v/>
      </c>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c r="AN339" s="272"/>
      <c r="AO339" s="272"/>
      <c r="AP339" s="272"/>
      <c r="AQ339" s="272"/>
      <c r="AR339" s="272"/>
      <c r="AS339" s="272"/>
      <c r="AT339" s="272"/>
      <c r="AU339" s="286"/>
    </row>
    <row r="340" spans="1:47" ht="60" customHeight="1" outlineLevel="2" x14ac:dyDescent="0.35">
      <c r="A340" s="281" t="s">
        <v>5419</v>
      </c>
      <c r="B340" s="259" t="s">
        <v>5551</v>
      </c>
      <c r="C340" s="259"/>
      <c r="D340" s="263"/>
      <c r="E340" s="259"/>
      <c r="F340" s="267"/>
      <c r="G340" s="270" t="str">
        <f>IF(COUNTIF(H340:AU340,"&lt;&gt;")=0,"",SUMPRODUCT(((Recommendations[ImplStatus]="Implemented")+(Recommendations[ImplStatus]="Compensated"))*ISNUMBER(MATCH(Recommendations[Id],H340:AU340,0)))/COUNTIF(H340:AU340,"&lt;&gt;"))</f>
        <v/>
      </c>
      <c r="H340" s="267"/>
      <c r="I340" s="267"/>
      <c r="J340" s="267"/>
      <c r="K340" s="267"/>
      <c r="L340" s="267"/>
      <c r="M340" s="267"/>
      <c r="N340" s="267"/>
      <c r="O340" s="267"/>
      <c r="P340" s="267"/>
      <c r="Q340" s="267"/>
      <c r="R340" s="267"/>
      <c r="S340" s="267"/>
      <c r="T340" s="267"/>
      <c r="U340" s="267"/>
      <c r="V340" s="267"/>
      <c r="W340" s="267"/>
      <c r="X340" s="267"/>
      <c r="Y340" s="267"/>
      <c r="Z340" s="267"/>
      <c r="AA340" s="267"/>
      <c r="AB340" s="267"/>
      <c r="AC340" s="267"/>
      <c r="AD340" s="267"/>
      <c r="AE340" s="267"/>
      <c r="AF340" s="267"/>
      <c r="AG340" s="267"/>
      <c r="AH340" s="267"/>
      <c r="AI340" s="267"/>
      <c r="AJ340" s="267"/>
      <c r="AK340" s="267"/>
      <c r="AL340" s="267"/>
      <c r="AM340" s="267"/>
      <c r="AN340" s="267"/>
      <c r="AO340" s="267"/>
      <c r="AP340" s="267"/>
      <c r="AQ340" s="267"/>
      <c r="AR340" s="267"/>
      <c r="AS340" s="267"/>
      <c r="AT340" s="267"/>
      <c r="AU340" s="285"/>
    </row>
    <row r="341" spans="1:47" ht="60" customHeight="1" x14ac:dyDescent="0.35">
      <c r="A341" s="282" t="s">
        <v>5419</v>
      </c>
      <c r="B341" s="260" t="s">
        <v>5551</v>
      </c>
      <c r="C341" s="261" t="s">
        <v>5552</v>
      </c>
      <c r="D341" s="264" t="s">
        <v>5553</v>
      </c>
      <c r="E341" s="265" t="s">
        <v>4868</v>
      </c>
      <c r="F341" s="268" t="s">
        <v>5438</v>
      </c>
      <c r="G341" s="271" t="str">
        <f>IF(COUNTIF(H341:AU341,"&lt;&gt;")=0,"",SUMPRODUCT(((Recommendations[ImplStatus]="Implemented")+(Recommendations[ImplStatus]="Compensated"))*ISNUMBER(MATCH(Recommendations[Id],H341:AU341,0)))/COUNTIF(H341:AU341,"&lt;&gt;"))</f>
        <v/>
      </c>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2"/>
      <c r="AT341" s="272"/>
      <c r="AU341" s="286"/>
    </row>
    <row r="342" spans="1:47" ht="60" customHeight="1" x14ac:dyDescent="0.35">
      <c r="A342" s="282" t="s">
        <v>5419</v>
      </c>
      <c r="B342" s="260" t="s">
        <v>5551</v>
      </c>
      <c r="C342" s="261" t="s">
        <v>5554</v>
      </c>
      <c r="D342" s="264" t="s">
        <v>5555</v>
      </c>
      <c r="E342" s="265" t="s">
        <v>4868</v>
      </c>
      <c r="F342" s="268" t="s">
        <v>5438</v>
      </c>
      <c r="G342" s="271" t="str">
        <f>IF(COUNTIF(H342:AU342,"&lt;&gt;")=0,"",SUMPRODUCT(((Recommendations[ImplStatus]="Implemented")+(Recommendations[ImplStatus]="Compensated"))*ISNUMBER(MATCH(Recommendations[Id],H342:AU342,0)))/COUNTIF(H342:AU342,"&lt;&gt;"))</f>
        <v/>
      </c>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2"/>
      <c r="AT342" s="272"/>
      <c r="AU342" s="286"/>
    </row>
    <row r="343" spans="1:47" ht="60" customHeight="1" x14ac:dyDescent="0.35">
      <c r="A343" s="282" t="s">
        <v>5419</v>
      </c>
      <c r="B343" s="260" t="s">
        <v>5551</v>
      </c>
      <c r="C343" s="261" t="s">
        <v>5556</v>
      </c>
      <c r="D343" s="264" t="s">
        <v>5557</v>
      </c>
      <c r="E343" s="265" t="s">
        <v>4964</v>
      </c>
      <c r="F343" s="268" t="s">
        <v>5558</v>
      </c>
      <c r="G343" s="271" t="str">
        <f>IF(COUNTIF(H343:AU343,"&lt;&gt;")=0,"",SUMPRODUCT(((Recommendations[ImplStatus]="Implemented")+(Recommendations[ImplStatus]="Compensated"))*ISNUMBER(MATCH(Recommendations[Id],H343:AU343,0)))/COUNTIF(H343:AU343,"&lt;&gt;"))</f>
        <v/>
      </c>
      <c r="H343" s="272"/>
      <c r="I343" s="272"/>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2"/>
      <c r="AT343" s="272"/>
      <c r="AU343" s="286"/>
    </row>
    <row r="344" spans="1:47" ht="60" customHeight="1" x14ac:dyDescent="0.35">
      <c r="A344" s="282" t="s">
        <v>5419</v>
      </c>
      <c r="B344" s="260" t="s">
        <v>5551</v>
      </c>
      <c r="C344" s="261" t="s">
        <v>5559</v>
      </c>
      <c r="D344" s="264" t="s">
        <v>5560</v>
      </c>
      <c r="E344" s="265" t="s">
        <v>4897</v>
      </c>
      <c r="F344" s="268" t="s">
        <v>5558</v>
      </c>
      <c r="G344" s="271" t="str">
        <f>IF(COUNTIF(H344:AU344,"&lt;&gt;")=0,"",SUMPRODUCT(((Recommendations[ImplStatus]="Implemented")+(Recommendations[ImplStatus]="Compensated"))*ISNUMBER(MATCH(Recommendations[Id],H344:AU344,0)))/COUNTIF(H344:AU344,"&lt;&gt;"))</f>
        <v/>
      </c>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c r="AN344" s="272"/>
      <c r="AO344" s="272"/>
      <c r="AP344" s="272"/>
      <c r="AQ344" s="272"/>
      <c r="AR344" s="272"/>
      <c r="AS344" s="272"/>
      <c r="AT344" s="272"/>
      <c r="AU344" s="286"/>
    </row>
    <row r="345" spans="1:47" ht="60" customHeight="1" x14ac:dyDescent="0.35">
      <c r="A345" s="282" t="s">
        <v>5419</v>
      </c>
      <c r="B345" s="260" t="s">
        <v>5551</v>
      </c>
      <c r="C345" s="261" t="s">
        <v>5561</v>
      </c>
      <c r="D345" s="264" t="s">
        <v>5562</v>
      </c>
      <c r="E345" s="265" t="s">
        <v>4897</v>
      </c>
      <c r="F345" s="268" t="s">
        <v>5558</v>
      </c>
      <c r="G345" s="271" t="str">
        <f>IF(COUNTIF(H345:AU345,"&lt;&gt;")=0,"",SUMPRODUCT(((Recommendations[ImplStatus]="Implemented")+(Recommendations[ImplStatus]="Compensated"))*ISNUMBER(MATCH(Recommendations[Id],H345:AU345,0)))/COUNTIF(H345:AU345,"&lt;&gt;"))</f>
        <v/>
      </c>
      <c r="H345" s="272"/>
      <c r="I345" s="272"/>
      <c r="J345" s="272"/>
      <c r="K345" s="272"/>
      <c r="L345" s="272"/>
      <c r="M345" s="272"/>
      <c r="N345" s="272"/>
      <c r="O345" s="272"/>
      <c r="P345" s="272"/>
      <c r="Q345" s="272"/>
      <c r="R345" s="272"/>
      <c r="S345" s="272"/>
      <c r="T345" s="272"/>
      <c r="U345" s="272"/>
      <c r="V345" s="272"/>
      <c r="W345" s="272"/>
      <c r="X345" s="272"/>
      <c r="Y345" s="272"/>
      <c r="Z345" s="272"/>
      <c r="AA345" s="272"/>
      <c r="AB345" s="272"/>
      <c r="AC345" s="272"/>
      <c r="AD345" s="272"/>
      <c r="AE345" s="272"/>
      <c r="AF345" s="272"/>
      <c r="AG345" s="272"/>
      <c r="AH345" s="272"/>
      <c r="AI345" s="272"/>
      <c r="AJ345" s="272"/>
      <c r="AK345" s="272"/>
      <c r="AL345" s="272"/>
      <c r="AM345" s="272"/>
      <c r="AN345" s="272"/>
      <c r="AO345" s="272"/>
      <c r="AP345" s="272"/>
      <c r="AQ345" s="272"/>
      <c r="AR345" s="272"/>
      <c r="AS345" s="272"/>
      <c r="AT345" s="272"/>
      <c r="AU345" s="286"/>
    </row>
    <row r="346" spans="1:47" ht="60" customHeight="1" x14ac:dyDescent="0.35">
      <c r="A346" s="282" t="s">
        <v>5419</v>
      </c>
      <c r="B346" s="260" t="s">
        <v>5551</v>
      </c>
      <c r="C346" s="261" t="s">
        <v>5563</v>
      </c>
      <c r="D346" s="264" t="s">
        <v>5564</v>
      </c>
      <c r="E346" s="265" t="s">
        <v>4897</v>
      </c>
      <c r="F346" s="268" t="s">
        <v>5558</v>
      </c>
      <c r="G346" s="271" t="str">
        <f>IF(COUNTIF(H346:AU346,"&lt;&gt;")=0,"",SUMPRODUCT(((Recommendations[ImplStatus]="Implemented")+(Recommendations[ImplStatus]="Compensated"))*ISNUMBER(MATCH(Recommendations[Id],H346:AU346,0)))/COUNTIF(H346:AU346,"&lt;&gt;"))</f>
        <v/>
      </c>
      <c r="H346" s="272"/>
      <c r="I346" s="272"/>
      <c r="J346" s="272"/>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c r="AN346" s="272"/>
      <c r="AO346" s="272"/>
      <c r="AP346" s="272"/>
      <c r="AQ346" s="272"/>
      <c r="AR346" s="272"/>
      <c r="AS346" s="272"/>
      <c r="AT346" s="272"/>
      <c r="AU346" s="286"/>
    </row>
    <row r="347" spans="1:47" ht="60" customHeight="1" x14ac:dyDescent="0.35">
      <c r="A347" s="282" t="s">
        <v>5419</v>
      </c>
      <c r="B347" s="260" t="s">
        <v>5551</v>
      </c>
      <c r="C347" s="261" t="s">
        <v>5565</v>
      </c>
      <c r="D347" s="264" t="s">
        <v>5566</v>
      </c>
      <c r="E347" s="265" t="s">
        <v>4897</v>
      </c>
      <c r="F347" s="268" t="s">
        <v>5558</v>
      </c>
      <c r="G347" s="271" t="str">
        <f>IF(COUNTIF(H347:AU347,"&lt;&gt;")=0,"",SUMPRODUCT(((Recommendations[ImplStatus]="Implemented")+(Recommendations[ImplStatus]="Compensated"))*ISNUMBER(MATCH(Recommendations[Id],H347:AU347,0)))/COUNTIF(H347:AU347,"&lt;&gt;"))</f>
        <v/>
      </c>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2"/>
      <c r="AT347" s="272"/>
      <c r="AU347" s="286"/>
    </row>
    <row r="348" spans="1:47" ht="60" customHeight="1" x14ac:dyDescent="0.35">
      <c r="A348" s="282" t="s">
        <v>5419</v>
      </c>
      <c r="B348" s="260" t="s">
        <v>5551</v>
      </c>
      <c r="C348" s="261" t="s">
        <v>5567</v>
      </c>
      <c r="D348" s="264" t="s">
        <v>5568</v>
      </c>
      <c r="E348" s="265" t="s">
        <v>4897</v>
      </c>
      <c r="F348" s="268" t="s">
        <v>5558</v>
      </c>
      <c r="G348" s="271" t="str">
        <f>IF(COUNTIF(H348:AU348,"&lt;&gt;")=0,"",SUMPRODUCT(((Recommendations[ImplStatus]="Implemented")+(Recommendations[ImplStatus]="Compensated"))*ISNUMBER(MATCH(Recommendations[Id],H348:AU348,0)))/COUNTIF(H348:AU348,"&lt;&gt;"))</f>
        <v/>
      </c>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2"/>
      <c r="AT348" s="272"/>
      <c r="AU348" s="286"/>
    </row>
    <row r="349" spans="1:47" ht="60" customHeight="1" x14ac:dyDescent="0.35">
      <c r="A349" s="282" t="s">
        <v>5419</v>
      </c>
      <c r="B349" s="260" t="s">
        <v>5551</v>
      </c>
      <c r="C349" s="261" t="s">
        <v>5569</v>
      </c>
      <c r="D349" s="264" t="s">
        <v>5570</v>
      </c>
      <c r="E349" s="265" t="s">
        <v>4897</v>
      </c>
      <c r="F349" s="268" t="s">
        <v>5558</v>
      </c>
      <c r="G349" s="271">
        <f>IF(COUNTIF(H349:AU349,"&lt;&gt;")=0,"",SUMPRODUCT(((Recommendations[ImplStatus]="Implemented")+(Recommendations[ImplStatus]="Compensated"))*ISNUMBER(MATCH(Recommendations[Id],H349:AU349,0)))/COUNTIF(H349:AU349,"&lt;&gt;"))</f>
        <v>0</v>
      </c>
      <c r="H349" s="272" t="s">
        <v>14</v>
      </c>
      <c r="I349" s="272" t="s">
        <v>31</v>
      </c>
      <c r="J349" s="272" t="s">
        <v>41</v>
      </c>
      <c r="K349" s="272" t="s">
        <v>44</v>
      </c>
      <c r="L349" s="272" t="s">
        <v>47</v>
      </c>
      <c r="M349" s="272" t="s">
        <v>50</v>
      </c>
      <c r="N349" s="272" t="s">
        <v>61</v>
      </c>
      <c r="O349" s="272" t="s">
        <v>83</v>
      </c>
      <c r="P349" s="272" t="s">
        <v>108</v>
      </c>
      <c r="Q349" s="272"/>
      <c r="R349" s="272"/>
      <c r="S349" s="272"/>
      <c r="T349" s="272"/>
      <c r="U349" s="272"/>
      <c r="V349" s="272"/>
      <c r="W349" s="272"/>
      <c r="X349" s="272"/>
      <c r="Y349" s="272"/>
      <c r="Z349" s="272"/>
      <c r="AA349" s="272"/>
      <c r="AB349" s="272"/>
      <c r="AC349" s="272"/>
      <c r="AD349" s="272"/>
      <c r="AE349" s="272"/>
      <c r="AF349" s="272"/>
      <c r="AG349" s="272"/>
      <c r="AH349" s="272"/>
      <c r="AI349" s="272"/>
      <c r="AJ349" s="272"/>
      <c r="AK349" s="272"/>
      <c r="AL349" s="272"/>
      <c r="AM349" s="272"/>
      <c r="AN349" s="272"/>
      <c r="AO349" s="272"/>
      <c r="AP349" s="272"/>
      <c r="AQ349" s="272"/>
      <c r="AR349" s="272"/>
      <c r="AS349" s="272"/>
      <c r="AT349" s="272"/>
      <c r="AU349" s="286"/>
    </row>
    <row r="350" spans="1:47" ht="60" customHeight="1" x14ac:dyDescent="0.35">
      <c r="A350" s="282" t="s">
        <v>5419</v>
      </c>
      <c r="B350" s="260" t="s">
        <v>5551</v>
      </c>
      <c r="C350" s="261" t="s">
        <v>5571</v>
      </c>
      <c r="D350" s="264" t="s">
        <v>5572</v>
      </c>
      <c r="E350" s="265" t="s">
        <v>4868</v>
      </c>
      <c r="F350" s="268" t="s">
        <v>5558</v>
      </c>
      <c r="G350" s="271" t="str">
        <f>IF(COUNTIF(H350:AU350,"&lt;&gt;")=0,"",SUMPRODUCT(((Recommendations[ImplStatus]="Implemented")+(Recommendations[ImplStatus]="Compensated"))*ISNUMBER(MATCH(Recommendations[Id],H350:AU350,0)))/COUNTIF(H350:AU350,"&lt;&gt;"))</f>
        <v/>
      </c>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c r="AN350" s="272"/>
      <c r="AO350" s="272"/>
      <c r="AP350" s="272"/>
      <c r="AQ350" s="272"/>
      <c r="AR350" s="272"/>
      <c r="AS350" s="272"/>
      <c r="AT350" s="272"/>
      <c r="AU350" s="286"/>
    </row>
    <row r="351" spans="1:47" ht="60" customHeight="1" x14ac:dyDescent="0.35">
      <c r="A351" s="282" t="s">
        <v>5419</v>
      </c>
      <c r="B351" s="260" t="s">
        <v>5551</v>
      </c>
      <c r="C351" s="261" t="s">
        <v>5573</v>
      </c>
      <c r="D351" s="264" t="s">
        <v>5574</v>
      </c>
      <c r="E351" s="265" t="s">
        <v>4868</v>
      </c>
      <c r="F351" s="268" t="s">
        <v>5558</v>
      </c>
      <c r="G351" s="271" t="str">
        <f>IF(COUNTIF(H351:AU351,"&lt;&gt;")=0,"",SUMPRODUCT(((Recommendations[ImplStatus]="Implemented")+(Recommendations[ImplStatus]="Compensated"))*ISNUMBER(MATCH(Recommendations[Id],H351:AU351,0)))/COUNTIF(H351:AU351,"&lt;&gt;"))</f>
        <v/>
      </c>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2"/>
      <c r="AR351" s="272"/>
      <c r="AS351" s="272"/>
      <c r="AT351" s="272"/>
      <c r="AU351" s="286"/>
    </row>
    <row r="352" spans="1:47" ht="60" customHeight="1" x14ac:dyDescent="0.35">
      <c r="A352" s="282" t="s">
        <v>5419</v>
      </c>
      <c r="B352" s="260" t="s">
        <v>5551</v>
      </c>
      <c r="C352" s="261" t="s">
        <v>5575</v>
      </c>
      <c r="D352" s="264" t="s">
        <v>5576</v>
      </c>
      <c r="E352" s="265" t="s">
        <v>4868</v>
      </c>
      <c r="F352" s="268" t="s">
        <v>5558</v>
      </c>
      <c r="G352" s="271" t="str">
        <f>IF(COUNTIF(H352:AU352,"&lt;&gt;")=0,"",SUMPRODUCT(((Recommendations[ImplStatus]="Implemented")+(Recommendations[ImplStatus]="Compensated"))*ISNUMBER(MATCH(Recommendations[Id],H352:AU352,0)))/COUNTIF(H352:AU352,"&lt;&gt;"))</f>
        <v/>
      </c>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2"/>
      <c r="AR352" s="272"/>
      <c r="AS352" s="272"/>
      <c r="AT352" s="272"/>
      <c r="AU352" s="286"/>
    </row>
    <row r="353" spans="1:47" ht="60" customHeight="1" x14ac:dyDescent="0.35">
      <c r="A353" s="282" t="s">
        <v>5419</v>
      </c>
      <c r="B353" s="260" t="s">
        <v>5551</v>
      </c>
      <c r="C353" s="261" t="s">
        <v>5577</v>
      </c>
      <c r="D353" s="264" t="s">
        <v>5578</v>
      </c>
      <c r="E353" s="265" t="s">
        <v>4964</v>
      </c>
      <c r="F353" s="268" t="s">
        <v>5438</v>
      </c>
      <c r="G353" s="271" t="str">
        <f>IF(COUNTIF(H353:AU353,"&lt;&gt;")=0,"",SUMPRODUCT(((Recommendations[ImplStatus]="Implemented")+(Recommendations[ImplStatus]="Compensated"))*ISNUMBER(MATCH(Recommendations[Id],H353:AU353,0)))/COUNTIF(H353:AU353,"&lt;&gt;"))</f>
        <v/>
      </c>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86"/>
    </row>
    <row r="354" spans="1:47" ht="60" customHeight="1" outlineLevel="2" x14ac:dyDescent="0.35">
      <c r="A354" s="281" t="s">
        <v>5419</v>
      </c>
      <c r="B354" s="259" t="s">
        <v>5579</v>
      </c>
      <c r="C354" s="259"/>
      <c r="D354" s="263"/>
      <c r="E354" s="259"/>
      <c r="F354" s="267"/>
      <c r="G354" s="270" t="str">
        <f>IF(COUNTIF(H354:AU354,"&lt;&gt;")=0,"",SUMPRODUCT(((Recommendations[ImplStatus]="Implemented")+(Recommendations[ImplStatus]="Compensated"))*ISNUMBER(MATCH(Recommendations[Id],H354:AU354,0)))/COUNTIF(H354:AU354,"&lt;&gt;"))</f>
        <v/>
      </c>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67"/>
      <c r="AL354" s="267"/>
      <c r="AM354" s="267"/>
      <c r="AN354" s="267"/>
      <c r="AO354" s="267"/>
      <c r="AP354" s="267"/>
      <c r="AQ354" s="267"/>
      <c r="AR354" s="267"/>
      <c r="AS354" s="267"/>
      <c r="AT354" s="267"/>
      <c r="AU354" s="285"/>
    </row>
    <row r="355" spans="1:47" ht="60" customHeight="1" x14ac:dyDescent="0.35">
      <c r="A355" s="282" t="s">
        <v>5419</v>
      </c>
      <c r="B355" s="260" t="s">
        <v>5579</v>
      </c>
      <c r="C355" s="261" t="s">
        <v>5580</v>
      </c>
      <c r="D355" s="264" t="s">
        <v>5581</v>
      </c>
      <c r="E355" s="265" t="s">
        <v>4964</v>
      </c>
      <c r="F355" s="268" t="s">
        <v>5582</v>
      </c>
      <c r="G355" s="271" t="str">
        <f>IF(COUNTIF(H355:AU355,"&lt;&gt;")=0,"",SUMPRODUCT(((Recommendations[ImplStatus]="Implemented")+(Recommendations[ImplStatus]="Compensated"))*ISNUMBER(MATCH(Recommendations[Id],H355:AU355,0)))/COUNTIF(H355:AU355,"&lt;&gt;"))</f>
        <v/>
      </c>
      <c r="H355" s="272"/>
      <c r="I355" s="272"/>
      <c r="J355" s="272"/>
      <c r="K355" s="272"/>
      <c r="L355" s="272"/>
      <c r="M355" s="272"/>
      <c r="N355" s="272"/>
      <c r="O355" s="272"/>
      <c r="P355" s="272"/>
      <c r="Q355" s="272"/>
      <c r="R355" s="272"/>
      <c r="S355" s="272"/>
      <c r="T355" s="272"/>
      <c r="U355" s="272"/>
      <c r="V355" s="272"/>
      <c r="W355" s="272"/>
      <c r="X355" s="272"/>
      <c r="Y355" s="272"/>
      <c r="Z355" s="272"/>
      <c r="AA355" s="272"/>
      <c r="AB355" s="272"/>
      <c r="AC355" s="272"/>
      <c r="AD355" s="272"/>
      <c r="AE355" s="272"/>
      <c r="AF355" s="272"/>
      <c r="AG355" s="272"/>
      <c r="AH355" s="272"/>
      <c r="AI355" s="272"/>
      <c r="AJ355" s="272"/>
      <c r="AK355" s="272"/>
      <c r="AL355" s="272"/>
      <c r="AM355" s="272"/>
      <c r="AN355" s="272"/>
      <c r="AO355" s="272"/>
      <c r="AP355" s="272"/>
      <c r="AQ355" s="272"/>
      <c r="AR355" s="272"/>
      <c r="AS355" s="272"/>
      <c r="AT355" s="272"/>
      <c r="AU355" s="286"/>
    </row>
    <row r="356" spans="1:47" ht="60" customHeight="1" x14ac:dyDescent="0.35">
      <c r="A356" s="282" t="s">
        <v>5419</v>
      </c>
      <c r="B356" s="260" t="s">
        <v>5579</v>
      </c>
      <c r="C356" s="261" t="s">
        <v>5583</v>
      </c>
      <c r="D356" s="264" t="s">
        <v>5584</v>
      </c>
      <c r="E356" s="265" t="s">
        <v>4964</v>
      </c>
      <c r="F356" s="268" t="s">
        <v>5582</v>
      </c>
      <c r="G356" s="271" t="str">
        <f>IF(COUNTIF(H356:AU356,"&lt;&gt;")=0,"",SUMPRODUCT(((Recommendations[ImplStatus]="Implemented")+(Recommendations[ImplStatus]="Compensated"))*ISNUMBER(MATCH(Recommendations[Id],H356:AU356,0)))/COUNTIF(H356:AU356,"&lt;&gt;"))</f>
        <v/>
      </c>
      <c r="H356" s="272"/>
      <c r="I356" s="272"/>
      <c r="J356" s="272"/>
      <c r="K356" s="272"/>
      <c r="L356" s="272"/>
      <c r="M356" s="272"/>
      <c r="N356" s="272"/>
      <c r="O356" s="272"/>
      <c r="P356" s="272"/>
      <c r="Q356" s="272"/>
      <c r="R356" s="272"/>
      <c r="S356" s="272"/>
      <c r="T356" s="272"/>
      <c r="U356" s="272"/>
      <c r="V356" s="272"/>
      <c r="W356" s="272"/>
      <c r="X356" s="272"/>
      <c r="Y356" s="272"/>
      <c r="Z356" s="272"/>
      <c r="AA356" s="272"/>
      <c r="AB356" s="272"/>
      <c r="AC356" s="272"/>
      <c r="AD356" s="272"/>
      <c r="AE356" s="272"/>
      <c r="AF356" s="272"/>
      <c r="AG356" s="272"/>
      <c r="AH356" s="272"/>
      <c r="AI356" s="272"/>
      <c r="AJ356" s="272"/>
      <c r="AK356" s="272"/>
      <c r="AL356" s="272"/>
      <c r="AM356" s="272"/>
      <c r="AN356" s="272"/>
      <c r="AO356" s="272"/>
      <c r="AP356" s="272"/>
      <c r="AQ356" s="272"/>
      <c r="AR356" s="272"/>
      <c r="AS356" s="272"/>
      <c r="AT356" s="272"/>
      <c r="AU356" s="286"/>
    </row>
    <row r="357" spans="1:47" ht="60" customHeight="1" x14ac:dyDescent="0.35">
      <c r="A357" s="282" t="s">
        <v>5419</v>
      </c>
      <c r="B357" s="260" t="s">
        <v>5579</v>
      </c>
      <c r="C357" s="261" t="s">
        <v>5585</v>
      </c>
      <c r="D357" s="264" t="s">
        <v>5586</v>
      </c>
      <c r="E357" s="265" t="s">
        <v>5012</v>
      </c>
      <c r="F357" s="268" t="s">
        <v>5582</v>
      </c>
      <c r="G357" s="271" t="str">
        <f>IF(COUNTIF(H357:AU357,"&lt;&gt;")=0,"",SUMPRODUCT(((Recommendations[ImplStatus]="Implemented")+(Recommendations[ImplStatus]="Compensated"))*ISNUMBER(MATCH(Recommendations[Id],H357:AU357,0)))/COUNTIF(H357:AU357,"&lt;&gt;"))</f>
        <v/>
      </c>
      <c r="H357" s="272"/>
      <c r="I357" s="272"/>
      <c r="J357" s="272"/>
      <c r="K357" s="272"/>
      <c r="L357" s="272"/>
      <c r="M357" s="272"/>
      <c r="N357" s="272"/>
      <c r="O357" s="272"/>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c r="AN357" s="272"/>
      <c r="AO357" s="272"/>
      <c r="AP357" s="272"/>
      <c r="AQ357" s="272"/>
      <c r="AR357" s="272"/>
      <c r="AS357" s="272"/>
      <c r="AT357" s="272"/>
      <c r="AU357" s="286"/>
    </row>
    <row r="358" spans="1:47" ht="60" customHeight="1" x14ac:dyDescent="0.35">
      <c r="A358" s="282" t="s">
        <v>5419</v>
      </c>
      <c r="B358" s="260" t="s">
        <v>5579</v>
      </c>
      <c r="C358" s="261" t="s">
        <v>5587</v>
      </c>
      <c r="D358" s="264" t="s">
        <v>5588</v>
      </c>
      <c r="E358" s="265" t="s">
        <v>5012</v>
      </c>
      <c r="F358" s="268" t="s">
        <v>5582</v>
      </c>
      <c r="G358" s="271" t="str">
        <f>IF(COUNTIF(H358:AU358,"&lt;&gt;")=0,"",SUMPRODUCT(((Recommendations[ImplStatus]="Implemented")+(Recommendations[ImplStatus]="Compensated"))*ISNUMBER(MATCH(Recommendations[Id],H358:AU358,0)))/COUNTIF(H358:AU358,"&lt;&gt;"))</f>
        <v/>
      </c>
      <c r="H358" s="272"/>
      <c r="I358" s="272"/>
      <c r="J358" s="272"/>
      <c r="K358" s="272"/>
      <c r="L358" s="272"/>
      <c r="M358" s="272"/>
      <c r="N358" s="272"/>
      <c r="O358" s="272"/>
      <c r="P358" s="272"/>
      <c r="Q358" s="272"/>
      <c r="R358" s="272"/>
      <c r="S358" s="272"/>
      <c r="T358" s="272"/>
      <c r="U358" s="272"/>
      <c r="V358" s="272"/>
      <c r="W358" s="272"/>
      <c r="X358" s="272"/>
      <c r="Y358" s="272"/>
      <c r="Z358" s="272"/>
      <c r="AA358" s="272"/>
      <c r="AB358" s="272"/>
      <c r="AC358" s="272"/>
      <c r="AD358" s="272"/>
      <c r="AE358" s="272"/>
      <c r="AF358" s="272"/>
      <c r="AG358" s="272"/>
      <c r="AH358" s="272"/>
      <c r="AI358" s="272"/>
      <c r="AJ358" s="272"/>
      <c r="AK358" s="272"/>
      <c r="AL358" s="272"/>
      <c r="AM358" s="272"/>
      <c r="AN358" s="272"/>
      <c r="AO358" s="272"/>
      <c r="AP358" s="272"/>
      <c r="AQ358" s="272"/>
      <c r="AR358" s="272"/>
      <c r="AS358" s="272"/>
      <c r="AT358" s="272"/>
      <c r="AU358" s="286"/>
    </row>
    <row r="359" spans="1:47" ht="60" customHeight="1" x14ac:dyDescent="0.35">
      <c r="A359" s="282" t="s">
        <v>5419</v>
      </c>
      <c r="B359" s="260" t="s">
        <v>5579</v>
      </c>
      <c r="C359" s="261" t="s">
        <v>5589</v>
      </c>
      <c r="D359" s="264" t="s">
        <v>5590</v>
      </c>
      <c r="E359" s="265" t="s">
        <v>5012</v>
      </c>
      <c r="F359" s="268" t="s">
        <v>5582</v>
      </c>
      <c r="G359" s="271" t="str">
        <f>IF(COUNTIF(H359:AU359,"&lt;&gt;")=0,"",SUMPRODUCT(((Recommendations[ImplStatus]="Implemented")+(Recommendations[ImplStatus]="Compensated"))*ISNUMBER(MATCH(Recommendations[Id],H359:AU359,0)))/COUNTIF(H359:AU359,"&lt;&gt;"))</f>
        <v/>
      </c>
      <c r="H359" s="272"/>
      <c r="I359" s="272"/>
      <c r="J359" s="272"/>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2"/>
      <c r="AT359" s="272"/>
      <c r="AU359" s="286"/>
    </row>
    <row r="360" spans="1:47" ht="60" customHeight="1" x14ac:dyDescent="0.35">
      <c r="A360" s="282" t="s">
        <v>5419</v>
      </c>
      <c r="B360" s="260" t="s">
        <v>5579</v>
      </c>
      <c r="C360" s="261" t="s">
        <v>5591</v>
      </c>
      <c r="D360" s="264" t="s">
        <v>5592</v>
      </c>
      <c r="E360" s="265" t="s">
        <v>4964</v>
      </c>
      <c r="F360" s="268" t="s">
        <v>5582</v>
      </c>
      <c r="G360" s="271" t="str">
        <f>IF(COUNTIF(H360:AU360,"&lt;&gt;")=0,"",SUMPRODUCT(((Recommendations[ImplStatus]="Implemented")+(Recommendations[ImplStatus]="Compensated"))*ISNUMBER(MATCH(Recommendations[Id],H360:AU360,0)))/COUNTIF(H360:AU360,"&lt;&gt;"))</f>
        <v/>
      </c>
      <c r="H360" s="272"/>
      <c r="I360" s="272"/>
      <c r="J360" s="272"/>
      <c r="K360" s="272"/>
      <c r="L360" s="272"/>
      <c r="M360" s="272"/>
      <c r="N360" s="272"/>
      <c r="O360" s="272"/>
      <c r="P360" s="272"/>
      <c r="Q360" s="272"/>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2"/>
      <c r="AT360" s="272"/>
      <c r="AU360" s="286"/>
    </row>
    <row r="361" spans="1:47" ht="60" customHeight="1" x14ac:dyDescent="0.35">
      <c r="A361" s="282" t="s">
        <v>5419</v>
      </c>
      <c r="B361" s="260" t="s">
        <v>5579</v>
      </c>
      <c r="C361" s="261" t="s">
        <v>5593</v>
      </c>
      <c r="D361" s="264" t="s">
        <v>5594</v>
      </c>
      <c r="E361" s="265" t="s">
        <v>4897</v>
      </c>
      <c r="F361" s="268" t="s">
        <v>5582</v>
      </c>
      <c r="G361" s="271" t="str">
        <f>IF(COUNTIF(H361:AU361,"&lt;&gt;")=0,"",SUMPRODUCT(((Recommendations[ImplStatus]="Implemented")+(Recommendations[ImplStatus]="Compensated"))*ISNUMBER(MATCH(Recommendations[Id],H361:AU361,0)))/COUNTIF(H361:AU361,"&lt;&gt;"))</f>
        <v/>
      </c>
      <c r="H361" s="272"/>
      <c r="I361" s="272"/>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2"/>
      <c r="AT361" s="272"/>
      <c r="AU361" s="286"/>
    </row>
    <row r="362" spans="1:47" ht="60" customHeight="1" x14ac:dyDescent="0.35">
      <c r="A362" s="282" t="s">
        <v>5419</v>
      </c>
      <c r="B362" s="260" t="s">
        <v>5579</v>
      </c>
      <c r="C362" s="261" t="s">
        <v>5595</v>
      </c>
      <c r="D362" s="264" t="s">
        <v>5596</v>
      </c>
      <c r="E362" s="265" t="s">
        <v>5012</v>
      </c>
      <c r="F362" s="268" t="s">
        <v>5582</v>
      </c>
      <c r="G362" s="271" t="str">
        <f>IF(COUNTIF(H362:AU362,"&lt;&gt;")=0,"",SUMPRODUCT(((Recommendations[ImplStatus]="Implemented")+(Recommendations[ImplStatus]="Compensated"))*ISNUMBER(MATCH(Recommendations[Id],H362:AU362,0)))/COUNTIF(H362:AU362,"&lt;&gt;"))</f>
        <v/>
      </c>
      <c r="H362" s="272"/>
      <c r="I362" s="272"/>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c r="AO362" s="272"/>
      <c r="AP362" s="272"/>
      <c r="AQ362" s="272"/>
      <c r="AR362" s="272"/>
      <c r="AS362" s="272"/>
      <c r="AT362" s="272"/>
      <c r="AU362" s="286"/>
    </row>
    <row r="363" spans="1:47" ht="60" customHeight="1" x14ac:dyDescent="0.35">
      <c r="A363" s="282" t="s">
        <v>5419</v>
      </c>
      <c r="B363" s="260" t="s">
        <v>5579</v>
      </c>
      <c r="C363" s="261" t="s">
        <v>5597</v>
      </c>
      <c r="D363" s="264" t="s">
        <v>5598</v>
      </c>
      <c r="E363" s="265" t="s">
        <v>5012</v>
      </c>
      <c r="F363" s="268" t="s">
        <v>5582</v>
      </c>
      <c r="G363" s="271" t="str">
        <f>IF(COUNTIF(H363:AU363,"&lt;&gt;")=0,"",SUMPRODUCT(((Recommendations[ImplStatus]="Implemented")+(Recommendations[ImplStatus]="Compensated"))*ISNUMBER(MATCH(Recommendations[Id],H363:AU363,0)))/COUNTIF(H363:AU363,"&lt;&gt;"))</f>
        <v/>
      </c>
      <c r="H363" s="272"/>
      <c r="I363" s="272"/>
      <c r="J363" s="272"/>
      <c r="K363" s="272"/>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c r="AN363" s="272"/>
      <c r="AO363" s="272"/>
      <c r="AP363" s="272"/>
      <c r="AQ363" s="272"/>
      <c r="AR363" s="272"/>
      <c r="AS363" s="272"/>
      <c r="AT363" s="272"/>
      <c r="AU363" s="286"/>
    </row>
    <row r="364" spans="1:47" ht="60" customHeight="1" x14ac:dyDescent="0.35">
      <c r="A364" s="282" t="s">
        <v>5419</v>
      </c>
      <c r="B364" s="260" t="s">
        <v>5579</v>
      </c>
      <c r="C364" s="261" t="s">
        <v>5599</v>
      </c>
      <c r="D364" s="264" t="s">
        <v>5600</v>
      </c>
      <c r="E364" s="265" t="s">
        <v>5012</v>
      </c>
      <c r="F364" s="268" t="s">
        <v>5582</v>
      </c>
      <c r="G364" s="271" t="str">
        <f>IF(COUNTIF(H364:AU364,"&lt;&gt;")=0,"",SUMPRODUCT(((Recommendations[ImplStatus]="Implemented")+(Recommendations[ImplStatus]="Compensated"))*ISNUMBER(MATCH(Recommendations[Id],H364:AU364,0)))/COUNTIF(H364:AU364,"&lt;&gt;"))</f>
        <v/>
      </c>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c r="AN364" s="272"/>
      <c r="AO364" s="272"/>
      <c r="AP364" s="272"/>
      <c r="AQ364" s="272"/>
      <c r="AR364" s="272"/>
      <c r="AS364" s="272"/>
      <c r="AT364" s="272"/>
      <c r="AU364" s="286"/>
    </row>
    <row r="365" spans="1:47" ht="60" customHeight="1" x14ac:dyDescent="0.35">
      <c r="A365" s="282" t="s">
        <v>5419</v>
      </c>
      <c r="B365" s="260" t="s">
        <v>5579</v>
      </c>
      <c r="C365" s="261" t="s">
        <v>5601</v>
      </c>
      <c r="D365" s="264" t="s">
        <v>5602</v>
      </c>
      <c r="E365" s="265" t="s">
        <v>5012</v>
      </c>
      <c r="F365" s="268" t="s">
        <v>5582</v>
      </c>
      <c r="G365" s="271" t="str">
        <f>IF(COUNTIF(H365:AU365,"&lt;&gt;")=0,"",SUMPRODUCT(((Recommendations[ImplStatus]="Implemented")+(Recommendations[ImplStatus]="Compensated"))*ISNUMBER(MATCH(Recommendations[Id],H365:AU365,0)))/COUNTIF(H365:AU365,"&lt;&gt;"))</f>
        <v/>
      </c>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86"/>
    </row>
    <row r="366" spans="1:47" ht="60" customHeight="1" x14ac:dyDescent="0.35">
      <c r="A366" s="282" t="s">
        <v>5419</v>
      </c>
      <c r="B366" s="260" t="s">
        <v>5579</v>
      </c>
      <c r="C366" s="261" t="s">
        <v>5603</v>
      </c>
      <c r="D366" s="264" t="s">
        <v>5604</v>
      </c>
      <c r="E366" s="265" t="s">
        <v>5012</v>
      </c>
      <c r="F366" s="268" t="s">
        <v>5582</v>
      </c>
      <c r="G366" s="271" t="str">
        <f>IF(COUNTIF(H366:AU366,"&lt;&gt;")=0,"",SUMPRODUCT(((Recommendations[ImplStatus]="Implemented")+(Recommendations[ImplStatus]="Compensated"))*ISNUMBER(MATCH(Recommendations[Id],H366:AU366,0)))/COUNTIF(H366:AU366,"&lt;&gt;"))</f>
        <v/>
      </c>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86"/>
    </row>
    <row r="367" spans="1:47" ht="60" customHeight="1" x14ac:dyDescent="0.35">
      <c r="A367" s="282" t="s">
        <v>5419</v>
      </c>
      <c r="B367" s="260" t="s">
        <v>5579</v>
      </c>
      <c r="C367" s="261" t="s">
        <v>5605</v>
      </c>
      <c r="D367" s="264" t="s">
        <v>5606</v>
      </c>
      <c r="E367" s="265" t="s">
        <v>5012</v>
      </c>
      <c r="F367" s="268" t="s">
        <v>5582</v>
      </c>
      <c r="G367" s="271" t="str">
        <f>IF(COUNTIF(H367:AU367,"&lt;&gt;")=0,"",SUMPRODUCT(((Recommendations[ImplStatus]="Implemented")+(Recommendations[ImplStatus]="Compensated"))*ISNUMBER(MATCH(Recommendations[Id],H367:AU367,0)))/COUNTIF(H367:AU367,"&lt;&gt;"))</f>
        <v/>
      </c>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86"/>
    </row>
    <row r="368" spans="1:47" ht="60" customHeight="1" x14ac:dyDescent="0.35">
      <c r="A368" s="282" t="s">
        <v>5419</v>
      </c>
      <c r="B368" s="260" t="s">
        <v>5579</v>
      </c>
      <c r="C368" s="261" t="s">
        <v>5607</v>
      </c>
      <c r="D368" s="264" t="s">
        <v>5608</v>
      </c>
      <c r="E368" s="265" t="s">
        <v>5012</v>
      </c>
      <c r="F368" s="268" t="s">
        <v>5582</v>
      </c>
      <c r="G368" s="271" t="str">
        <f>IF(COUNTIF(H368:AU368,"&lt;&gt;")=0,"",SUMPRODUCT(((Recommendations[ImplStatus]="Implemented")+(Recommendations[ImplStatus]="Compensated"))*ISNUMBER(MATCH(Recommendations[Id],H368:AU368,0)))/COUNTIF(H368:AU368,"&lt;&gt;"))</f>
        <v/>
      </c>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86"/>
    </row>
    <row r="369" spans="1:47" ht="60" customHeight="1" x14ac:dyDescent="0.35">
      <c r="A369" s="282" t="s">
        <v>5419</v>
      </c>
      <c r="B369" s="260" t="s">
        <v>5579</v>
      </c>
      <c r="C369" s="261" t="s">
        <v>5609</v>
      </c>
      <c r="D369" s="264" t="s">
        <v>5610</v>
      </c>
      <c r="E369" s="265" t="s">
        <v>5012</v>
      </c>
      <c r="F369" s="268" t="s">
        <v>5582</v>
      </c>
      <c r="G369" s="271" t="str">
        <f>IF(COUNTIF(H369:AU369,"&lt;&gt;")=0,"",SUMPRODUCT(((Recommendations[ImplStatus]="Implemented")+(Recommendations[ImplStatus]="Compensated"))*ISNUMBER(MATCH(Recommendations[Id],H369:AU369,0)))/COUNTIF(H369:AU369,"&lt;&gt;"))</f>
        <v/>
      </c>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86"/>
    </row>
    <row r="370" spans="1:47" ht="60" customHeight="1" outlineLevel="1" x14ac:dyDescent="0.35">
      <c r="A370" s="280" t="s">
        <v>5611</v>
      </c>
      <c r="B370" s="258"/>
      <c r="C370" s="258"/>
      <c r="D370" s="262"/>
      <c r="E370" s="258"/>
      <c r="F370" s="266"/>
      <c r="G370" s="269" t="str">
        <f>IF(COUNTIF(H370:AU370,"&lt;&gt;")=0,"",SUMPRODUCT(((Recommendations[ImplStatus]="Implemented")+(Recommendations[ImplStatus]="Compensated"))*ISNUMBER(MATCH(Recommendations[Id],H370:AU370,0)))/COUNTIF(H370:AU370,"&lt;&gt;"))</f>
        <v/>
      </c>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c r="AF370" s="266"/>
      <c r="AG370" s="266"/>
      <c r="AH370" s="266"/>
      <c r="AI370" s="266"/>
      <c r="AJ370" s="266"/>
      <c r="AK370" s="266"/>
      <c r="AL370" s="266"/>
      <c r="AM370" s="266"/>
      <c r="AN370" s="266"/>
      <c r="AO370" s="266"/>
      <c r="AP370" s="266"/>
      <c r="AQ370" s="266"/>
      <c r="AR370" s="266"/>
      <c r="AS370" s="266"/>
      <c r="AT370" s="266"/>
      <c r="AU370" s="284"/>
    </row>
    <row r="371" spans="1:47" ht="60" customHeight="1" outlineLevel="2" x14ac:dyDescent="0.35">
      <c r="A371" s="281" t="s">
        <v>5611</v>
      </c>
      <c r="B371" s="259" t="s">
        <v>5612</v>
      </c>
      <c r="C371" s="259"/>
      <c r="D371" s="263"/>
      <c r="E371" s="259"/>
      <c r="F371" s="267"/>
      <c r="G371" s="270" t="str">
        <f>IF(COUNTIF(H371:AU371,"&lt;&gt;")=0,"",SUMPRODUCT(((Recommendations[ImplStatus]="Implemented")+(Recommendations[ImplStatus]="Compensated"))*ISNUMBER(MATCH(Recommendations[Id],H371:AU371,0)))/COUNTIF(H371:AU371,"&lt;&gt;"))</f>
        <v/>
      </c>
      <c r="H371" s="267"/>
      <c r="I371" s="267"/>
      <c r="J371" s="267"/>
      <c r="K371" s="267"/>
      <c r="L371" s="267"/>
      <c r="M371" s="267"/>
      <c r="N371" s="267"/>
      <c r="O371" s="267"/>
      <c r="P371" s="267"/>
      <c r="Q371" s="267"/>
      <c r="R371" s="267"/>
      <c r="S371" s="267"/>
      <c r="T371" s="267"/>
      <c r="U371" s="267"/>
      <c r="V371" s="267"/>
      <c r="W371" s="267"/>
      <c r="X371" s="267"/>
      <c r="Y371" s="267"/>
      <c r="Z371" s="267"/>
      <c r="AA371" s="267"/>
      <c r="AB371" s="267"/>
      <c r="AC371" s="267"/>
      <c r="AD371" s="267"/>
      <c r="AE371" s="267"/>
      <c r="AF371" s="267"/>
      <c r="AG371" s="267"/>
      <c r="AH371" s="267"/>
      <c r="AI371" s="267"/>
      <c r="AJ371" s="267"/>
      <c r="AK371" s="267"/>
      <c r="AL371" s="267"/>
      <c r="AM371" s="267"/>
      <c r="AN371" s="267"/>
      <c r="AO371" s="267"/>
      <c r="AP371" s="267"/>
      <c r="AQ371" s="267"/>
      <c r="AR371" s="267"/>
      <c r="AS371" s="267"/>
      <c r="AT371" s="267"/>
      <c r="AU371" s="285"/>
    </row>
    <row r="372" spans="1:47" ht="60" customHeight="1" x14ac:dyDescent="0.35">
      <c r="A372" s="282" t="s">
        <v>5611</v>
      </c>
      <c r="B372" s="260" t="s">
        <v>5612</v>
      </c>
      <c r="C372" s="261" t="s">
        <v>5613</v>
      </c>
      <c r="D372" s="264" t="s">
        <v>5614</v>
      </c>
      <c r="E372" s="265" t="s">
        <v>4868</v>
      </c>
      <c r="F372" s="268" t="s">
        <v>5615</v>
      </c>
      <c r="G372" s="271" t="str">
        <f>IF(COUNTIF(H372:AU372,"&lt;&gt;")=0,"",SUMPRODUCT(((Recommendations[ImplStatus]="Implemented")+(Recommendations[ImplStatus]="Compensated"))*ISNUMBER(MATCH(Recommendations[Id],H372:AU372,0)))/COUNTIF(H372:AU372,"&lt;&gt;"))</f>
        <v/>
      </c>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2"/>
      <c r="AR372" s="272"/>
      <c r="AS372" s="272"/>
      <c r="AT372" s="272"/>
      <c r="AU372" s="286"/>
    </row>
    <row r="373" spans="1:47" ht="60" customHeight="1" x14ac:dyDescent="0.35">
      <c r="A373" s="282" t="s">
        <v>5611</v>
      </c>
      <c r="B373" s="260" t="s">
        <v>5612</v>
      </c>
      <c r="C373" s="261" t="s">
        <v>5616</v>
      </c>
      <c r="D373" s="264" t="s">
        <v>5617</v>
      </c>
      <c r="E373" s="265" t="s">
        <v>4868</v>
      </c>
      <c r="F373" s="268" t="s">
        <v>5618</v>
      </c>
      <c r="G373" s="271" t="str">
        <f>IF(COUNTIF(H373:AU373,"&lt;&gt;")=0,"",SUMPRODUCT(((Recommendations[ImplStatus]="Implemented")+(Recommendations[ImplStatus]="Compensated"))*ISNUMBER(MATCH(Recommendations[Id],H373:AU373,0)))/COUNTIF(H373:AU373,"&lt;&gt;"))</f>
        <v/>
      </c>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2"/>
      <c r="AR373" s="272"/>
      <c r="AS373" s="272"/>
      <c r="AT373" s="272"/>
      <c r="AU373" s="286"/>
    </row>
    <row r="374" spans="1:47" ht="60" customHeight="1" x14ac:dyDescent="0.35">
      <c r="A374" s="282" t="s">
        <v>5611</v>
      </c>
      <c r="B374" s="260" t="s">
        <v>5612</v>
      </c>
      <c r="C374" s="261" t="s">
        <v>5619</v>
      </c>
      <c r="D374" s="264" t="s">
        <v>5620</v>
      </c>
      <c r="E374" s="265" t="s">
        <v>4897</v>
      </c>
      <c r="F374" s="268" t="s">
        <v>5618</v>
      </c>
      <c r="G374" s="271" t="str">
        <f>IF(COUNTIF(H374:AU374,"&lt;&gt;")=0,"",SUMPRODUCT(((Recommendations[ImplStatus]="Implemented")+(Recommendations[ImplStatus]="Compensated"))*ISNUMBER(MATCH(Recommendations[Id],H374:AU374,0)))/COUNTIF(H374:AU374,"&lt;&gt;"))</f>
        <v/>
      </c>
      <c r="H374" s="272"/>
      <c r="I374" s="272"/>
      <c r="J374" s="272"/>
      <c r="K374" s="272"/>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c r="AN374" s="272"/>
      <c r="AO374" s="272"/>
      <c r="AP374" s="272"/>
      <c r="AQ374" s="272"/>
      <c r="AR374" s="272"/>
      <c r="AS374" s="272"/>
      <c r="AT374" s="272"/>
      <c r="AU374" s="286"/>
    </row>
    <row r="375" spans="1:47" ht="60" customHeight="1" x14ac:dyDescent="0.35">
      <c r="A375" s="282" t="s">
        <v>5611</v>
      </c>
      <c r="B375" s="260" t="s">
        <v>5612</v>
      </c>
      <c r="C375" s="261" t="s">
        <v>5621</v>
      </c>
      <c r="D375" s="264" t="s">
        <v>5622</v>
      </c>
      <c r="E375" s="265" t="s">
        <v>4897</v>
      </c>
      <c r="F375" s="268" t="s">
        <v>5618</v>
      </c>
      <c r="G375" s="271" t="str">
        <f>IF(COUNTIF(H375:AU375,"&lt;&gt;")=0,"",SUMPRODUCT(((Recommendations[ImplStatus]="Implemented")+(Recommendations[ImplStatus]="Compensated"))*ISNUMBER(MATCH(Recommendations[Id],H375:AU375,0)))/COUNTIF(H375:AU375,"&lt;&gt;"))</f>
        <v/>
      </c>
      <c r="H375" s="272"/>
      <c r="I375" s="272"/>
      <c r="J375" s="272"/>
      <c r="K375" s="272"/>
      <c r="L375" s="272"/>
      <c r="M375" s="272"/>
      <c r="N375" s="272"/>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c r="AN375" s="272"/>
      <c r="AO375" s="272"/>
      <c r="AP375" s="272"/>
      <c r="AQ375" s="272"/>
      <c r="AR375" s="272"/>
      <c r="AS375" s="272"/>
      <c r="AT375" s="272"/>
      <c r="AU375" s="286"/>
    </row>
    <row r="376" spans="1:47" ht="60" customHeight="1" x14ac:dyDescent="0.35">
      <c r="A376" s="282" t="s">
        <v>5611</v>
      </c>
      <c r="B376" s="260" t="s">
        <v>5612</v>
      </c>
      <c r="C376" s="261" t="s">
        <v>5623</v>
      </c>
      <c r="D376" s="264" t="s">
        <v>5624</v>
      </c>
      <c r="E376" s="265" t="s">
        <v>4897</v>
      </c>
      <c r="F376" s="268" t="s">
        <v>5480</v>
      </c>
      <c r="G376" s="271" t="str">
        <f>IF(COUNTIF(H376:AU376,"&lt;&gt;")=0,"",SUMPRODUCT(((Recommendations[ImplStatus]="Implemented")+(Recommendations[ImplStatus]="Compensated"))*ISNUMBER(MATCH(Recommendations[Id],H376:AU376,0)))/COUNTIF(H376:AU376,"&lt;&gt;"))</f>
        <v/>
      </c>
      <c r="H376" s="272"/>
      <c r="I376" s="272"/>
      <c r="J376" s="272"/>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c r="AN376" s="272"/>
      <c r="AO376" s="272"/>
      <c r="AP376" s="272"/>
      <c r="AQ376" s="272"/>
      <c r="AR376" s="272"/>
      <c r="AS376" s="272"/>
      <c r="AT376" s="272"/>
      <c r="AU376" s="286"/>
    </row>
    <row r="377" spans="1:47" ht="60" customHeight="1" x14ac:dyDescent="0.35">
      <c r="A377" s="282" t="s">
        <v>5611</v>
      </c>
      <c r="B377" s="260" t="s">
        <v>5612</v>
      </c>
      <c r="C377" s="261" t="s">
        <v>5625</v>
      </c>
      <c r="D377" s="264" t="s">
        <v>5626</v>
      </c>
      <c r="E377" s="265" t="s">
        <v>4964</v>
      </c>
      <c r="F377" s="268" t="s">
        <v>5438</v>
      </c>
      <c r="G377" s="271" t="str">
        <f>IF(COUNTIF(H377:AU377,"&lt;&gt;")=0,"",SUMPRODUCT(((Recommendations[ImplStatus]="Implemented")+(Recommendations[ImplStatus]="Compensated"))*ISNUMBER(MATCH(Recommendations[Id],H377:AU377,0)))/COUNTIF(H377:AU377,"&lt;&gt;"))</f>
        <v/>
      </c>
      <c r="H377" s="272"/>
      <c r="I377" s="272"/>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2"/>
      <c r="AT377" s="272"/>
      <c r="AU377" s="286"/>
    </row>
    <row r="378" spans="1:47" ht="60" customHeight="1" x14ac:dyDescent="0.35">
      <c r="A378" s="282" t="s">
        <v>5611</v>
      </c>
      <c r="B378" s="260" t="s">
        <v>5612</v>
      </c>
      <c r="C378" s="261" t="s">
        <v>5627</v>
      </c>
      <c r="D378" s="264" t="s">
        <v>5628</v>
      </c>
      <c r="E378" s="265" t="s">
        <v>4964</v>
      </c>
      <c r="F378" s="268" t="s">
        <v>5618</v>
      </c>
      <c r="G378" s="271" t="str">
        <f>IF(COUNTIF(H378:AU378,"&lt;&gt;")=0,"",SUMPRODUCT(((Recommendations[ImplStatus]="Implemented")+(Recommendations[ImplStatus]="Compensated"))*ISNUMBER(MATCH(Recommendations[Id],H378:AU378,0)))/COUNTIF(H378:AU378,"&lt;&gt;"))</f>
        <v/>
      </c>
      <c r="H378" s="272"/>
      <c r="I378" s="272"/>
      <c r="J378" s="272"/>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2"/>
      <c r="AT378" s="272"/>
      <c r="AU378" s="286"/>
    </row>
    <row r="379" spans="1:47" ht="60" customHeight="1" x14ac:dyDescent="0.35">
      <c r="A379" s="282" t="s">
        <v>5611</v>
      </c>
      <c r="B379" s="260" t="s">
        <v>5612</v>
      </c>
      <c r="C379" s="261" t="s">
        <v>5629</v>
      </c>
      <c r="D379" s="264" t="s">
        <v>5630</v>
      </c>
      <c r="E379" s="265" t="s">
        <v>4964</v>
      </c>
      <c r="F379" s="268" t="s">
        <v>5615</v>
      </c>
      <c r="G379" s="271" t="str">
        <f>IF(COUNTIF(H379:AU379,"&lt;&gt;")=0,"",SUMPRODUCT(((Recommendations[ImplStatus]="Implemented")+(Recommendations[ImplStatus]="Compensated"))*ISNUMBER(MATCH(Recommendations[Id],H379:AU379,0)))/COUNTIF(H379:AU379,"&lt;&gt;"))</f>
        <v/>
      </c>
      <c r="H379" s="272"/>
      <c r="I379" s="272"/>
      <c r="J379" s="272"/>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2"/>
      <c r="AT379" s="272"/>
      <c r="AU379" s="286"/>
    </row>
    <row r="380" spans="1:47" ht="60" customHeight="1" x14ac:dyDescent="0.35">
      <c r="A380" s="282" t="s">
        <v>5611</v>
      </c>
      <c r="B380" s="260" t="s">
        <v>5612</v>
      </c>
      <c r="C380" s="261" t="s">
        <v>5631</v>
      </c>
      <c r="D380" s="264" t="s">
        <v>5632</v>
      </c>
      <c r="E380" s="265" t="s">
        <v>4964</v>
      </c>
      <c r="F380" s="268" t="s">
        <v>5615</v>
      </c>
      <c r="G380" s="271" t="str">
        <f>IF(COUNTIF(H380:AU380,"&lt;&gt;")=0,"",SUMPRODUCT(((Recommendations[ImplStatus]="Implemented")+(Recommendations[ImplStatus]="Compensated"))*ISNUMBER(MATCH(Recommendations[Id],H380:AU380,0)))/COUNTIF(H380:AU380,"&lt;&gt;"))</f>
        <v/>
      </c>
      <c r="H380" s="272"/>
      <c r="I380" s="272"/>
      <c r="J380" s="272"/>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c r="AN380" s="272"/>
      <c r="AO380" s="272"/>
      <c r="AP380" s="272"/>
      <c r="AQ380" s="272"/>
      <c r="AR380" s="272"/>
      <c r="AS380" s="272"/>
      <c r="AT380" s="272"/>
      <c r="AU380" s="286"/>
    </row>
    <row r="381" spans="1:47" ht="60" customHeight="1" x14ac:dyDescent="0.35">
      <c r="A381" s="282" t="s">
        <v>5611</v>
      </c>
      <c r="B381" s="260" t="s">
        <v>5612</v>
      </c>
      <c r="C381" s="261" t="s">
        <v>5633</v>
      </c>
      <c r="D381" s="264" t="s">
        <v>5634</v>
      </c>
      <c r="E381" s="265" t="s">
        <v>4964</v>
      </c>
      <c r="F381" s="268" t="s">
        <v>5615</v>
      </c>
      <c r="G381" s="271" t="str">
        <f>IF(COUNTIF(H381:AU381,"&lt;&gt;")=0,"",SUMPRODUCT(((Recommendations[ImplStatus]="Implemented")+(Recommendations[ImplStatus]="Compensated"))*ISNUMBER(MATCH(Recommendations[Id],H381:AU381,0)))/COUNTIF(H381:AU381,"&lt;&gt;"))</f>
        <v/>
      </c>
      <c r="H381" s="272"/>
      <c r="I381" s="272"/>
      <c r="J381" s="272"/>
      <c r="K381" s="272"/>
      <c r="L381" s="272"/>
      <c r="M381" s="272"/>
      <c r="N381" s="272"/>
      <c r="O381" s="272"/>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c r="AN381" s="272"/>
      <c r="AO381" s="272"/>
      <c r="AP381" s="272"/>
      <c r="AQ381" s="272"/>
      <c r="AR381" s="272"/>
      <c r="AS381" s="272"/>
      <c r="AT381" s="272"/>
      <c r="AU381" s="286"/>
    </row>
    <row r="382" spans="1:47" ht="60" customHeight="1" x14ac:dyDescent="0.35">
      <c r="A382" s="282" t="s">
        <v>5611</v>
      </c>
      <c r="B382" s="260" t="s">
        <v>5612</v>
      </c>
      <c r="C382" s="261" t="s">
        <v>5635</v>
      </c>
      <c r="D382" s="264" t="s">
        <v>5636</v>
      </c>
      <c r="E382" s="265" t="s">
        <v>5012</v>
      </c>
      <c r="F382" s="268" t="s">
        <v>5615</v>
      </c>
      <c r="G382" s="271" t="str">
        <f>IF(COUNTIF(H382:AU382,"&lt;&gt;")=0,"",SUMPRODUCT(((Recommendations[ImplStatus]="Implemented")+(Recommendations[ImplStatus]="Compensated"))*ISNUMBER(MATCH(Recommendations[Id],H382:AU382,0)))/COUNTIF(H382:AU382,"&lt;&gt;"))</f>
        <v/>
      </c>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c r="AN382" s="272"/>
      <c r="AO382" s="272"/>
      <c r="AP382" s="272"/>
      <c r="AQ382" s="272"/>
      <c r="AR382" s="272"/>
      <c r="AS382" s="272"/>
      <c r="AT382" s="272"/>
      <c r="AU382" s="286"/>
    </row>
    <row r="383" spans="1:47" ht="60" customHeight="1" x14ac:dyDescent="0.35">
      <c r="A383" s="282" t="s">
        <v>5611</v>
      </c>
      <c r="B383" s="260" t="s">
        <v>5612</v>
      </c>
      <c r="C383" s="261" t="s">
        <v>5637</v>
      </c>
      <c r="D383" s="264" t="s">
        <v>5638</v>
      </c>
      <c r="E383" s="265" t="s">
        <v>5012</v>
      </c>
      <c r="F383" s="268" t="s">
        <v>5615</v>
      </c>
      <c r="G383" s="271" t="str">
        <f>IF(COUNTIF(H383:AU383,"&lt;&gt;")=0,"",SUMPRODUCT(((Recommendations[ImplStatus]="Implemented")+(Recommendations[ImplStatus]="Compensated"))*ISNUMBER(MATCH(Recommendations[Id],H383:AU383,0)))/COUNTIF(H383:AU383,"&lt;&gt;"))</f>
        <v/>
      </c>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2"/>
      <c r="AT383" s="272"/>
      <c r="AU383" s="286"/>
    </row>
    <row r="384" spans="1:47" ht="60" customHeight="1" x14ac:dyDescent="0.35">
      <c r="A384" s="282" t="s">
        <v>5611</v>
      </c>
      <c r="B384" s="260" t="s">
        <v>5612</v>
      </c>
      <c r="C384" s="261" t="s">
        <v>5639</v>
      </c>
      <c r="D384" s="264" t="s">
        <v>5640</v>
      </c>
      <c r="E384" s="265" t="s">
        <v>5012</v>
      </c>
      <c r="F384" s="268" t="s">
        <v>5615</v>
      </c>
      <c r="G384" s="271" t="str">
        <f>IF(COUNTIF(H384:AU384,"&lt;&gt;")=0,"",SUMPRODUCT(((Recommendations[ImplStatus]="Implemented")+(Recommendations[ImplStatus]="Compensated"))*ISNUMBER(MATCH(Recommendations[Id],H384:AU384,0)))/COUNTIF(H384:AU384,"&lt;&gt;"))</f>
        <v/>
      </c>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2"/>
      <c r="AT384" s="272"/>
      <c r="AU384" s="286"/>
    </row>
    <row r="385" spans="1:47" ht="60" customHeight="1" x14ac:dyDescent="0.35">
      <c r="A385" s="282" t="s">
        <v>5611</v>
      </c>
      <c r="B385" s="260" t="s">
        <v>5612</v>
      </c>
      <c r="C385" s="261" t="s">
        <v>5641</v>
      </c>
      <c r="D385" s="264" t="s">
        <v>5642</v>
      </c>
      <c r="E385" s="265" t="s">
        <v>4964</v>
      </c>
      <c r="F385" s="268" t="s">
        <v>5615</v>
      </c>
      <c r="G385" s="271" t="str">
        <f>IF(COUNTIF(H385:AU385,"&lt;&gt;")=0,"",SUMPRODUCT(((Recommendations[ImplStatus]="Implemented")+(Recommendations[ImplStatus]="Compensated"))*ISNUMBER(MATCH(Recommendations[Id],H385:AU385,0)))/COUNTIF(H385:AU385,"&lt;&gt;"))</f>
        <v/>
      </c>
      <c r="H385" s="272"/>
      <c r="I385" s="272"/>
      <c r="J385" s="272"/>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2"/>
      <c r="AT385" s="272"/>
      <c r="AU385" s="286"/>
    </row>
    <row r="386" spans="1:47" ht="60" customHeight="1" outlineLevel="2" x14ac:dyDescent="0.35">
      <c r="A386" s="281" t="s">
        <v>5611</v>
      </c>
      <c r="B386" s="259" t="s">
        <v>5643</v>
      </c>
      <c r="C386" s="259"/>
      <c r="D386" s="263"/>
      <c r="E386" s="259"/>
      <c r="F386" s="267"/>
      <c r="G386" s="270" t="str">
        <f>IF(COUNTIF(H386:AU386,"&lt;&gt;")=0,"",SUMPRODUCT(((Recommendations[ImplStatus]="Implemented")+(Recommendations[ImplStatus]="Compensated"))*ISNUMBER(MATCH(Recommendations[Id],H386:AU386,0)))/COUNTIF(H386:AU386,"&lt;&gt;"))</f>
        <v/>
      </c>
      <c r="H386" s="267"/>
      <c r="I386" s="267"/>
      <c r="J386" s="267"/>
      <c r="K386" s="267"/>
      <c r="L386" s="267"/>
      <c r="M386" s="267"/>
      <c r="N386" s="267"/>
      <c r="O386" s="267"/>
      <c r="P386" s="267"/>
      <c r="Q386" s="267"/>
      <c r="R386" s="267"/>
      <c r="S386" s="267"/>
      <c r="T386" s="267"/>
      <c r="U386" s="267"/>
      <c r="V386" s="267"/>
      <c r="W386" s="267"/>
      <c r="X386" s="267"/>
      <c r="Y386" s="267"/>
      <c r="Z386" s="267"/>
      <c r="AA386" s="267"/>
      <c r="AB386" s="267"/>
      <c r="AC386" s="267"/>
      <c r="AD386" s="267"/>
      <c r="AE386" s="267"/>
      <c r="AF386" s="267"/>
      <c r="AG386" s="267"/>
      <c r="AH386" s="267"/>
      <c r="AI386" s="267"/>
      <c r="AJ386" s="267"/>
      <c r="AK386" s="267"/>
      <c r="AL386" s="267"/>
      <c r="AM386" s="267"/>
      <c r="AN386" s="267"/>
      <c r="AO386" s="267"/>
      <c r="AP386" s="267"/>
      <c r="AQ386" s="267"/>
      <c r="AR386" s="267"/>
      <c r="AS386" s="267"/>
      <c r="AT386" s="267"/>
      <c r="AU386" s="285"/>
    </row>
    <row r="387" spans="1:47" ht="60" customHeight="1" x14ac:dyDescent="0.35">
      <c r="A387" s="282" t="s">
        <v>5611</v>
      </c>
      <c r="B387" s="260" t="s">
        <v>5643</v>
      </c>
      <c r="C387" s="261" t="s">
        <v>5644</v>
      </c>
      <c r="D387" s="264" t="s">
        <v>5645</v>
      </c>
      <c r="E387" s="265" t="s">
        <v>4868</v>
      </c>
      <c r="F387" s="268" t="s">
        <v>5646</v>
      </c>
      <c r="G387" s="271" t="str">
        <f>IF(COUNTIF(H387:AU387,"&lt;&gt;")=0,"",SUMPRODUCT(((Recommendations[ImplStatus]="Implemented")+(Recommendations[ImplStatus]="Compensated"))*ISNUMBER(MATCH(Recommendations[Id],H387:AU387,0)))/COUNTIF(H387:AU387,"&lt;&gt;"))</f>
        <v/>
      </c>
      <c r="H387" s="272"/>
      <c r="I387" s="272"/>
      <c r="J387" s="272"/>
      <c r="K387" s="272"/>
      <c r="L387" s="272"/>
      <c r="M387" s="272"/>
      <c r="N387" s="272"/>
      <c r="O387" s="272"/>
      <c r="P387" s="272"/>
      <c r="Q387" s="272"/>
      <c r="R387" s="272"/>
      <c r="S387" s="272"/>
      <c r="T387" s="272"/>
      <c r="U387" s="272"/>
      <c r="V387" s="272"/>
      <c r="W387" s="272"/>
      <c r="X387" s="272"/>
      <c r="Y387" s="272"/>
      <c r="Z387" s="272"/>
      <c r="AA387" s="272"/>
      <c r="AB387" s="272"/>
      <c r="AC387" s="272"/>
      <c r="AD387" s="272"/>
      <c r="AE387" s="272"/>
      <c r="AF387" s="272"/>
      <c r="AG387" s="272"/>
      <c r="AH387" s="272"/>
      <c r="AI387" s="272"/>
      <c r="AJ387" s="272"/>
      <c r="AK387" s="272"/>
      <c r="AL387" s="272"/>
      <c r="AM387" s="272"/>
      <c r="AN387" s="272"/>
      <c r="AO387" s="272"/>
      <c r="AP387" s="272"/>
      <c r="AQ387" s="272"/>
      <c r="AR387" s="272"/>
      <c r="AS387" s="272"/>
      <c r="AT387" s="272"/>
      <c r="AU387" s="286"/>
    </row>
    <row r="388" spans="1:47" ht="60" customHeight="1" x14ac:dyDescent="0.35">
      <c r="A388" s="282" t="s">
        <v>5611</v>
      </c>
      <c r="B388" s="260" t="s">
        <v>5643</v>
      </c>
      <c r="C388" s="261" t="s">
        <v>5647</v>
      </c>
      <c r="D388" s="264" t="s">
        <v>5648</v>
      </c>
      <c r="E388" s="265" t="s">
        <v>4868</v>
      </c>
      <c r="F388" s="268" t="s">
        <v>5646</v>
      </c>
      <c r="G388" s="271" t="str">
        <f>IF(COUNTIF(H388:AU388,"&lt;&gt;")=0,"",SUMPRODUCT(((Recommendations[ImplStatus]="Implemented")+(Recommendations[ImplStatus]="Compensated"))*ISNUMBER(MATCH(Recommendations[Id],H388:AU388,0)))/COUNTIF(H388:AU388,"&lt;&gt;"))</f>
        <v/>
      </c>
      <c r="H388" s="272"/>
      <c r="I388" s="272"/>
      <c r="J388" s="272"/>
      <c r="K388" s="272"/>
      <c r="L388" s="272"/>
      <c r="M388" s="272"/>
      <c r="N388" s="272"/>
      <c r="O388" s="272"/>
      <c r="P388" s="272"/>
      <c r="Q388" s="272"/>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c r="AN388" s="272"/>
      <c r="AO388" s="272"/>
      <c r="AP388" s="272"/>
      <c r="AQ388" s="272"/>
      <c r="AR388" s="272"/>
      <c r="AS388" s="272"/>
      <c r="AT388" s="272"/>
      <c r="AU388" s="286"/>
    </row>
    <row r="389" spans="1:47" ht="60" customHeight="1" x14ac:dyDescent="0.35">
      <c r="A389" s="282" t="s">
        <v>5611</v>
      </c>
      <c r="B389" s="260" t="s">
        <v>5643</v>
      </c>
      <c r="C389" s="261" t="s">
        <v>5649</v>
      </c>
      <c r="D389" s="264" t="s">
        <v>5650</v>
      </c>
      <c r="E389" s="265" t="s">
        <v>5147</v>
      </c>
      <c r="F389" s="268" t="s">
        <v>5646</v>
      </c>
      <c r="G389" s="271" t="str">
        <f>IF(COUNTIF(H389:AU389,"&lt;&gt;")=0,"",SUMPRODUCT(((Recommendations[ImplStatus]="Implemented")+(Recommendations[ImplStatus]="Compensated"))*ISNUMBER(MATCH(Recommendations[Id],H389:AU389,0)))/COUNTIF(H389:AU389,"&lt;&gt;"))</f>
        <v/>
      </c>
      <c r="H389" s="272"/>
      <c r="I389" s="272"/>
      <c r="J389" s="272"/>
      <c r="K389" s="272"/>
      <c r="L389" s="272"/>
      <c r="M389" s="272"/>
      <c r="N389" s="272"/>
      <c r="O389" s="272"/>
      <c r="P389" s="272"/>
      <c r="Q389" s="272"/>
      <c r="R389" s="272"/>
      <c r="S389" s="272"/>
      <c r="T389" s="272"/>
      <c r="U389" s="272"/>
      <c r="V389" s="272"/>
      <c r="W389" s="272"/>
      <c r="X389" s="272"/>
      <c r="Y389" s="272"/>
      <c r="Z389" s="272"/>
      <c r="AA389" s="272"/>
      <c r="AB389" s="272"/>
      <c r="AC389" s="272"/>
      <c r="AD389" s="272"/>
      <c r="AE389" s="272"/>
      <c r="AF389" s="272"/>
      <c r="AG389" s="272"/>
      <c r="AH389" s="272"/>
      <c r="AI389" s="272"/>
      <c r="AJ389" s="272"/>
      <c r="AK389" s="272"/>
      <c r="AL389" s="272"/>
      <c r="AM389" s="272"/>
      <c r="AN389" s="272"/>
      <c r="AO389" s="272"/>
      <c r="AP389" s="272"/>
      <c r="AQ389" s="272"/>
      <c r="AR389" s="272"/>
      <c r="AS389" s="272"/>
      <c r="AT389" s="272"/>
      <c r="AU389" s="286"/>
    </row>
    <row r="390" spans="1:47" ht="60" customHeight="1" x14ac:dyDescent="0.35">
      <c r="A390" s="282" t="s">
        <v>5611</v>
      </c>
      <c r="B390" s="260" t="s">
        <v>5643</v>
      </c>
      <c r="C390" s="261" t="s">
        <v>5651</v>
      </c>
      <c r="D390" s="264" t="s">
        <v>5652</v>
      </c>
      <c r="E390" s="265" t="s">
        <v>4964</v>
      </c>
      <c r="F390" s="268" t="s">
        <v>5646</v>
      </c>
      <c r="G390" s="271" t="str">
        <f>IF(COUNTIF(H390:AU390,"&lt;&gt;")=0,"",SUMPRODUCT(((Recommendations[ImplStatus]="Implemented")+(Recommendations[ImplStatus]="Compensated"))*ISNUMBER(MATCH(Recommendations[Id],H390:AU390,0)))/COUNTIF(H390:AU390,"&lt;&gt;"))</f>
        <v/>
      </c>
      <c r="H390" s="272"/>
      <c r="I390" s="272"/>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2"/>
      <c r="AT390" s="272"/>
      <c r="AU390" s="286"/>
    </row>
    <row r="391" spans="1:47" ht="60" customHeight="1" x14ac:dyDescent="0.35">
      <c r="A391" s="282" t="s">
        <v>5611</v>
      </c>
      <c r="B391" s="260" t="s">
        <v>5643</v>
      </c>
      <c r="C391" s="261" t="s">
        <v>5653</v>
      </c>
      <c r="D391" s="264" t="s">
        <v>5654</v>
      </c>
      <c r="E391" s="265" t="s">
        <v>5147</v>
      </c>
      <c r="F391" s="268" t="s">
        <v>5646</v>
      </c>
      <c r="G391" s="271" t="str">
        <f>IF(COUNTIF(H391:AU391,"&lt;&gt;")=0,"",SUMPRODUCT(((Recommendations[ImplStatus]="Implemented")+(Recommendations[ImplStatus]="Compensated"))*ISNUMBER(MATCH(Recommendations[Id],H391:AU391,0)))/COUNTIF(H391:AU391,"&lt;&gt;"))</f>
        <v/>
      </c>
      <c r="H391" s="272"/>
      <c r="I391" s="272"/>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2"/>
      <c r="AT391" s="272"/>
      <c r="AU391" s="286"/>
    </row>
    <row r="392" spans="1:47" ht="60" customHeight="1" x14ac:dyDescent="0.35">
      <c r="A392" s="282" t="s">
        <v>5611</v>
      </c>
      <c r="B392" s="260" t="s">
        <v>5643</v>
      </c>
      <c r="C392" s="261" t="s">
        <v>5655</v>
      </c>
      <c r="D392" s="264" t="s">
        <v>5656</v>
      </c>
      <c r="E392" s="265" t="s">
        <v>4897</v>
      </c>
      <c r="F392" s="268" t="s">
        <v>5646</v>
      </c>
      <c r="G392" s="271" t="str">
        <f>IF(COUNTIF(H392:AU392,"&lt;&gt;")=0,"",SUMPRODUCT(((Recommendations[ImplStatus]="Implemented")+(Recommendations[ImplStatus]="Compensated"))*ISNUMBER(MATCH(Recommendations[Id],H392:AU392,0)))/COUNTIF(H392:AU392,"&lt;&gt;"))</f>
        <v/>
      </c>
      <c r="H392" s="272"/>
      <c r="I392" s="272"/>
      <c r="J392" s="272"/>
      <c r="K392" s="272"/>
      <c r="L392" s="272"/>
      <c r="M392" s="272"/>
      <c r="N392" s="272"/>
      <c r="O392" s="272"/>
      <c r="P392" s="272"/>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c r="AO392" s="272"/>
      <c r="AP392" s="272"/>
      <c r="AQ392" s="272"/>
      <c r="AR392" s="272"/>
      <c r="AS392" s="272"/>
      <c r="AT392" s="272"/>
      <c r="AU392" s="286"/>
    </row>
    <row r="393" spans="1:47" ht="60" customHeight="1" x14ac:dyDescent="0.35">
      <c r="A393" s="282" t="s">
        <v>5611</v>
      </c>
      <c r="B393" s="260" t="s">
        <v>5643</v>
      </c>
      <c r="C393" s="261" t="s">
        <v>5657</v>
      </c>
      <c r="D393" s="264" t="s">
        <v>5658</v>
      </c>
      <c r="E393" s="265" t="s">
        <v>4897</v>
      </c>
      <c r="F393" s="268" t="s">
        <v>5646</v>
      </c>
      <c r="G393" s="271" t="str">
        <f>IF(COUNTIF(H393:AU393,"&lt;&gt;")=0,"",SUMPRODUCT(((Recommendations[ImplStatus]="Implemented")+(Recommendations[ImplStatus]="Compensated"))*ISNUMBER(MATCH(Recommendations[Id],H393:AU393,0)))/COUNTIF(H393:AU393,"&lt;&gt;"))</f>
        <v/>
      </c>
      <c r="H393" s="272"/>
      <c r="I393" s="272"/>
      <c r="J393" s="272"/>
      <c r="K393" s="272"/>
      <c r="L393" s="272"/>
      <c r="M393" s="272"/>
      <c r="N393" s="272"/>
      <c r="O393" s="272"/>
      <c r="P393" s="272"/>
      <c r="Q393" s="272"/>
      <c r="R393" s="272"/>
      <c r="S393" s="272"/>
      <c r="T393" s="272"/>
      <c r="U393" s="272"/>
      <c r="V393" s="272"/>
      <c r="W393" s="272"/>
      <c r="X393" s="272"/>
      <c r="Y393" s="272"/>
      <c r="Z393" s="272"/>
      <c r="AA393" s="272"/>
      <c r="AB393" s="272"/>
      <c r="AC393" s="272"/>
      <c r="AD393" s="272"/>
      <c r="AE393" s="272"/>
      <c r="AF393" s="272"/>
      <c r="AG393" s="272"/>
      <c r="AH393" s="272"/>
      <c r="AI393" s="272"/>
      <c r="AJ393" s="272"/>
      <c r="AK393" s="272"/>
      <c r="AL393" s="272"/>
      <c r="AM393" s="272"/>
      <c r="AN393" s="272"/>
      <c r="AO393" s="272"/>
      <c r="AP393" s="272"/>
      <c r="AQ393" s="272"/>
      <c r="AR393" s="272"/>
      <c r="AS393" s="272"/>
      <c r="AT393" s="272"/>
      <c r="AU393" s="286"/>
    </row>
    <row r="394" spans="1:47" ht="60" customHeight="1" x14ac:dyDescent="0.35">
      <c r="A394" s="282" t="s">
        <v>5611</v>
      </c>
      <c r="B394" s="260" t="s">
        <v>5643</v>
      </c>
      <c r="C394" s="261" t="s">
        <v>5659</v>
      </c>
      <c r="D394" s="264" t="s">
        <v>5660</v>
      </c>
      <c r="E394" s="265" t="s">
        <v>5147</v>
      </c>
      <c r="F394" s="268" t="s">
        <v>5646</v>
      </c>
      <c r="G394" s="271" t="str">
        <f>IF(COUNTIF(H394:AU394,"&lt;&gt;")=0,"",SUMPRODUCT(((Recommendations[ImplStatus]="Implemented")+(Recommendations[ImplStatus]="Compensated"))*ISNUMBER(MATCH(Recommendations[Id],H394:AU394,0)))/COUNTIF(H394:AU394,"&lt;&gt;"))</f>
        <v/>
      </c>
      <c r="H394" s="272"/>
      <c r="I394" s="272"/>
      <c r="J394" s="272"/>
      <c r="K394" s="272"/>
      <c r="L394" s="272"/>
      <c r="M394" s="272"/>
      <c r="N394" s="272"/>
      <c r="O394" s="272"/>
      <c r="P394" s="272"/>
      <c r="Q394" s="272"/>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c r="AN394" s="272"/>
      <c r="AO394" s="272"/>
      <c r="AP394" s="272"/>
      <c r="AQ394" s="272"/>
      <c r="AR394" s="272"/>
      <c r="AS394" s="272"/>
      <c r="AT394" s="272"/>
      <c r="AU394" s="286"/>
    </row>
    <row r="395" spans="1:47" ht="60" customHeight="1" x14ac:dyDescent="0.35">
      <c r="A395" s="282" t="s">
        <v>5611</v>
      </c>
      <c r="B395" s="260" t="s">
        <v>5643</v>
      </c>
      <c r="C395" s="261" t="s">
        <v>5661</v>
      </c>
      <c r="D395" s="264" t="s">
        <v>5662</v>
      </c>
      <c r="E395" s="265" t="s">
        <v>4964</v>
      </c>
      <c r="F395" s="268" t="s">
        <v>5646</v>
      </c>
      <c r="G395" s="271" t="str">
        <f>IF(COUNTIF(H395:AU395,"&lt;&gt;")=0,"",SUMPRODUCT(((Recommendations[ImplStatus]="Implemented")+(Recommendations[ImplStatus]="Compensated"))*ISNUMBER(MATCH(Recommendations[Id],H395:AU395,0)))/COUNTIF(H395:AU395,"&lt;&gt;"))</f>
        <v/>
      </c>
      <c r="H395" s="272"/>
      <c r="I395" s="272"/>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c r="AO395" s="272"/>
      <c r="AP395" s="272"/>
      <c r="AQ395" s="272"/>
      <c r="AR395" s="272"/>
      <c r="AS395" s="272"/>
      <c r="AT395" s="272"/>
      <c r="AU395" s="286"/>
    </row>
    <row r="396" spans="1:47" ht="60" customHeight="1" x14ac:dyDescent="0.35">
      <c r="A396" s="282" t="s">
        <v>5611</v>
      </c>
      <c r="B396" s="260" t="s">
        <v>5643</v>
      </c>
      <c r="C396" s="261" t="s">
        <v>5663</v>
      </c>
      <c r="D396" s="264" t="s">
        <v>5664</v>
      </c>
      <c r="E396" s="265" t="s">
        <v>5147</v>
      </c>
      <c r="F396" s="268" t="s">
        <v>5646</v>
      </c>
      <c r="G396" s="271" t="str">
        <f>IF(COUNTIF(H396:AU396,"&lt;&gt;")=0,"",SUMPRODUCT(((Recommendations[ImplStatus]="Implemented")+(Recommendations[ImplStatus]="Compensated"))*ISNUMBER(MATCH(Recommendations[Id],H396:AU396,0)))/COUNTIF(H396:AU396,"&lt;&gt;"))</f>
        <v/>
      </c>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c r="AN396" s="272"/>
      <c r="AO396" s="272"/>
      <c r="AP396" s="272"/>
      <c r="AQ396" s="272"/>
      <c r="AR396" s="272"/>
      <c r="AS396" s="272"/>
      <c r="AT396" s="272"/>
      <c r="AU396" s="286"/>
    </row>
    <row r="397" spans="1:47" ht="60" customHeight="1" x14ac:dyDescent="0.35">
      <c r="A397" s="282" t="s">
        <v>5611</v>
      </c>
      <c r="B397" s="260" t="s">
        <v>5643</v>
      </c>
      <c r="C397" s="261" t="s">
        <v>5665</v>
      </c>
      <c r="D397" s="264" t="s">
        <v>5666</v>
      </c>
      <c r="E397" s="265" t="s">
        <v>4897</v>
      </c>
      <c r="F397" s="268" t="s">
        <v>5646</v>
      </c>
      <c r="G397" s="271" t="str">
        <f>IF(COUNTIF(H397:AU397,"&lt;&gt;")=0,"",SUMPRODUCT(((Recommendations[ImplStatus]="Implemented")+(Recommendations[ImplStatus]="Compensated"))*ISNUMBER(MATCH(Recommendations[Id],H397:AU397,0)))/COUNTIF(H397:AU397,"&lt;&gt;"))</f>
        <v/>
      </c>
      <c r="H397" s="272"/>
      <c r="I397" s="272"/>
      <c r="J397" s="272"/>
      <c r="K397" s="272"/>
      <c r="L397" s="272"/>
      <c r="M397" s="272"/>
      <c r="N397" s="272"/>
      <c r="O397" s="272"/>
      <c r="P397" s="272"/>
      <c r="Q397" s="272"/>
      <c r="R397" s="272"/>
      <c r="S397" s="272"/>
      <c r="T397" s="272"/>
      <c r="U397" s="272"/>
      <c r="V397" s="272"/>
      <c r="W397" s="272"/>
      <c r="X397" s="272"/>
      <c r="Y397" s="272"/>
      <c r="Z397" s="272"/>
      <c r="AA397" s="272"/>
      <c r="AB397" s="272"/>
      <c r="AC397" s="272"/>
      <c r="AD397" s="272"/>
      <c r="AE397" s="272"/>
      <c r="AF397" s="272"/>
      <c r="AG397" s="272"/>
      <c r="AH397" s="272"/>
      <c r="AI397" s="272"/>
      <c r="AJ397" s="272"/>
      <c r="AK397" s="272"/>
      <c r="AL397" s="272"/>
      <c r="AM397" s="272"/>
      <c r="AN397" s="272"/>
      <c r="AO397" s="272"/>
      <c r="AP397" s="272"/>
      <c r="AQ397" s="272"/>
      <c r="AR397" s="272"/>
      <c r="AS397" s="272"/>
      <c r="AT397" s="272"/>
      <c r="AU397" s="286"/>
    </row>
    <row r="398" spans="1:47" ht="60" customHeight="1" x14ac:dyDescent="0.35">
      <c r="A398" s="282" t="s">
        <v>5611</v>
      </c>
      <c r="B398" s="260" t="s">
        <v>5643</v>
      </c>
      <c r="C398" s="261" t="s">
        <v>5667</v>
      </c>
      <c r="D398" s="264" t="s">
        <v>5668</v>
      </c>
      <c r="E398" s="265" t="s">
        <v>5012</v>
      </c>
      <c r="F398" s="268" t="s">
        <v>5646</v>
      </c>
      <c r="G398" s="271" t="str">
        <f>IF(COUNTIF(H398:AU398,"&lt;&gt;")=0,"",SUMPRODUCT(((Recommendations[ImplStatus]="Implemented")+(Recommendations[ImplStatus]="Compensated"))*ISNUMBER(MATCH(Recommendations[Id],H398:AU398,0)))/COUNTIF(H398:AU398,"&lt;&gt;"))</f>
        <v/>
      </c>
      <c r="H398" s="272"/>
      <c r="I398" s="272"/>
      <c r="J398" s="272"/>
      <c r="K398" s="272"/>
      <c r="L398" s="272"/>
      <c r="M398" s="272"/>
      <c r="N398" s="272"/>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c r="AO398" s="272"/>
      <c r="AP398" s="272"/>
      <c r="AQ398" s="272"/>
      <c r="AR398" s="272"/>
      <c r="AS398" s="272"/>
      <c r="AT398" s="272"/>
      <c r="AU398" s="286"/>
    </row>
    <row r="399" spans="1:47" ht="60" customHeight="1" x14ac:dyDescent="0.35">
      <c r="A399" s="282" t="s">
        <v>5611</v>
      </c>
      <c r="B399" s="260" t="s">
        <v>5643</v>
      </c>
      <c r="C399" s="261" t="s">
        <v>5669</v>
      </c>
      <c r="D399" s="264" t="s">
        <v>5670</v>
      </c>
      <c r="E399" s="265" t="s">
        <v>5147</v>
      </c>
      <c r="F399" s="268" t="s">
        <v>5646</v>
      </c>
      <c r="G399" s="271" t="str">
        <f>IF(COUNTIF(H399:AU399,"&lt;&gt;")=0,"",SUMPRODUCT(((Recommendations[ImplStatus]="Implemented")+(Recommendations[ImplStatus]="Compensated"))*ISNUMBER(MATCH(Recommendations[Id],H399:AU399,0)))/COUNTIF(H399:AU399,"&lt;&gt;"))</f>
        <v/>
      </c>
      <c r="H399" s="272"/>
      <c r="I399" s="272"/>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c r="AN399" s="272"/>
      <c r="AO399" s="272"/>
      <c r="AP399" s="272"/>
      <c r="AQ399" s="272"/>
      <c r="AR399" s="272"/>
      <c r="AS399" s="272"/>
      <c r="AT399" s="272"/>
      <c r="AU399" s="286"/>
    </row>
    <row r="400" spans="1:47" ht="60" customHeight="1" x14ac:dyDescent="0.35">
      <c r="A400" s="282" t="s">
        <v>5611</v>
      </c>
      <c r="B400" s="260" t="s">
        <v>5643</v>
      </c>
      <c r="C400" s="261" t="s">
        <v>5671</v>
      </c>
      <c r="D400" s="264" t="s">
        <v>5672</v>
      </c>
      <c r="E400" s="265" t="s">
        <v>5147</v>
      </c>
      <c r="F400" s="268" t="s">
        <v>5646</v>
      </c>
      <c r="G400" s="271" t="str">
        <f>IF(COUNTIF(H400:AU400,"&lt;&gt;")=0,"",SUMPRODUCT(((Recommendations[ImplStatus]="Implemented")+(Recommendations[ImplStatus]="Compensated"))*ISNUMBER(MATCH(Recommendations[Id],H400:AU400,0)))/COUNTIF(H400:AU400,"&lt;&gt;"))</f>
        <v/>
      </c>
      <c r="H400" s="272"/>
      <c r="I400" s="272"/>
      <c r="J400" s="272"/>
      <c r="K400" s="272"/>
      <c r="L400" s="272"/>
      <c r="M400" s="272"/>
      <c r="N400" s="272"/>
      <c r="O400" s="272"/>
      <c r="P400" s="272"/>
      <c r="Q400" s="272"/>
      <c r="R400" s="272"/>
      <c r="S400" s="272"/>
      <c r="T400" s="272"/>
      <c r="U400" s="272"/>
      <c r="V400" s="272"/>
      <c r="W400" s="272"/>
      <c r="X400" s="272"/>
      <c r="Y400" s="272"/>
      <c r="Z400" s="272"/>
      <c r="AA400" s="272"/>
      <c r="AB400" s="272"/>
      <c r="AC400" s="272"/>
      <c r="AD400" s="272"/>
      <c r="AE400" s="272"/>
      <c r="AF400" s="272"/>
      <c r="AG400" s="272"/>
      <c r="AH400" s="272"/>
      <c r="AI400" s="272"/>
      <c r="AJ400" s="272"/>
      <c r="AK400" s="272"/>
      <c r="AL400" s="272"/>
      <c r="AM400" s="272"/>
      <c r="AN400" s="272"/>
      <c r="AO400" s="272"/>
      <c r="AP400" s="272"/>
      <c r="AQ400" s="272"/>
      <c r="AR400" s="272"/>
      <c r="AS400" s="272"/>
      <c r="AT400" s="272"/>
      <c r="AU400" s="286"/>
    </row>
    <row r="401" spans="1:47" ht="60" customHeight="1" x14ac:dyDescent="0.35">
      <c r="A401" s="282" t="s">
        <v>5611</v>
      </c>
      <c r="B401" s="260" t="s">
        <v>5643</v>
      </c>
      <c r="C401" s="261" t="s">
        <v>5673</v>
      </c>
      <c r="D401" s="264" t="s">
        <v>5674</v>
      </c>
      <c r="E401" s="265" t="s">
        <v>4897</v>
      </c>
      <c r="F401" s="268" t="s">
        <v>5646</v>
      </c>
      <c r="G401" s="271" t="str">
        <f>IF(COUNTIF(H401:AU401,"&lt;&gt;")=0,"",SUMPRODUCT(((Recommendations[ImplStatus]="Implemented")+(Recommendations[ImplStatus]="Compensated"))*ISNUMBER(MATCH(Recommendations[Id],H401:AU401,0)))/COUNTIF(H401:AU401,"&lt;&gt;"))</f>
        <v/>
      </c>
      <c r="H401" s="272"/>
      <c r="I401" s="272"/>
      <c r="J401" s="272"/>
      <c r="K401" s="272"/>
      <c r="L401" s="272"/>
      <c r="M401" s="272"/>
      <c r="N401" s="272"/>
      <c r="O401" s="272"/>
      <c r="P401" s="272"/>
      <c r="Q401" s="272"/>
      <c r="R401" s="272"/>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c r="AN401" s="272"/>
      <c r="AO401" s="272"/>
      <c r="AP401" s="272"/>
      <c r="AQ401" s="272"/>
      <c r="AR401" s="272"/>
      <c r="AS401" s="272"/>
      <c r="AT401" s="272"/>
      <c r="AU401" s="286"/>
    </row>
    <row r="402" spans="1:47" ht="60" customHeight="1" x14ac:dyDescent="0.35">
      <c r="A402" s="282" t="s">
        <v>5611</v>
      </c>
      <c r="B402" s="260" t="s">
        <v>5643</v>
      </c>
      <c r="C402" s="261" t="s">
        <v>5675</v>
      </c>
      <c r="D402" s="264" t="s">
        <v>5676</v>
      </c>
      <c r="E402" s="265" t="s">
        <v>4897</v>
      </c>
      <c r="F402" s="268" t="s">
        <v>5646</v>
      </c>
      <c r="G402" s="271" t="str">
        <f>IF(COUNTIF(H402:AU402,"&lt;&gt;")=0,"",SUMPRODUCT(((Recommendations[ImplStatus]="Implemented")+(Recommendations[ImplStatus]="Compensated"))*ISNUMBER(MATCH(Recommendations[Id],H402:AU402,0)))/COUNTIF(H402:AU402,"&lt;&gt;"))</f>
        <v/>
      </c>
      <c r="H402" s="272"/>
      <c r="I402" s="272"/>
      <c r="J402" s="272"/>
      <c r="K402" s="272"/>
      <c r="L402" s="272"/>
      <c r="M402" s="272"/>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c r="AO402" s="272"/>
      <c r="AP402" s="272"/>
      <c r="AQ402" s="272"/>
      <c r="AR402" s="272"/>
      <c r="AS402" s="272"/>
      <c r="AT402" s="272"/>
      <c r="AU402" s="286"/>
    </row>
    <row r="403" spans="1:47" ht="60" customHeight="1" x14ac:dyDescent="0.35">
      <c r="A403" s="282" t="s">
        <v>5611</v>
      </c>
      <c r="B403" s="260" t="s">
        <v>5643</v>
      </c>
      <c r="C403" s="261" t="s">
        <v>5677</v>
      </c>
      <c r="D403" s="264" t="s">
        <v>5678</v>
      </c>
      <c r="E403" s="265" t="s">
        <v>4897</v>
      </c>
      <c r="F403" s="268" t="s">
        <v>5646</v>
      </c>
      <c r="G403" s="271" t="str">
        <f>IF(COUNTIF(H403:AU403,"&lt;&gt;")=0,"",SUMPRODUCT(((Recommendations[ImplStatus]="Implemented")+(Recommendations[ImplStatus]="Compensated"))*ISNUMBER(MATCH(Recommendations[Id],H403:AU403,0)))/COUNTIF(H403:AU403,"&lt;&gt;"))</f>
        <v/>
      </c>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c r="AN403" s="272"/>
      <c r="AO403" s="272"/>
      <c r="AP403" s="272"/>
      <c r="AQ403" s="272"/>
      <c r="AR403" s="272"/>
      <c r="AS403" s="272"/>
      <c r="AT403" s="272"/>
      <c r="AU403" s="286"/>
    </row>
    <row r="404" spans="1:47" ht="60" customHeight="1" x14ac:dyDescent="0.35">
      <c r="A404" s="282" t="s">
        <v>5611</v>
      </c>
      <c r="B404" s="260" t="s">
        <v>5643</v>
      </c>
      <c r="C404" s="261" t="s">
        <v>5679</v>
      </c>
      <c r="D404" s="264" t="s">
        <v>5680</v>
      </c>
      <c r="E404" s="265" t="s">
        <v>5012</v>
      </c>
      <c r="F404" s="268" t="s">
        <v>5646</v>
      </c>
      <c r="G404" s="271" t="str">
        <f>IF(COUNTIF(H404:AU404,"&lt;&gt;")=0,"",SUMPRODUCT(((Recommendations[ImplStatus]="Implemented")+(Recommendations[ImplStatus]="Compensated"))*ISNUMBER(MATCH(Recommendations[Id],H404:AU404,0)))/COUNTIF(H404:AU404,"&lt;&gt;"))</f>
        <v/>
      </c>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c r="AN404" s="272"/>
      <c r="AO404" s="272"/>
      <c r="AP404" s="272"/>
      <c r="AQ404" s="272"/>
      <c r="AR404" s="272"/>
      <c r="AS404" s="272"/>
      <c r="AT404" s="272"/>
      <c r="AU404" s="286"/>
    </row>
    <row r="405" spans="1:47" ht="60" customHeight="1" x14ac:dyDescent="0.35">
      <c r="A405" s="282" t="s">
        <v>5611</v>
      </c>
      <c r="B405" s="260" t="s">
        <v>5643</v>
      </c>
      <c r="C405" s="261" t="s">
        <v>5681</v>
      </c>
      <c r="D405" s="264" t="s">
        <v>5682</v>
      </c>
      <c r="E405" s="265" t="s">
        <v>5012</v>
      </c>
      <c r="F405" s="268" t="s">
        <v>5646</v>
      </c>
      <c r="G405" s="271" t="str">
        <f>IF(COUNTIF(H405:AU405,"&lt;&gt;")=0,"",SUMPRODUCT(((Recommendations[ImplStatus]="Implemented")+(Recommendations[ImplStatus]="Compensated"))*ISNUMBER(MATCH(Recommendations[Id],H405:AU405,0)))/COUNTIF(H405:AU405,"&lt;&gt;"))</f>
        <v/>
      </c>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c r="AO405" s="272"/>
      <c r="AP405" s="272"/>
      <c r="AQ405" s="272"/>
      <c r="AR405" s="272"/>
      <c r="AS405" s="272"/>
      <c r="AT405" s="272"/>
      <c r="AU405" s="286"/>
    </row>
    <row r="406" spans="1:47" ht="60" customHeight="1" x14ac:dyDescent="0.35">
      <c r="A406" s="282" t="s">
        <v>5611</v>
      </c>
      <c r="B406" s="260" t="s">
        <v>5643</v>
      </c>
      <c r="C406" s="261" t="s">
        <v>5683</v>
      </c>
      <c r="D406" s="264" t="s">
        <v>5684</v>
      </c>
      <c r="E406" s="265" t="s">
        <v>5012</v>
      </c>
      <c r="F406" s="268" t="s">
        <v>5685</v>
      </c>
      <c r="G406" s="271" t="str">
        <f>IF(COUNTIF(H406:AU406,"&lt;&gt;")=0,"",SUMPRODUCT(((Recommendations[ImplStatus]="Implemented")+(Recommendations[ImplStatus]="Compensated"))*ISNUMBER(MATCH(Recommendations[Id],H406:AU406,0)))/COUNTIF(H406:AU406,"&lt;&gt;"))</f>
        <v/>
      </c>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c r="AN406" s="272"/>
      <c r="AO406" s="272"/>
      <c r="AP406" s="272"/>
      <c r="AQ406" s="272"/>
      <c r="AR406" s="272"/>
      <c r="AS406" s="272"/>
      <c r="AT406" s="272"/>
      <c r="AU406" s="286"/>
    </row>
    <row r="407" spans="1:47" ht="60" customHeight="1" x14ac:dyDescent="0.35">
      <c r="A407" s="282" t="s">
        <v>5611</v>
      </c>
      <c r="B407" s="260" t="s">
        <v>5643</v>
      </c>
      <c r="C407" s="261" t="s">
        <v>5686</v>
      </c>
      <c r="D407" s="264" t="s">
        <v>5687</v>
      </c>
      <c r="E407" s="265" t="s">
        <v>5012</v>
      </c>
      <c r="F407" s="268" t="s">
        <v>5646</v>
      </c>
      <c r="G407" s="271" t="str">
        <f>IF(COUNTIF(H407:AU407,"&lt;&gt;")=0,"",SUMPRODUCT(((Recommendations[ImplStatus]="Implemented")+(Recommendations[ImplStatus]="Compensated"))*ISNUMBER(MATCH(Recommendations[Id],H407:AU407,0)))/COUNTIF(H407:AU407,"&lt;&gt;"))</f>
        <v/>
      </c>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272"/>
      <c r="AQ407" s="272"/>
      <c r="AR407" s="272"/>
      <c r="AS407" s="272"/>
      <c r="AT407" s="272"/>
      <c r="AU407" s="286"/>
    </row>
    <row r="408" spans="1:47" ht="60" customHeight="1" x14ac:dyDescent="0.35">
      <c r="A408" s="282" t="s">
        <v>5611</v>
      </c>
      <c r="B408" s="260" t="s">
        <v>5643</v>
      </c>
      <c r="C408" s="261" t="s">
        <v>5688</v>
      </c>
      <c r="D408" s="264" t="s">
        <v>5689</v>
      </c>
      <c r="E408" s="265" t="s">
        <v>5012</v>
      </c>
      <c r="F408" s="268" t="s">
        <v>5646</v>
      </c>
      <c r="G408" s="271" t="str">
        <f>IF(COUNTIF(H408:AU408,"&lt;&gt;")=0,"",SUMPRODUCT(((Recommendations[ImplStatus]="Implemented")+(Recommendations[ImplStatus]="Compensated"))*ISNUMBER(MATCH(Recommendations[Id],H408:AU408,0)))/COUNTIF(H408:AU408,"&lt;&gt;"))</f>
        <v/>
      </c>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c r="AO408" s="272"/>
      <c r="AP408" s="272"/>
      <c r="AQ408" s="272"/>
      <c r="AR408" s="272"/>
      <c r="AS408" s="272"/>
      <c r="AT408" s="272"/>
      <c r="AU408" s="286"/>
    </row>
    <row r="409" spans="1:47" ht="60" customHeight="1" x14ac:dyDescent="0.35">
      <c r="A409" s="282" t="s">
        <v>5611</v>
      </c>
      <c r="B409" s="260" t="s">
        <v>5643</v>
      </c>
      <c r="C409" s="261" t="s">
        <v>5690</v>
      </c>
      <c r="D409" s="264" t="s">
        <v>5691</v>
      </c>
      <c r="E409" s="265" t="s">
        <v>5012</v>
      </c>
      <c r="F409" s="268" t="s">
        <v>5692</v>
      </c>
      <c r="G409" s="271" t="str">
        <f>IF(COUNTIF(H409:AU409,"&lt;&gt;")=0,"",SUMPRODUCT(((Recommendations[ImplStatus]="Implemented")+(Recommendations[ImplStatus]="Compensated"))*ISNUMBER(MATCH(Recommendations[Id],H409:AU409,0)))/COUNTIF(H409:AU409,"&lt;&gt;"))</f>
        <v/>
      </c>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c r="AN409" s="272"/>
      <c r="AO409" s="272"/>
      <c r="AP409" s="272"/>
      <c r="AQ409" s="272"/>
      <c r="AR409" s="272"/>
      <c r="AS409" s="272"/>
      <c r="AT409" s="272"/>
      <c r="AU409" s="286"/>
    </row>
    <row r="410" spans="1:47" ht="60" customHeight="1" outlineLevel="2" x14ac:dyDescent="0.35">
      <c r="A410" s="281" t="s">
        <v>5611</v>
      </c>
      <c r="B410" s="259" t="s">
        <v>5693</v>
      </c>
      <c r="C410" s="259"/>
      <c r="D410" s="263"/>
      <c r="E410" s="259"/>
      <c r="F410" s="267"/>
      <c r="G410" s="270" t="str">
        <f>IF(COUNTIF(H410:AU410,"&lt;&gt;")=0,"",SUMPRODUCT(((Recommendations[ImplStatus]="Implemented")+(Recommendations[ImplStatus]="Compensated"))*ISNUMBER(MATCH(Recommendations[Id],H410:AU410,0)))/COUNTIF(H410:AU410,"&lt;&gt;"))</f>
        <v/>
      </c>
      <c r="H410" s="267"/>
      <c r="I410" s="267"/>
      <c r="J410" s="267"/>
      <c r="K410" s="267"/>
      <c r="L410" s="267"/>
      <c r="M410" s="267"/>
      <c r="N410" s="267"/>
      <c r="O410" s="267"/>
      <c r="P410" s="267"/>
      <c r="Q410" s="267"/>
      <c r="R410" s="267"/>
      <c r="S410" s="267"/>
      <c r="T410" s="267"/>
      <c r="U410" s="267"/>
      <c r="V410" s="267"/>
      <c r="W410" s="267"/>
      <c r="X410" s="267"/>
      <c r="Y410" s="267"/>
      <c r="Z410" s="267"/>
      <c r="AA410" s="267"/>
      <c r="AB410" s="267"/>
      <c r="AC410" s="267"/>
      <c r="AD410" s="267"/>
      <c r="AE410" s="267"/>
      <c r="AF410" s="267"/>
      <c r="AG410" s="267"/>
      <c r="AH410" s="267"/>
      <c r="AI410" s="267"/>
      <c r="AJ410" s="267"/>
      <c r="AK410" s="267"/>
      <c r="AL410" s="267"/>
      <c r="AM410" s="267"/>
      <c r="AN410" s="267"/>
      <c r="AO410" s="267"/>
      <c r="AP410" s="267"/>
      <c r="AQ410" s="267"/>
      <c r="AR410" s="267"/>
      <c r="AS410" s="267"/>
      <c r="AT410" s="267"/>
      <c r="AU410" s="285"/>
    </row>
    <row r="411" spans="1:47" ht="60" customHeight="1" x14ac:dyDescent="0.35">
      <c r="A411" s="282" t="s">
        <v>5611</v>
      </c>
      <c r="B411" s="260" t="s">
        <v>5693</v>
      </c>
      <c r="C411" s="261" t="s">
        <v>5694</v>
      </c>
      <c r="D411" s="264" t="s">
        <v>5695</v>
      </c>
      <c r="E411" s="265" t="s">
        <v>4868</v>
      </c>
      <c r="F411" s="268" t="s">
        <v>5618</v>
      </c>
      <c r="G411" s="271" t="str">
        <f>IF(COUNTIF(H411:AU411,"&lt;&gt;")=0,"",SUMPRODUCT(((Recommendations[ImplStatus]="Implemented")+(Recommendations[ImplStatus]="Compensated"))*ISNUMBER(MATCH(Recommendations[Id],H411:AU411,0)))/COUNTIF(H411:AU411,"&lt;&gt;"))</f>
        <v/>
      </c>
      <c r="H411" s="272"/>
      <c r="I411" s="272"/>
      <c r="J411" s="272"/>
      <c r="K411" s="272"/>
      <c r="L411" s="272"/>
      <c r="M411" s="272"/>
      <c r="N411" s="272"/>
      <c r="O411" s="272"/>
      <c r="P411" s="272"/>
      <c r="Q411" s="272"/>
      <c r="R411" s="272"/>
      <c r="S411" s="272"/>
      <c r="T411" s="272"/>
      <c r="U411" s="272"/>
      <c r="V411" s="272"/>
      <c r="W411" s="272"/>
      <c r="X411" s="272"/>
      <c r="Y411" s="272"/>
      <c r="Z411" s="272"/>
      <c r="AA411" s="272"/>
      <c r="AB411" s="272"/>
      <c r="AC411" s="272"/>
      <c r="AD411" s="272"/>
      <c r="AE411" s="272"/>
      <c r="AF411" s="272"/>
      <c r="AG411" s="272"/>
      <c r="AH411" s="272"/>
      <c r="AI411" s="272"/>
      <c r="AJ411" s="272"/>
      <c r="AK411" s="272"/>
      <c r="AL411" s="272"/>
      <c r="AM411" s="272"/>
      <c r="AN411" s="272"/>
      <c r="AO411" s="272"/>
      <c r="AP411" s="272"/>
      <c r="AQ411" s="272"/>
      <c r="AR411" s="272"/>
      <c r="AS411" s="272"/>
      <c r="AT411" s="272"/>
      <c r="AU411" s="286"/>
    </row>
    <row r="412" spans="1:47" ht="60" customHeight="1" x14ac:dyDescent="0.35">
      <c r="A412" s="282" t="s">
        <v>5611</v>
      </c>
      <c r="B412" s="260" t="s">
        <v>5693</v>
      </c>
      <c r="C412" s="261" t="s">
        <v>5696</v>
      </c>
      <c r="D412" s="264" t="s">
        <v>5697</v>
      </c>
      <c r="E412" s="265" t="s">
        <v>4868</v>
      </c>
      <c r="F412" s="268" t="s">
        <v>5618</v>
      </c>
      <c r="G412" s="271" t="str">
        <f>IF(COUNTIF(H412:AU412,"&lt;&gt;")=0,"",SUMPRODUCT(((Recommendations[ImplStatus]="Implemented")+(Recommendations[ImplStatus]="Compensated"))*ISNUMBER(MATCH(Recommendations[Id],H412:AU412,0)))/COUNTIF(H412:AU412,"&lt;&gt;"))</f>
        <v/>
      </c>
      <c r="H412" s="272"/>
      <c r="I412" s="272"/>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c r="AN412" s="272"/>
      <c r="AO412" s="272"/>
      <c r="AP412" s="272"/>
      <c r="AQ412" s="272"/>
      <c r="AR412" s="272"/>
      <c r="AS412" s="272"/>
      <c r="AT412" s="272"/>
      <c r="AU412" s="286"/>
    </row>
    <row r="413" spans="1:47" ht="60" customHeight="1" x14ac:dyDescent="0.35">
      <c r="A413" s="282" t="s">
        <v>5611</v>
      </c>
      <c r="B413" s="260" t="s">
        <v>5693</v>
      </c>
      <c r="C413" s="261" t="s">
        <v>5698</v>
      </c>
      <c r="D413" s="264" t="s">
        <v>5699</v>
      </c>
      <c r="E413" s="265" t="s">
        <v>4868</v>
      </c>
      <c r="F413" s="268" t="s">
        <v>5618</v>
      </c>
      <c r="G413" s="271" t="str">
        <f>IF(COUNTIF(H413:AU413,"&lt;&gt;")=0,"",SUMPRODUCT(((Recommendations[ImplStatus]="Implemented")+(Recommendations[ImplStatus]="Compensated"))*ISNUMBER(MATCH(Recommendations[Id],H413:AU413,0)))/COUNTIF(H413:AU413,"&lt;&gt;"))</f>
        <v/>
      </c>
      <c r="H413" s="272"/>
      <c r="I413" s="272"/>
      <c r="J413" s="272"/>
      <c r="K413" s="272"/>
      <c r="L413" s="272"/>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c r="AO413" s="272"/>
      <c r="AP413" s="272"/>
      <c r="AQ413" s="272"/>
      <c r="AR413" s="272"/>
      <c r="AS413" s="272"/>
      <c r="AT413" s="272"/>
      <c r="AU413" s="286"/>
    </row>
    <row r="414" spans="1:47" ht="60" customHeight="1" x14ac:dyDescent="0.35">
      <c r="A414" s="282" t="s">
        <v>5611</v>
      </c>
      <c r="B414" s="260" t="s">
        <v>5693</v>
      </c>
      <c r="C414" s="261" t="s">
        <v>5700</v>
      </c>
      <c r="D414" s="264" t="s">
        <v>5701</v>
      </c>
      <c r="E414" s="265" t="s">
        <v>4868</v>
      </c>
      <c r="F414" s="268" t="s">
        <v>5618</v>
      </c>
      <c r="G414" s="271" t="str">
        <f>IF(COUNTIF(H414:AU414,"&lt;&gt;")=0,"",SUMPRODUCT(((Recommendations[ImplStatus]="Implemented")+(Recommendations[ImplStatus]="Compensated"))*ISNUMBER(MATCH(Recommendations[Id],H414:AU414,0)))/COUNTIF(H414:AU414,"&lt;&gt;"))</f>
        <v/>
      </c>
      <c r="H414" s="272"/>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86"/>
    </row>
    <row r="415" spans="1:47" ht="60" customHeight="1" x14ac:dyDescent="0.35">
      <c r="A415" s="282" t="s">
        <v>5611</v>
      </c>
      <c r="B415" s="260" t="s">
        <v>5693</v>
      </c>
      <c r="C415" s="261" t="s">
        <v>5702</v>
      </c>
      <c r="D415" s="264" t="s">
        <v>5703</v>
      </c>
      <c r="E415" s="265" t="s">
        <v>4897</v>
      </c>
      <c r="F415" s="268" t="s">
        <v>5618</v>
      </c>
      <c r="G415" s="271" t="str">
        <f>IF(COUNTIF(H415:AU415,"&lt;&gt;")=0,"",SUMPRODUCT(((Recommendations[ImplStatus]="Implemented")+(Recommendations[ImplStatus]="Compensated"))*ISNUMBER(MATCH(Recommendations[Id],H415:AU415,0)))/COUNTIF(H415:AU415,"&lt;&gt;"))</f>
        <v/>
      </c>
      <c r="H415" s="272"/>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2"/>
      <c r="AT415" s="272"/>
      <c r="AU415" s="286"/>
    </row>
    <row r="416" spans="1:47" ht="60" customHeight="1" x14ac:dyDescent="0.35">
      <c r="A416" s="282" t="s">
        <v>5611</v>
      </c>
      <c r="B416" s="260" t="s">
        <v>5693</v>
      </c>
      <c r="C416" s="261" t="s">
        <v>5704</v>
      </c>
      <c r="D416" s="264" t="s">
        <v>5705</v>
      </c>
      <c r="E416" s="265" t="s">
        <v>4897</v>
      </c>
      <c r="F416" s="268" t="s">
        <v>5706</v>
      </c>
      <c r="G416" s="271" t="str">
        <f>IF(COUNTIF(H416:AU416,"&lt;&gt;")=0,"",SUMPRODUCT(((Recommendations[ImplStatus]="Implemented")+(Recommendations[ImplStatus]="Compensated"))*ISNUMBER(MATCH(Recommendations[Id],H416:AU416,0)))/COUNTIF(H416:AU416,"&lt;&gt;"))</f>
        <v/>
      </c>
      <c r="H416" s="272"/>
      <c r="I416" s="272"/>
      <c r="J416" s="272"/>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2"/>
      <c r="AT416" s="272"/>
      <c r="AU416" s="286"/>
    </row>
    <row r="417" spans="1:47" ht="60" customHeight="1" x14ac:dyDescent="0.35">
      <c r="A417" s="282" t="s">
        <v>5611</v>
      </c>
      <c r="B417" s="260" t="s">
        <v>5693</v>
      </c>
      <c r="C417" s="261" t="s">
        <v>5707</v>
      </c>
      <c r="D417" s="264" t="s">
        <v>5708</v>
      </c>
      <c r="E417" s="265" t="s">
        <v>4897</v>
      </c>
      <c r="F417" s="268" t="s">
        <v>5706</v>
      </c>
      <c r="G417" s="271" t="str">
        <f>IF(COUNTIF(H417:AU417,"&lt;&gt;")=0,"",SUMPRODUCT(((Recommendations[ImplStatus]="Implemented")+(Recommendations[ImplStatus]="Compensated"))*ISNUMBER(MATCH(Recommendations[Id],H417:AU417,0)))/COUNTIF(H417:AU417,"&lt;&gt;"))</f>
        <v/>
      </c>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c r="AO417" s="272"/>
      <c r="AP417" s="272"/>
      <c r="AQ417" s="272"/>
      <c r="AR417" s="272"/>
      <c r="AS417" s="272"/>
      <c r="AT417" s="272"/>
      <c r="AU417" s="286"/>
    </row>
    <row r="418" spans="1:47" ht="60" customHeight="1" x14ac:dyDescent="0.35">
      <c r="A418" s="282" t="s">
        <v>5611</v>
      </c>
      <c r="B418" s="260" t="s">
        <v>5693</v>
      </c>
      <c r="C418" s="261" t="s">
        <v>5709</v>
      </c>
      <c r="D418" s="264" t="s">
        <v>5710</v>
      </c>
      <c r="E418" s="265" t="s">
        <v>5147</v>
      </c>
      <c r="F418" s="268" t="s">
        <v>5706</v>
      </c>
      <c r="G418" s="271" t="str">
        <f>IF(COUNTIF(H418:AU418,"&lt;&gt;")=0,"",SUMPRODUCT(((Recommendations[ImplStatus]="Implemented")+(Recommendations[ImplStatus]="Compensated"))*ISNUMBER(MATCH(Recommendations[Id],H418:AU418,0)))/COUNTIF(H418:AU418,"&lt;&gt;"))</f>
        <v/>
      </c>
      <c r="H418" s="272"/>
      <c r="I418" s="272"/>
      <c r="J418" s="272"/>
      <c r="K418" s="272"/>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c r="AO418" s="272"/>
      <c r="AP418" s="272"/>
      <c r="AQ418" s="272"/>
      <c r="AR418" s="272"/>
      <c r="AS418" s="272"/>
      <c r="AT418" s="272"/>
      <c r="AU418" s="286"/>
    </row>
    <row r="419" spans="1:47" ht="60" customHeight="1" x14ac:dyDescent="0.35">
      <c r="A419" s="282" t="s">
        <v>5611</v>
      </c>
      <c r="B419" s="260" t="s">
        <v>5693</v>
      </c>
      <c r="C419" s="261" t="s">
        <v>5711</v>
      </c>
      <c r="D419" s="264" t="s">
        <v>5712</v>
      </c>
      <c r="E419" s="265" t="s">
        <v>4897</v>
      </c>
      <c r="F419" s="268" t="s">
        <v>5706</v>
      </c>
      <c r="G419" s="271" t="str">
        <f>IF(COUNTIF(H419:AU419,"&lt;&gt;")=0,"",SUMPRODUCT(((Recommendations[ImplStatus]="Implemented")+(Recommendations[ImplStatus]="Compensated"))*ISNUMBER(MATCH(Recommendations[Id],H419:AU419,0)))/COUNTIF(H419:AU419,"&lt;&gt;"))</f>
        <v/>
      </c>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86"/>
    </row>
    <row r="420" spans="1:47" ht="60" customHeight="1" x14ac:dyDescent="0.35">
      <c r="A420" s="282" t="s">
        <v>5611</v>
      </c>
      <c r="B420" s="260" t="s">
        <v>5693</v>
      </c>
      <c r="C420" s="261" t="s">
        <v>5713</v>
      </c>
      <c r="D420" s="264" t="s">
        <v>5714</v>
      </c>
      <c r="E420" s="265" t="s">
        <v>5147</v>
      </c>
      <c r="F420" s="268" t="s">
        <v>5706</v>
      </c>
      <c r="G420" s="271" t="str">
        <f>IF(COUNTIF(H420:AU420,"&lt;&gt;")=0,"",SUMPRODUCT(((Recommendations[ImplStatus]="Implemented")+(Recommendations[ImplStatus]="Compensated"))*ISNUMBER(MATCH(Recommendations[Id],H420:AU420,0)))/COUNTIF(H420:AU420,"&lt;&gt;"))</f>
        <v/>
      </c>
      <c r="H420" s="272"/>
      <c r="I420" s="272"/>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86"/>
    </row>
    <row r="421" spans="1:47" ht="60" customHeight="1" x14ac:dyDescent="0.35">
      <c r="A421" s="282" t="s">
        <v>5611</v>
      </c>
      <c r="B421" s="260" t="s">
        <v>5693</v>
      </c>
      <c r="C421" s="261" t="s">
        <v>5715</v>
      </c>
      <c r="D421" s="264" t="s">
        <v>5716</v>
      </c>
      <c r="E421" s="265" t="s">
        <v>5147</v>
      </c>
      <c r="F421" s="268" t="s">
        <v>5706</v>
      </c>
      <c r="G421" s="271" t="str">
        <f>IF(COUNTIF(H421:AU421,"&lt;&gt;")=0,"",SUMPRODUCT(((Recommendations[ImplStatus]="Implemented")+(Recommendations[ImplStatus]="Compensated"))*ISNUMBER(MATCH(Recommendations[Id],H421:AU421,0)))/COUNTIF(H421:AU421,"&lt;&gt;"))</f>
        <v/>
      </c>
      <c r="H421" s="272"/>
      <c r="I421" s="272"/>
      <c r="J421" s="272"/>
      <c r="K421" s="272"/>
      <c r="L421" s="272"/>
      <c r="M421" s="272"/>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86"/>
    </row>
    <row r="422" spans="1:47" ht="60" customHeight="1" x14ac:dyDescent="0.35">
      <c r="A422" s="282" t="s">
        <v>5611</v>
      </c>
      <c r="B422" s="260" t="s">
        <v>5693</v>
      </c>
      <c r="C422" s="261" t="s">
        <v>5717</v>
      </c>
      <c r="D422" s="264" t="s">
        <v>5718</v>
      </c>
      <c r="E422" s="265" t="s">
        <v>4897</v>
      </c>
      <c r="F422" s="268" t="s">
        <v>5706</v>
      </c>
      <c r="G422" s="271" t="str">
        <f>IF(COUNTIF(H422:AU422,"&lt;&gt;")=0,"",SUMPRODUCT(((Recommendations[ImplStatus]="Implemented")+(Recommendations[ImplStatus]="Compensated"))*ISNUMBER(MATCH(Recommendations[Id],H422:AU422,0)))/COUNTIF(H422:AU422,"&lt;&gt;"))</f>
        <v/>
      </c>
      <c r="H422" s="272"/>
      <c r="I422" s="272"/>
      <c r="J422" s="272"/>
      <c r="K422" s="272"/>
      <c r="L422" s="272"/>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86"/>
    </row>
    <row r="423" spans="1:47" ht="60" customHeight="1" x14ac:dyDescent="0.35">
      <c r="A423" s="282" t="s">
        <v>5611</v>
      </c>
      <c r="B423" s="260" t="s">
        <v>5693</v>
      </c>
      <c r="C423" s="261" t="s">
        <v>5719</v>
      </c>
      <c r="D423" s="264" t="s">
        <v>5720</v>
      </c>
      <c r="E423" s="265" t="s">
        <v>4897</v>
      </c>
      <c r="F423" s="268" t="s">
        <v>5706</v>
      </c>
      <c r="G423" s="271" t="str">
        <f>IF(COUNTIF(H423:AU423,"&lt;&gt;")=0,"",SUMPRODUCT(((Recommendations[ImplStatus]="Implemented")+(Recommendations[ImplStatus]="Compensated"))*ISNUMBER(MATCH(Recommendations[Id],H423:AU423,0)))/COUNTIF(H423:AU423,"&lt;&gt;"))</f>
        <v/>
      </c>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c r="AO423" s="272"/>
      <c r="AP423" s="272"/>
      <c r="AQ423" s="272"/>
      <c r="AR423" s="272"/>
      <c r="AS423" s="272"/>
      <c r="AT423" s="272"/>
      <c r="AU423" s="286"/>
    </row>
    <row r="424" spans="1:47" ht="60" customHeight="1" outlineLevel="1" x14ac:dyDescent="0.35">
      <c r="A424" s="280" t="s">
        <v>5721</v>
      </c>
      <c r="B424" s="258"/>
      <c r="C424" s="258"/>
      <c r="D424" s="262"/>
      <c r="E424" s="258"/>
      <c r="F424" s="266"/>
      <c r="G424" s="269" t="str">
        <f>IF(COUNTIF(H424:AU424,"&lt;&gt;")=0,"",SUMPRODUCT(((Recommendations[ImplStatus]="Implemented")+(Recommendations[ImplStatus]="Compensated"))*ISNUMBER(MATCH(Recommendations[Id],H424:AU424,0)))/COUNTIF(H424:AU424,"&lt;&gt;"))</f>
        <v/>
      </c>
      <c r="H424" s="266"/>
      <c r="I424" s="266"/>
      <c r="J424" s="266"/>
      <c r="K424" s="266"/>
      <c r="L424" s="266"/>
      <c r="M424" s="266"/>
      <c r="N424" s="266"/>
      <c r="O424" s="266"/>
      <c r="P424" s="266"/>
      <c r="Q424" s="266"/>
      <c r="R424" s="266"/>
      <c r="S424" s="266"/>
      <c r="T424" s="266"/>
      <c r="U424" s="266"/>
      <c r="V424" s="266"/>
      <c r="W424" s="266"/>
      <c r="X424" s="266"/>
      <c r="Y424" s="266"/>
      <c r="Z424" s="266"/>
      <c r="AA424" s="266"/>
      <c r="AB424" s="266"/>
      <c r="AC424" s="266"/>
      <c r="AD424" s="266"/>
      <c r="AE424" s="266"/>
      <c r="AF424" s="266"/>
      <c r="AG424" s="266"/>
      <c r="AH424" s="266"/>
      <c r="AI424" s="266"/>
      <c r="AJ424" s="266"/>
      <c r="AK424" s="266"/>
      <c r="AL424" s="266"/>
      <c r="AM424" s="266"/>
      <c r="AN424" s="266"/>
      <c r="AO424" s="266"/>
      <c r="AP424" s="266"/>
      <c r="AQ424" s="266"/>
      <c r="AR424" s="266"/>
      <c r="AS424" s="266"/>
      <c r="AT424" s="266"/>
      <c r="AU424" s="284"/>
    </row>
    <row r="425" spans="1:47" ht="60" customHeight="1" outlineLevel="2" x14ac:dyDescent="0.35">
      <c r="A425" s="281" t="s">
        <v>5721</v>
      </c>
      <c r="B425" s="259" t="s">
        <v>5722</v>
      </c>
      <c r="C425" s="259"/>
      <c r="D425" s="263"/>
      <c r="E425" s="259"/>
      <c r="F425" s="267"/>
      <c r="G425" s="270" t="str">
        <f>IF(COUNTIF(H425:AU425,"&lt;&gt;")=0,"",SUMPRODUCT(((Recommendations[ImplStatus]="Implemented")+(Recommendations[ImplStatus]="Compensated"))*ISNUMBER(MATCH(Recommendations[Id],H425:AU425,0)))/COUNTIF(H425:AU425,"&lt;&gt;"))</f>
        <v/>
      </c>
      <c r="H425" s="267"/>
      <c r="I425" s="267"/>
      <c r="J425" s="267"/>
      <c r="K425" s="267"/>
      <c r="L425" s="267"/>
      <c r="M425" s="267"/>
      <c r="N425" s="267"/>
      <c r="O425" s="267"/>
      <c r="P425" s="267"/>
      <c r="Q425" s="267"/>
      <c r="R425" s="267"/>
      <c r="S425" s="267"/>
      <c r="T425" s="267"/>
      <c r="U425" s="267"/>
      <c r="V425" s="267"/>
      <c r="W425" s="267"/>
      <c r="X425" s="267"/>
      <c r="Y425" s="267"/>
      <c r="Z425" s="267"/>
      <c r="AA425" s="267"/>
      <c r="AB425" s="267"/>
      <c r="AC425" s="267"/>
      <c r="AD425" s="267"/>
      <c r="AE425" s="267"/>
      <c r="AF425" s="267"/>
      <c r="AG425" s="267"/>
      <c r="AH425" s="267"/>
      <c r="AI425" s="267"/>
      <c r="AJ425" s="267"/>
      <c r="AK425" s="267"/>
      <c r="AL425" s="267"/>
      <c r="AM425" s="267"/>
      <c r="AN425" s="267"/>
      <c r="AO425" s="267"/>
      <c r="AP425" s="267"/>
      <c r="AQ425" s="267"/>
      <c r="AR425" s="267"/>
      <c r="AS425" s="267"/>
      <c r="AT425" s="267"/>
      <c r="AU425" s="285"/>
    </row>
    <row r="426" spans="1:47" ht="60" customHeight="1" x14ac:dyDescent="0.35">
      <c r="A426" s="282" t="s">
        <v>5721</v>
      </c>
      <c r="B426" s="260" t="s">
        <v>5722</v>
      </c>
      <c r="C426" s="261" t="s">
        <v>5723</v>
      </c>
      <c r="D426" s="264" t="s">
        <v>5724</v>
      </c>
      <c r="E426" s="265" t="s">
        <v>4868</v>
      </c>
      <c r="F426" s="268" t="s">
        <v>5685</v>
      </c>
      <c r="G426" s="271" t="str">
        <f>IF(COUNTIF(H426:AU426,"&lt;&gt;")=0,"",SUMPRODUCT(((Recommendations[ImplStatus]="Implemented")+(Recommendations[ImplStatus]="Compensated"))*ISNUMBER(MATCH(Recommendations[Id],H426:AU426,0)))/COUNTIF(H426:AU426,"&lt;&gt;"))</f>
        <v/>
      </c>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2"/>
      <c r="AT426" s="272"/>
      <c r="AU426" s="286"/>
    </row>
    <row r="427" spans="1:47" ht="60" customHeight="1" x14ac:dyDescent="0.35">
      <c r="A427" s="282" t="s">
        <v>5721</v>
      </c>
      <c r="B427" s="260" t="s">
        <v>5722</v>
      </c>
      <c r="C427" s="261" t="s">
        <v>5725</v>
      </c>
      <c r="D427" s="264" t="s">
        <v>5726</v>
      </c>
      <c r="E427" s="265" t="s">
        <v>4868</v>
      </c>
      <c r="F427" s="268" t="s">
        <v>5685</v>
      </c>
      <c r="G427" s="271" t="str">
        <f>IF(COUNTIF(H427:AU427,"&lt;&gt;")=0,"",SUMPRODUCT(((Recommendations[ImplStatus]="Implemented")+(Recommendations[ImplStatus]="Compensated"))*ISNUMBER(MATCH(Recommendations[Id],H427:AU427,0)))/COUNTIF(H427:AU427,"&lt;&gt;"))</f>
        <v/>
      </c>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2"/>
      <c r="AT427" s="272"/>
      <c r="AU427" s="286"/>
    </row>
    <row r="428" spans="1:47" ht="60" customHeight="1" x14ac:dyDescent="0.35">
      <c r="A428" s="282" t="s">
        <v>5721</v>
      </c>
      <c r="B428" s="260" t="s">
        <v>5722</v>
      </c>
      <c r="C428" s="261" t="s">
        <v>5727</v>
      </c>
      <c r="D428" s="264" t="s">
        <v>5728</v>
      </c>
      <c r="E428" s="265" t="s">
        <v>5147</v>
      </c>
      <c r="F428" s="268" t="s">
        <v>5685</v>
      </c>
      <c r="G428" s="271" t="str">
        <f>IF(COUNTIF(H428:AU428,"&lt;&gt;")=0,"",SUMPRODUCT(((Recommendations[ImplStatus]="Implemented")+(Recommendations[ImplStatus]="Compensated"))*ISNUMBER(MATCH(Recommendations[Id],H428:AU428,0)))/COUNTIF(H428:AU428,"&lt;&gt;"))</f>
        <v/>
      </c>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2"/>
      <c r="AT428" s="272"/>
      <c r="AU428" s="286"/>
    </row>
    <row r="429" spans="1:47" ht="60" customHeight="1" x14ac:dyDescent="0.35">
      <c r="A429" s="282" t="s">
        <v>5721</v>
      </c>
      <c r="B429" s="260" t="s">
        <v>5722</v>
      </c>
      <c r="C429" s="261" t="s">
        <v>5729</v>
      </c>
      <c r="D429" s="264" t="s">
        <v>5730</v>
      </c>
      <c r="E429" s="265" t="s">
        <v>4897</v>
      </c>
      <c r="F429" s="268" t="s">
        <v>5685</v>
      </c>
      <c r="G429" s="271" t="str">
        <f>IF(COUNTIF(H429:AU429,"&lt;&gt;")=0,"",SUMPRODUCT(((Recommendations[ImplStatus]="Implemented")+(Recommendations[ImplStatus]="Compensated"))*ISNUMBER(MATCH(Recommendations[Id],H429:AU429,0)))/COUNTIF(H429:AU429,"&lt;&gt;"))</f>
        <v/>
      </c>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c r="AN429" s="272"/>
      <c r="AO429" s="272"/>
      <c r="AP429" s="272"/>
      <c r="AQ429" s="272"/>
      <c r="AR429" s="272"/>
      <c r="AS429" s="272"/>
      <c r="AT429" s="272"/>
      <c r="AU429" s="286"/>
    </row>
    <row r="430" spans="1:47" ht="60" customHeight="1" x14ac:dyDescent="0.35">
      <c r="A430" s="282" t="s">
        <v>5721</v>
      </c>
      <c r="B430" s="260" t="s">
        <v>5722</v>
      </c>
      <c r="C430" s="261" t="s">
        <v>5731</v>
      </c>
      <c r="D430" s="264" t="s">
        <v>5732</v>
      </c>
      <c r="E430" s="265" t="s">
        <v>4897</v>
      </c>
      <c r="F430" s="268" t="s">
        <v>5685</v>
      </c>
      <c r="G430" s="271" t="str">
        <f>IF(COUNTIF(H430:AU430,"&lt;&gt;")=0,"",SUMPRODUCT(((Recommendations[ImplStatus]="Implemented")+(Recommendations[ImplStatus]="Compensated"))*ISNUMBER(MATCH(Recommendations[Id],H430:AU430,0)))/COUNTIF(H430:AU430,"&lt;&gt;"))</f>
        <v/>
      </c>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c r="AN430" s="272"/>
      <c r="AO430" s="272"/>
      <c r="AP430" s="272"/>
      <c r="AQ430" s="272"/>
      <c r="AR430" s="272"/>
      <c r="AS430" s="272"/>
      <c r="AT430" s="272"/>
      <c r="AU430" s="286"/>
    </row>
    <row r="431" spans="1:47" ht="60" customHeight="1" x14ac:dyDescent="0.35">
      <c r="A431" s="282" t="s">
        <v>5721</v>
      </c>
      <c r="B431" s="260" t="s">
        <v>5722</v>
      </c>
      <c r="C431" s="261" t="s">
        <v>5733</v>
      </c>
      <c r="D431" s="264" t="s">
        <v>5734</v>
      </c>
      <c r="E431" s="265" t="s">
        <v>5147</v>
      </c>
      <c r="F431" s="268" t="s">
        <v>5685</v>
      </c>
      <c r="G431" s="271" t="str">
        <f>IF(COUNTIF(H431:AU431,"&lt;&gt;")=0,"",SUMPRODUCT(((Recommendations[ImplStatus]="Implemented")+(Recommendations[ImplStatus]="Compensated"))*ISNUMBER(MATCH(Recommendations[Id],H431:AU431,0)))/COUNTIF(H431:AU431,"&lt;&gt;"))</f>
        <v/>
      </c>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c r="AO431" s="272"/>
      <c r="AP431" s="272"/>
      <c r="AQ431" s="272"/>
      <c r="AR431" s="272"/>
      <c r="AS431" s="272"/>
      <c r="AT431" s="272"/>
      <c r="AU431" s="286"/>
    </row>
    <row r="432" spans="1:47" ht="60" customHeight="1" x14ac:dyDescent="0.35">
      <c r="A432" s="282" t="s">
        <v>5721</v>
      </c>
      <c r="B432" s="260" t="s">
        <v>5722</v>
      </c>
      <c r="C432" s="261" t="s">
        <v>5735</v>
      </c>
      <c r="D432" s="264" t="s">
        <v>5736</v>
      </c>
      <c r="E432" s="265" t="s">
        <v>5147</v>
      </c>
      <c r="F432" s="268" t="s">
        <v>5685</v>
      </c>
      <c r="G432" s="271" t="str">
        <f>IF(COUNTIF(H432:AU432,"&lt;&gt;")=0,"",SUMPRODUCT(((Recommendations[ImplStatus]="Implemented")+(Recommendations[ImplStatus]="Compensated"))*ISNUMBER(MATCH(Recommendations[Id],H432:AU432,0)))/COUNTIF(H432:AU432,"&lt;&gt;"))</f>
        <v/>
      </c>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2"/>
      <c r="AT432" s="272"/>
      <c r="AU432" s="286"/>
    </row>
    <row r="433" spans="1:47" ht="60" customHeight="1" x14ac:dyDescent="0.35">
      <c r="A433" s="282" t="s">
        <v>5721</v>
      </c>
      <c r="B433" s="260" t="s">
        <v>5722</v>
      </c>
      <c r="C433" s="261" t="s">
        <v>5737</v>
      </c>
      <c r="D433" s="264" t="s">
        <v>5738</v>
      </c>
      <c r="E433" s="265" t="s">
        <v>4964</v>
      </c>
      <c r="F433" s="268" t="s">
        <v>5685</v>
      </c>
      <c r="G433" s="271" t="str">
        <f>IF(COUNTIF(H433:AU433,"&lt;&gt;")=0,"",SUMPRODUCT(((Recommendations[ImplStatus]="Implemented")+(Recommendations[ImplStatus]="Compensated"))*ISNUMBER(MATCH(Recommendations[Id],H433:AU433,0)))/COUNTIF(H433:AU433,"&lt;&gt;"))</f>
        <v/>
      </c>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2"/>
      <c r="AT433" s="272"/>
      <c r="AU433" s="286"/>
    </row>
    <row r="434" spans="1:47" ht="60" customHeight="1" x14ac:dyDescent="0.35">
      <c r="A434" s="282" t="s">
        <v>5721</v>
      </c>
      <c r="B434" s="260" t="s">
        <v>5722</v>
      </c>
      <c r="C434" s="261" t="s">
        <v>5739</v>
      </c>
      <c r="D434" s="264" t="s">
        <v>5740</v>
      </c>
      <c r="E434" s="265" t="s">
        <v>4964</v>
      </c>
      <c r="F434" s="268" t="s">
        <v>5685</v>
      </c>
      <c r="G434" s="271" t="str">
        <f>IF(COUNTIF(H434:AU434,"&lt;&gt;")=0,"",SUMPRODUCT(((Recommendations[ImplStatus]="Implemented")+(Recommendations[ImplStatus]="Compensated"))*ISNUMBER(MATCH(Recommendations[Id],H434:AU434,0)))/COUNTIF(H434:AU434,"&lt;&gt;"))</f>
        <v/>
      </c>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86"/>
    </row>
    <row r="435" spans="1:47" ht="60" customHeight="1" x14ac:dyDescent="0.35">
      <c r="A435" s="282" t="s">
        <v>5721</v>
      </c>
      <c r="B435" s="260" t="s">
        <v>5722</v>
      </c>
      <c r="C435" s="261" t="s">
        <v>5741</v>
      </c>
      <c r="D435" s="264" t="s">
        <v>5742</v>
      </c>
      <c r="E435" s="265" t="s">
        <v>4897</v>
      </c>
      <c r="F435" s="268" t="s">
        <v>5685</v>
      </c>
      <c r="G435" s="271" t="str">
        <f>IF(COUNTIF(H435:AU435,"&lt;&gt;")=0,"",SUMPRODUCT(((Recommendations[ImplStatus]="Implemented")+(Recommendations[ImplStatus]="Compensated"))*ISNUMBER(MATCH(Recommendations[Id],H435:AU435,0)))/COUNTIF(H435:AU435,"&lt;&gt;"))</f>
        <v/>
      </c>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c r="AO435" s="272"/>
      <c r="AP435" s="272"/>
      <c r="AQ435" s="272"/>
      <c r="AR435" s="272"/>
      <c r="AS435" s="272"/>
      <c r="AT435" s="272"/>
      <c r="AU435" s="286"/>
    </row>
    <row r="436" spans="1:47" ht="60" customHeight="1" x14ac:dyDescent="0.35">
      <c r="A436" s="282" t="s">
        <v>5721</v>
      </c>
      <c r="B436" s="260" t="s">
        <v>5722</v>
      </c>
      <c r="C436" s="261" t="s">
        <v>5743</v>
      </c>
      <c r="D436" s="264" t="s">
        <v>5744</v>
      </c>
      <c r="E436" s="265" t="s">
        <v>4964</v>
      </c>
      <c r="F436" s="268" t="s">
        <v>5685</v>
      </c>
      <c r="G436" s="271" t="str">
        <f>IF(COUNTIF(H436:AU436,"&lt;&gt;")=0,"",SUMPRODUCT(((Recommendations[ImplStatus]="Implemented")+(Recommendations[ImplStatus]="Compensated"))*ISNUMBER(MATCH(Recommendations[Id],H436:AU436,0)))/COUNTIF(H436:AU436,"&lt;&gt;"))</f>
        <v/>
      </c>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c r="AO436" s="272"/>
      <c r="AP436" s="272"/>
      <c r="AQ436" s="272"/>
      <c r="AR436" s="272"/>
      <c r="AS436" s="272"/>
      <c r="AT436" s="272"/>
      <c r="AU436" s="286"/>
    </row>
    <row r="437" spans="1:47" ht="60" customHeight="1" x14ac:dyDescent="0.35">
      <c r="A437" s="282" t="s">
        <v>5721</v>
      </c>
      <c r="B437" s="260" t="s">
        <v>5722</v>
      </c>
      <c r="C437" s="261" t="s">
        <v>5745</v>
      </c>
      <c r="D437" s="264" t="s">
        <v>5746</v>
      </c>
      <c r="E437" s="265" t="s">
        <v>4897</v>
      </c>
      <c r="F437" s="268" t="s">
        <v>5685</v>
      </c>
      <c r="G437" s="271" t="str">
        <f>IF(COUNTIF(H437:AU437,"&lt;&gt;")=0,"",SUMPRODUCT(((Recommendations[ImplStatus]="Implemented")+(Recommendations[ImplStatus]="Compensated"))*ISNUMBER(MATCH(Recommendations[Id],H437:AU437,0)))/COUNTIF(H437:AU437,"&lt;&gt;"))</f>
        <v/>
      </c>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2"/>
      <c r="AR437" s="272"/>
      <c r="AS437" s="272"/>
      <c r="AT437" s="272"/>
      <c r="AU437" s="286"/>
    </row>
    <row r="438" spans="1:47" ht="60" customHeight="1" outlineLevel="2" x14ac:dyDescent="0.35">
      <c r="A438" s="281" t="s">
        <v>5721</v>
      </c>
      <c r="B438" s="259" t="s">
        <v>5747</v>
      </c>
      <c r="C438" s="259"/>
      <c r="D438" s="263"/>
      <c r="E438" s="259"/>
      <c r="F438" s="267"/>
      <c r="G438" s="270" t="str">
        <f>IF(COUNTIF(H438:AU438,"&lt;&gt;")=0,"",SUMPRODUCT(((Recommendations[ImplStatus]="Implemented")+(Recommendations[ImplStatus]="Compensated"))*ISNUMBER(MATCH(Recommendations[Id],H438:AU438,0)))/COUNTIF(H438:AU438,"&lt;&gt;"))</f>
        <v/>
      </c>
      <c r="H438" s="267"/>
      <c r="I438" s="267"/>
      <c r="J438" s="267"/>
      <c r="K438" s="267"/>
      <c r="L438" s="267"/>
      <c r="M438" s="267"/>
      <c r="N438" s="267"/>
      <c r="O438" s="267"/>
      <c r="P438" s="267"/>
      <c r="Q438" s="267"/>
      <c r="R438" s="267"/>
      <c r="S438" s="267"/>
      <c r="T438" s="267"/>
      <c r="U438" s="267"/>
      <c r="V438" s="267"/>
      <c r="W438" s="267"/>
      <c r="X438" s="267"/>
      <c r="Y438" s="267"/>
      <c r="Z438" s="267"/>
      <c r="AA438" s="267"/>
      <c r="AB438" s="267"/>
      <c r="AC438" s="267"/>
      <c r="AD438" s="267"/>
      <c r="AE438" s="267"/>
      <c r="AF438" s="267"/>
      <c r="AG438" s="267"/>
      <c r="AH438" s="267"/>
      <c r="AI438" s="267"/>
      <c r="AJ438" s="267"/>
      <c r="AK438" s="267"/>
      <c r="AL438" s="267"/>
      <c r="AM438" s="267"/>
      <c r="AN438" s="267"/>
      <c r="AO438" s="267"/>
      <c r="AP438" s="267"/>
      <c r="AQ438" s="267"/>
      <c r="AR438" s="267"/>
      <c r="AS438" s="267"/>
      <c r="AT438" s="267"/>
      <c r="AU438" s="285"/>
    </row>
    <row r="439" spans="1:47" ht="60" customHeight="1" x14ac:dyDescent="0.35">
      <c r="A439" s="282" t="s">
        <v>5721</v>
      </c>
      <c r="B439" s="260" t="s">
        <v>5747</v>
      </c>
      <c r="C439" s="261" t="s">
        <v>5748</v>
      </c>
      <c r="D439" s="264" t="s">
        <v>5749</v>
      </c>
      <c r="E439" s="265" t="s">
        <v>4868</v>
      </c>
      <c r="F439" s="268" t="s">
        <v>5750</v>
      </c>
      <c r="G439" s="271" t="str">
        <f>IF(COUNTIF(H439:AU439,"&lt;&gt;")=0,"",SUMPRODUCT(((Recommendations[ImplStatus]="Implemented")+(Recommendations[ImplStatus]="Compensated"))*ISNUMBER(MATCH(Recommendations[Id],H439:AU439,0)))/COUNTIF(H439:AU439,"&lt;&gt;"))</f>
        <v/>
      </c>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2"/>
      <c r="AT439" s="272"/>
      <c r="AU439" s="286"/>
    </row>
    <row r="440" spans="1:47" ht="60" customHeight="1" x14ac:dyDescent="0.35">
      <c r="A440" s="282" t="s">
        <v>5721</v>
      </c>
      <c r="B440" s="260" t="s">
        <v>5747</v>
      </c>
      <c r="C440" s="261" t="s">
        <v>5751</v>
      </c>
      <c r="D440" s="264" t="s">
        <v>5752</v>
      </c>
      <c r="E440" s="265" t="s">
        <v>4868</v>
      </c>
      <c r="F440" s="268" t="s">
        <v>5750</v>
      </c>
      <c r="G440" s="271" t="str">
        <f>IF(COUNTIF(H440:AU440,"&lt;&gt;")=0,"",SUMPRODUCT(((Recommendations[ImplStatus]="Implemented")+(Recommendations[ImplStatus]="Compensated"))*ISNUMBER(MATCH(Recommendations[Id],H440:AU440,0)))/COUNTIF(H440:AU440,"&lt;&gt;"))</f>
        <v/>
      </c>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2"/>
      <c r="AT440" s="272"/>
      <c r="AU440" s="286"/>
    </row>
    <row r="441" spans="1:47" ht="60" customHeight="1" x14ac:dyDescent="0.35">
      <c r="A441" s="282" t="s">
        <v>5721</v>
      </c>
      <c r="B441" s="260" t="s">
        <v>5747</v>
      </c>
      <c r="C441" s="261" t="s">
        <v>5753</v>
      </c>
      <c r="D441" s="264" t="s">
        <v>5754</v>
      </c>
      <c r="E441" s="265" t="s">
        <v>4868</v>
      </c>
      <c r="F441" s="268" t="s">
        <v>5750</v>
      </c>
      <c r="G441" s="271" t="str">
        <f>IF(COUNTIF(H441:AU441,"&lt;&gt;")=0,"",SUMPRODUCT(((Recommendations[ImplStatus]="Implemented")+(Recommendations[ImplStatus]="Compensated"))*ISNUMBER(MATCH(Recommendations[Id],H441:AU441,0)))/COUNTIF(H441:AU441,"&lt;&gt;"))</f>
        <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2"/>
      <c r="AR441" s="272"/>
      <c r="AS441" s="272"/>
      <c r="AT441" s="272"/>
      <c r="AU441" s="286"/>
    </row>
    <row r="442" spans="1:47" ht="60" customHeight="1" x14ac:dyDescent="0.35">
      <c r="A442" s="282" t="s">
        <v>5721</v>
      </c>
      <c r="B442" s="260" t="s">
        <v>5747</v>
      </c>
      <c r="C442" s="261" t="s">
        <v>5755</v>
      </c>
      <c r="D442" s="264" t="s">
        <v>5756</v>
      </c>
      <c r="E442" s="265" t="s">
        <v>4868</v>
      </c>
      <c r="F442" s="268" t="s">
        <v>5750</v>
      </c>
      <c r="G442" s="271" t="str">
        <f>IF(COUNTIF(H442:AU442,"&lt;&gt;")=0,"",SUMPRODUCT(((Recommendations[ImplStatus]="Implemented")+(Recommendations[ImplStatus]="Compensated"))*ISNUMBER(MATCH(Recommendations[Id],H442:AU442,0)))/COUNTIF(H442:AU442,"&lt;&gt;"))</f>
        <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272"/>
      <c r="AR442" s="272"/>
      <c r="AS442" s="272"/>
      <c r="AT442" s="272"/>
      <c r="AU442" s="286"/>
    </row>
    <row r="443" spans="1:47" ht="60" customHeight="1" x14ac:dyDescent="0.35">
      <c r="A443" s="282" t="s">
        <v>5721</v>
      </c>
      <c r="B443" s="260" t="s">
        <v>5747</v>
      </c>
      <c r="C443" s="261" t="s">
        <v>5757</v>
      </c>
      <c r="D443" s="264" t="s">
        <v>5758</v>
      </c>
      <c r="E443" s="265" t="s">
        <v>4897</v>
      </c>
      <c r="F443" s="268" t="s">
        <v>5750</v>
      </c>
      <c r="G443" s="271" t="str">
        <f>IF(COUNTIF(H443:AU443,"&lt;&gt;")=0,"",SUMPRODUCT(((Recommendations[ImplStatus]="Implemented")+(Recommendations[ImplStatus]="Compensated"))*ISNUMBER(MATCH(Recommendations[Id],H443:AU443,0)))/COUNTIF(H443:AU443,"&lt;&gt;"))</f>
        <v/>
      </c>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2"/>
      <c r="AR443" s="272"/>
      <c r="AS443" s="272"/>
      <c r="AT443" s="272"/>
      <c r="AU443" s="286"/>
    </row>
    <row r="444" spans="1:47" ht="60" customHeight="1" x14ac:dyDescent="0.35">
      <c r="A444" s="282" t="s">
        <v>5721</v>
      </c>
      <c r="B444" s="260" t="s">
        <v>5747</v>
      </c>
      <c r="C444" s="261" t="s">
        <v>5759</v>
      </c>
      <c r="D444" s="264" t="s">
        <v>5760</v>
      </c>
      <c r="E444" s="265" t="s">
        <v>4897</v>
      </c>
      <c r="F444" s="268" t="s">
        <v>5750</v>
      </c>
      <c r="G444" s="271" t="str">
        <f>IF(COUNTIF(H444:AU444,"&lt;&gt;")=0,"",SUMPRODUCT(((Recommendations[ImplStatus]="Implemented")+(Recommendations[ImplStatus]="Compensated"))*ISNUMBER(MATCH(Recommendations[Id],H444:AU444,0)))/COUNTIF(H444:AU444,"&lt;&gt;"))</f>
        <v/>
      </c>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2"/>
      <c r="AT444" s="272"/>
      <c r="AU444" s="286"/>
    </row>
    <row r="445" spans="1:47" ht="60" customHeight="1" x14ac:dyDescent="0.35">
      <c r="A445" s="282" t="s">
        <v>5721</v>
      </c>
      <c r="B445" s="260" t="s">
        <v>5747</v>
      </c>
      <c r="C445" s="261" t="s">
        <v>5761</v>
      </c>
      <c r="D445" s="264" t="s">
        <v>5762</v>
      </c>
      <c r="E445" s="265" t="s">
        <v>4897</v>
      </c>
      <c r="F445" s="268" t="s">
        <v>5750</v>
      </c>
      <c r="G445" s="271" t="str">
        <f>IF(COUNTIF(H445:AU445,"&lt;&gt;")=0,"",SUMPRODUCT(((Recommendations[ImplStatus]="Implemented")+(Recommendations[ImplStatus]="Compensated"))*ISNUMBER(MATCH(Recommendations[Id],H445:AU445,0)))/COUNTIF(H445:AU445,"&lt;&gt;"))</f>
        <v/>
      </c>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2"/>
      <c r="AT445" s="272"/>
      <c r="AU445" s="286"/>
    </row>
    <row r="446" spans="1:47" ht="60" customHeight="1" x14ac:dyDescent="0.35">
      <c r="A446" s="282" t="s">
        <v>5721</v>
      </c>
      <c r="B446" s="260" t="s">
        <v>5747</v>
      </c>
      <c r="C446" s="261" t="s">
        <v>5763</v>
      </c>
      <c r="D446" s="264" t="s">
        <v>5764</v>
      </c>
      <c r="E446" s="265" t="s">
        <v>5012</v>
      </c>
      <c r="F446" s="268" t="s">
        <v>5750</v>
      </c>
      <c r="G446" s="271" t="str">
        <f>IF(COUNTIF(H446:AU446,"&lt;&gt;")=0,"",SUMPRODUCT(((Recommendations[ImplStatus]="Implemented")+(Recommendations[ImplStatus]="Compensated"))*ISNUMBER(MATCH(Recommendations[Id],H446:AU446,0)))/COUNTIF(H446:AU446,"&lt;&gt;"))</f>
        <v/>
      </c>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2"/>
      <c r="AT446" s="272"/>
      <c r="AU446" s="286"/>
    </row>
    <row r="447" spans="1:47" ht="60" customHeight="1" x14ac:dyDescent="0.35">
      <c r="A447" s="282" t="s">
        <v>5721</v>
      </c>
      <c r="B447" s="260" t="s">
        <v>5747</v>
      </c>
      <c r="C447" s="261" t="s">
        <v>5765</v>
      </c>
      <c r="D447" s="264" t="s">
        <v>5766</v>
      </c>
      <c r="E447" s="265" t="s">
        <v>4897</v>
      </c>
      <c r="F447" s="268" t="s">
        <v>5750</v>
      </c>
      <c r="G447" s="271" t="str">
        <f>IF(COUNTIF(H447:AU447,"&lt;&gt;")=0,"",SUMPRODUCT(((Recommendations[ImplStatus]="Implemented")+(Recommendations[ImplStatus]="Compensated"))*ISNUMBER(MATCH(Recommendations[Id],H447:AU447,0)))/COUNTIF(H447:AU447,"&lt;&gt;"))</f>
        <v/>
      </c>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c r="AN447" s="272"/>
      <c r="AO447" s="272"/>
      <c r="AP447" s="272"/>
      <c r="AQ447" s="272"/>
      <c r="AR447" s="272"/>
      <c r="AS447" s="272"/>
      <c r="AT447" s="272"/>
      <c r="AU447" s="286"/>
    </row>
    <row r="448" spans="1:47" ht="60" customHeight="1" x14ac:dyDescent="0.35">
      <c r="A448" s="282" t="s">
        <v>5721</v>
      </c>
      <c r="B448" s="260" t="s">
        <v>5747</v>
      </c>
      <c r="C448" s="261" t="s">
        <v>5767</v>
      </c>
      <c r="D448" s="264" t="s">
        <v>5768</v>
      </c>
      <c r="E448" s="265" t="s">
        <v>5012</v>
      </c>
      <c r="F448" s="268" t="s">
        <v>5750</v>
      </c>
      <c r="G448" s="271" t="str">
        <f>IF(COUNTIF(H448:AU448,"&lt;&gt;")=0,"",SUMPRODUCT(((Recommendations[ImplStatus]="Implemented")+(Recommendations[ImplStatus]="Compensated"))*ISNUMBER(MATCH(Recommendations[Id],H448:AU448,0)))/COUNTIF(H448:AU448,"&lt;&gt;"))</f>
        <v/>
      </c>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2"/>
      <c r="AR448" s="272"/>
      <c r="AS448" s="272"/>
      <c r="AT448" s="272"/>
      <c r="AU448" s="286"/>
    </row>
    <row r="449" spans="1:47" ht="60" customHeight="1" x14ac:dyDescent="0.35">
      <c r="A449" s="282" t="s">
        <v>5721</v>
      </c>
      <c r="B449" s="260" t="s">
        <v>5747</v>
      </c>
      <c r="C449" s="261" t="s">
        <v>5769</v>
      </c>
      <c r="D449" s="264" t="s">
        <v>5770</v>
      </c>
      <c r="E449" s="265" t="s">
        <v>5012</v>
      </c>
      <c r="F449" s="268" t="s">
        <v>5750</v>
      </c>
      <c r="G449" s="271" t="str">
        <f>IF(COUNTIF(H449:AU449,"&lt;&gt;")=0,"",SUMPRODUCT(((Recommendations[ImplStatus]="Implemented")+(Recommendations[ImplStatus]="Compensated"))*ISNUMBER(MATCH(Recommendations[Id],H449:AU449,0)))/COUNTIF(H449:AU449,"&lt;&gt;"))</f>
        <v/>
      </c>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2"/>
      <c r="AR449" s="272"/>
      <c r="AS449" s="272"/>
      <c r="AT449" s="272"/>
      <c r="AU449" s="286"/>
    </row>
    <row r="450" spans="1:47" ht="60" customHeight="1" outlineLevel="1" x14ac:dyDescent="0.35">
      <c r="A450" s="280" t="s">
        <v>5771</v>
      </c>
      <c r="B450" s="258"/>
      <c r="C450" s="258"/>
      <c r="D450" s="262"/>
      <c r="E450" s="258"/>
      <c r="F450" s="266"/>
      <c r="G450" s="269" t="str">
        <f>IF(COUNTIF(H450:AU450,"&lt;&gt;")=0,"",SUMPRODUCT(((Recommendations[ImplStatus]="Implemented")+(Recommendations[ImplStatus]="Compensated"))*ISNUMBER(MATCH(Recommendations[Id],H450:AU450,0)))/COUNTIF(H450:AU450,"&lt;&gt;"))</f>
        <v/>
      </c>
      <c r="H450" s="266"/>
      <c r="I450" s="266"/>
      <c r="J450" s="266"/>
      <c r="K450" s="266"/>
      <c r="L450" s="266"/>
      <c r="M450" s="266"/>
      <c r="N450" s="266"/>
      <c r="O450" s="266"/>
      <c r="P450" s="266"/>
      <c r="Q450" s="266"/>
      <c r="R450" s="266"/>
      <c r="S450" s="266"/>
      <c r="T450" s="266"/>
      <c r="U450" s="266"/>
      <c r="V450" s="266"/>
      <c r="W450" s="266"/>
      <c r="X450" s="266"/>
      <c r="Y450" s="266"/>
      <c r="Z450" s="266"/>
      <c r="AA450" s="266"/>
      <c r="AB450" s="266"/>
      <c r="AC450" s="266"/>
      <c r="AD450" s="266"/>
      <c r="AE450" s="266"/>
      <c r="AF450" s="266"/>
      <c r="AG450" s="266"/>
      <c r="AH450" s="266"/>
      <c r="AI450" s="266"/>
      <c r="AJ450" s="266"/>
      <c r="AK450" s="266"/>
      <c r="AL450" s="266"/>
      <c r="AM450" s="266"/>
      <c r="AN450" s="266"/>
      <c r="AO450" s="266"/>
      <c r="AP450" s="266"/>
      <c r="AQ450" s="266"/>
      <c r="AR450" s="266"/>
      <c r="AS450" s="266"/>
      <c r="AT450" s="266"/>
      <c r="AU450" s="284"/>
    </row>
    <row r="451" spans="1:47" ht="60" customHeight="1" outlineLevel="2" x14ac:dyDescent="0.35">
      <c r="A451" s="281" t="s">
        <v>5771</v>
      </c>
      <c r="B451" s="259" t="s">
        <v>5772</v>
      </c>
      <c r="C451" s="259"/>
      <c r="D451" s="263"/>
      <c r="E451" s="259"/>
      <c r="F451" s="267"/>
      <c r="G451" s="270" t="str">
        <f>IF(COUNTIF(H451:AU451,"&lt;&gt;")=0,"",SUMPRODUCT(((Recommendations[ImplStatus]="Implemented")+(Recommendations[ImplStatus]="Compensated"))*ISNUMBER(MATCH(Recommendations[Id],H451:AU451,0)))/COUNTIF(H451:AU451,"&lt;&gt;"))</f>
        <v/>
      </c>
      <c r="H451" s="267"/>
      <c r="I451" s="267"/>
      <c r="J451" s="267"/>
      <c r="K451" s="267"/>
      <c r="L451" s="267"/>
      <c r="M451" s="267"/>
      <c r="N451" s="267"/>
      <c r="O451" s="267"/>
      <c r="P451" s="267"/>
      <c r="Q451" s="267"/>
      <c r="R451" s="267"/>
      <c r="S451" s="267"/>
      <c r="T451" s="267"/>
      <c r="U451" s="267"/>
      <c r="V451" s="267"/>
      <c r="W451" s="267"/>
      <c r="X451" s="267"/>
      <c r="Y451" s="267"/>
      <c r="Z451" s="267"/>
      <c r="AA451" s="267"/>
      <c r="AB451" s="267"/>
      <c r="AC451" s="267"/>
      <c r="AD451" s="267"/>
      <c r="AE451" s="267"/>
      <c r="AF451" s="267"/>
      <c r="AG451" s="267"/>
      <c r="AH451" s="267"/>
      <c r="AI451" s="267"/>
      <c r="AJ451" s="267"/>
      <c r="AK451" s="267"/>
      <c r="AL451" s="267"/>
      <c r="AM451" s="267"/>
      <c r="AN451" s="267"/>
      <c r="AO451" s="267"/>
      <c r="AP451" s="267"/>
      <c r="AQ451" s="267"/>
      <c r="AR451" s="267"/>
      <c r="AS451" s="267"/>
      <c r="AT451" s="267"/>
      <c r="AU451" s="285"/>
    </row>
    <row r="452" spans="1:47" ht="60" customHeight="1" x14ac:dyDescent="0.35">
      <c r="A452" s="282" t="s">
        <v>5771</v>
      </c>
      <c r="B452" s="260" t="s">
        <v>5772</v>
      </c>
      <c r="C452" s="261" t="s">
        <v>5773</v>
      </c>
      <c r="D452" s="264" t="s">
        <v>5774</v>
      </c>
      <c r="E452" s="265" t="s">
        <v>4868</v>
      </c>
      <c r="F452" s="268" t="s">
        <v>5775</v>
      </c>
      <c r="G452" s="271" t="str">
        <f>IF(COUNTIF(H452:AU452,"&lt;&gt;")=0,"",SUMPRODUCT(((Recommendations[ImplStatus]="Implemented")+(Recommendations[ImplStatus]="Compensated"))*ISNUMBER(MATCH(Recommendations[Id],H452:AU452,0)))/COUNTIF(H452:AU452,"&lt;&gt;"))</f>
        <v/>
      </c>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2"/>
      <c r="AT452" s="272"/>
      <c r="AU452" s="286"/>
    </row>
    <row r="453" spans="1:47" ht="60" customHeight="1" x14ac:dyDescent="0.35">
      <c r="A453" s="282" t="s">
        <v>5771</v>
      </c>
      <c r="B453" s="260" t="s">
        <v>5772</v>
      </c>
      <c r="C453" s="261" t="s">
        <v>5776</v>
      </c>
      <c r="D453" s="264" t="s">
        <v>5777</v>
      </c>
      <c r="E453" s="265" t="s">
        <v>4868</v>
      </c>
      <c r="F453" s="268" t="s">
        <v>5775</v>
      </c>
      <c r="G453" s="271" t="str">
        <f>IF(COUNTIF(H453:AU453,"&lt;&gt;")=0,"",SUMPRODUCT(((Recommendations[ImplStatus]="Implemented")+(Recommendations[ImplStatus]="Compensated"))*ISNUMBER(MATCH(Recommendations[Id],H453:AU453,0)))/COUNTIF(H453:AU453,"&lt;&gt;"))</f>
        <v/>
      </c>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c r="AO453" s="272"/>
      <c r="AP453" s="272"/>
      <c r="AQ453" s="272"/>
      <c r="AR453" s="272"/>
      <c r="AS453" s="272"/>
      <c r="AT453" s="272"/>
      <c r="AU453" s="286"/>
    </row>
    <row r="454" spans="1:47" ht="60" customHeight="1" x14ac:dyDescent="0.35">
      <c r="A454" s="282" t="s">
        <v>5771</v>
      </c>
      <c r="B454" s="260" t="s">
        <v>5772</v>
      </c>
      <c r="C454" s="261" t="s">
        <v>5778</v>
      </c>
      <c r="D454" s="264" t="s">
        <v>5779</v>
      </c>
      <c r="E454" s="265" t="s">
        <v>4868</v>
      </c>
      <c r="F454" s="268" t="s">
        <v>5775</v>
      </c>
      <c r="G454" s="271" t="str">
        <f>IF(COUNTIF(H454:AU454,"&lt;&gt;")=0,"",SUMPRODUCT(((Recommendations[ImplStatus]="Implemented")+(Recommendations[ImplStatus]="Compensated"))*ISNUMBER(MATCH(Recommendations[Id],H454:AU454,0)))/COUNTIF(H454:AU454,"&lt;&gt;"))</f>
        <v/>
      </c>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c r="AO454" s="272"/>
      <c r="AP454" s="272"/>
      <c r="AQ454" s="272"/>
      <c r="AR454" s="272"/>
      <c r="AS454" s="272"/>
      <c r="AT454" s="272"/>
      <c r="AU454" s="286"/>
    </row>
    <row r="455" spans="1:47" ht="60" customHeight="1" x14ac:dyDescent="0.35">
      <c r="A455" s="282" t="s">
        <v>5771</v>
      </c>
      <c r="B455" s="260" t="s">
        <v>5772</v>
      </c>
      <c r="C455" s="261" t="s">
        <v>5780</v>
      </c>
      <c r="D455" s="264" t="s">
        <v>5781</v>
      </c>
      <c r="E455" s="265" t="s">
        <v>4868</v>
      </c>
      <c r="F455" s="268" t="s">
        <v>5775</v>
      </c>
      <c r="G455" s="271" t="str">
        <f>IF(COUNTIF(H455:AU455,"&lt;&gt;")=0,"",SUMPRODUCT(((Recommendations[ImplStatus]="Implemented")+(Recommendations[ImplStatus]="Compensated"))*ISNUMBER(MATCH(Recommendations[Id],H455:AU455,0)))/COUNTIF(H455:AU455,"&lt;&gt;"))</f>
        <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272"/>
      <c r="AR455" s="272"/>
      <c r="AS455" s="272"/>
      <c r="AT455" s="272"/>
      <c r="AU455" s="286"/>
    </row>
    <row r="456" spans="1:47" ht="60" customHeight="1" x14ac:dyDescent="0.35">
      <c r="A456" s="282" t="s">
        <v>5771</v>
      </c>
      <c r="B456" s="260" t="s">
        <v>5772</v>
      </c>
      <c r="C456" s="261" t="s">
        <v>5782</v>
      </c>
      <c r="D456" s="264" t="s">
        <v>5783</v>
      </c>
      <c r="E456" s="265" t="s">
        <v>4868</v>
      </c>
      <c r="F456" s="268" t="s">
        <v>5775</v>
      </c>
      <c r="G456" s="271" t="str">
        <f>IF(COUNTIF(H456:AU456,"&lt;&gt;")=0,"",SUMPRODUCT(((Recommendations[ImplStatus]="Implemented")+(Recommendations[ImplStatus]="Compensated"))*ISNUMBER(MATCH(Recommendations[Id],H456:AU456,0)))/COUNTIF(H456:AU456,"&lt;&gt;"))</f>
        <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2"/>
      <c r="AT456" s="272"/>
      <c r="AU456" s="286"/>
    </row>
    <row r="457" spans="1:47" ht="60" customHeight="1" x14ac:dyDescent="0.35">
      <c r="A457" s="282" t="s">
        <v>5771</v>
      </c>
      <c r="B457" s="260" t="s">
        <v>5772</v>
      </c>
      <c r="C457" s="261" t="s">
        <v>5784</v>
      </c>
      <c r="D457" s="264" t="s">
        <v>5785</v>
      </c>
      <c r="E457" s="265" t="s">
        <v>4897</v>
      </c>
      <c r="F457" s="268" t="s">
        <v>5775</v>
      </c>
      <c r="G457" s="271" t="str">
        <f>IF(COUNTIF(H457:AU457,"&lt;&gt;")=0,"",SUMPRODUCT(((Recommendations[ImplStatus]="Implemented")+(Recommendations[ImplStatus]="Compensated"))*ISNUMBER(MATCH(Recommendations[Id],H457:AU457,0)))/COUNTIF(H457:AU457,"&lt;&gt;"))</f>
        <v/>
      </c>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2"/>
      <c r="AT457" s="272"/>
      <c r="AU457" s="286"/>
    </row>
    <row r="458" spans="1:47" ht="60" customHeight="1" x14ac:dyDescent="0.35">
      <c r="A458" s="282" t="s">
        <v>5771</v>
      </c>
      <c r="B458" s="260" t="s">
        <v>5772</v>
      </c>
      <c r="C458" s="261" t="s">
        <v>5786</v>
      </c>
      <c r="D458" s="264" t="s">
        <v>5787</v>
      </c>
      <c r="E458" s="265" t="s">
        <v>4897</v>
      </c>
      <c r="F458" s="268" t="s">
        <v>5775</v>
      </c>
      <c r="G458" s="271" t="str">
        <f>IF(COUNTIF(H458:AU458,"&lt;&gt;")=0,"",SUMPRODUCT(((Recommendations[ImplStatus]="Implemented")+(Recommendations[ImplStatus]="Compensated"))*ISNUMBER(MATCH(Recommendations[Id],H458:AU458,0)))/COUNTIF(H458:AU458,"&lt;&gt;"))</f>
        <v/>
      </c>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86"/>
    </row>
    <row r="459" spans="1:47" ht="60" customHeight="1" x14ac:dyDescent="0.35">
      <c r="A459" s="282" t="s">
        <v>5771</v>
      </c>
      <c r="B459" s="260" t="s">
        <v>5772</v>
      </c>
      <c r="C459" s="261" t="s">
        <v>5788</v>
      </c>
      <c r="D459" s="264" t="s">
        <v>5789</v>
      </c>
      <c r="E459" s="265" t="s">
        <v>4897</v>
      </c>
      <c r="F459" s="268" t="s">
        <v>5775</v>
      </c>
      <c r="G459" s="271" t="str">
        <f>IF(COUNTIF(H459:AU459,"&lt;&gt;")=0,"",SUMPRODUCT(((Recommendations[ImplStatus]="Implemented")+(Recommendations[ImplStatus]="Compensated"))*ISNUMBER(MATCH(Recommendations[Id],H459:AU459,0)))/COUNTIF(H459:AU459,"&lt;&gt;"))</f>
        <v/>
      </c>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c r="AO459" s="272"/>
      <c r="AP459" s="272"/>
      <c r="AQ459" s="272"/>
      <c r="AR459" s="272"/>
      <c r="AS459" s="272"/>
      <c r="AT459" s="272"/>
      <c r="AU459" s="286"/>
    </row>
    <row r="460" spans="1:47" ht="60" customHeight="1" x14ac:dyDescent="0.35">
      <c r="A460" s="282" t="s">
        <v>5771</v>
      </c>
      <c r="B460" s="260" t="s">
        <v>5772</v>
      </c>
      <c r="C460" s="261" t="s">
        <v>5790</v>
      </c>
      <c r="D460" s="264" t="s">
        <v>5791</v>
      </c>
      <c r="E460" s="265" t="s">
        <v>4897</v>
      </c>
      <c r="F460" s="268" t="s">
        <v>5775</v>
      </c>
      <c r="G460" s="271" t="str">
        <f>IF(COUNTIF(H460:AU460,"&lt;&gt;")=0,"",SUMPRODUCT(((Recommendations[ImplStatus]="Implemented")+(Recommendations[ImplStatus]="Compensated"))*ISNUMBER(MATCH(Recommendations[Id],H460:AU460,0)))/COUNTIF(H460:AU460,"&lt;&gt;"))</f>
        <v/>
      </c>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c r="AN460" s="272"/>
      <c r="AO460" s="272"/>
      <c r="AP460" s="272"/>
      <c r="AQ460" s="272"/>
      <c r="AR460" s="272"/>
      <c r="AS460" s="272"/>
      <c r="AT460" s="272"/>
      <c r="AU460" s="286"/>
    </row>
    <row r="461" spans="1:47" ht="60" customHeight="1" x14ac:dyDescent="0.35">
      <c r="A461" s="282" t="s">
        <v>5771</v>
      </c>
      <c r="B461" s="260" t="s">
        <v>5772</v>
      </c>
      <c r="C461" s="261" t="s">
        <v>5792</v>
      </c>
      <c r="D461" s="264" t="s">
        <v>5793</v>
      </c>
      <c r="E461" s="265" t="s">
        <v>4897</v>
      </c>
      <c r="F461" s="268" t="s">
        <v>5775</v>
      </c>
      <c r="G461" s="271" t="str">
        <f>IF(COUNTIF(H461:AU461,"&lt;&gt;")=0,"",SUMPRODUCT(((Recommendations[ImplStatus]="Implemented")+(Recommendations[ImplStatus]="Compensated"))*ISNUMBER(MATCH(Recommendations[Id],H461:AU461,0)))/COUNTIF(H461:AU461,"&lt;&gt;"))</f>
        <v/>
      </c>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c r="AO461" s="272"/>
      <c r="AP461" s="272"/>
      <c r="AQ461" s="272"/>
      <c r="AR461" s="272"/>
      <c r="AS461" s="272"/>
      <c r="AT461" s="272"/>
      <c r="AU461" s="286"/>
    </row>
    <row r="462" spans="1:47" ht="60" customHeight="1" x14ac:dyDescent="0.35">
      <c r="A462" s="282" t="s">
        <v>5771</v>
      </c>
      <c r="B462" s="260" t="s">
        <v>5772</v>
      </c>
      <c r="C462" s="261" t="s">
        <v>5794</v>
      </c>
      <c r="D462" s="264" t="s">
        <v>5795</v>
      </c>
      <c r="E462" s="265" t="s">
        <v>4897</v>
      </c>
      <c r="F462" s="268" t="s">
        <v>5775</v>
      </c>
      <c r="G462" s="271" t="str">
        <f>IF(COUNTIF(H462:AU462,"&lt;&gt;")=0,"",SUMPRODUCT(((Recommendations[ImplStatus]="Implemented")+(Recommendations[ImplStatus]="Compensated"))*ISNUMBER(MATCH(Recommendations[Id],H462:AU462,0)))/COUNTIF(H462:AU462,"&lt;&gt;"))</f>
        <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2"/>
      <c r="AT462" s="272"/>
      <c r="AU462" s="286"/>
    </row>
    <row r="463" spans="1:47" ht="60" customHeight="1" x14ac:dyDescent="0.35">
      <c r="A463" s="282" t="s">
        <v>5771</v>
      </c>
      <c r="B463" s="260" t="s">
        <v>5772</v>
      </c>
      <c r="C463" s="261" t="s">
        <v>5796</v>
      </c>
      <c r="D463" s="264" t="s">
        <v>5797</v>
      </c>
      <c r="E463" s="265" t="s">
        <v>4897</v>
      </c>
      <c r="F463" s="268" t="s">
        <v>5775</v>
      </c>
      <c r="G463" s="271" t="str">
        <f>IF(COUNTIF(H463:AU463,"&lt;&gt;")=0,"",SUMPRODUCT(((Recommendations[ImplStatus]="Implemented")+(Recommendations[ImplStatus]="Compensated"))*ISNUMBER(MATCH(Recommendations[Id],H463:AU463,0)))/COUNTIF(H463:AU463,"&lt;&gt;"))</f>
        <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2"/>
      <c r="AT463" s="272"/>
      <c r="AU463" s="286"/>
    </row>
    <row r="464" spans="1:47" ht="60" customHeight="1" x14ac:dyDescent="0.35">
      <c r="A464" s="282" t="s">
        <v>5771</v>
      </c>
      <c r="B464" s="260" t="s">
        <v>5772</v>
      </c>
      <c r="C464" s="261" t="s">
        <v>5798</v>
      </c>
      <c r="D464" s="264" t="s">
        <v>5799</v>
      </c>
      <c r="E464" s="265" t="s">
        <v>4897</v>
      </c>
      <c r="F464" s="268" t="s">
        <v>5775</v>
      </c>
      <c r="G464" s="271" t="str">
        <f>IF(COUNTIF(H464:AU464,"&lt;&gt;")=0,"",SUMPRODUCT(((Recommendations[ImplStatus]="Implemented")+(Recommendations[ImplStatus]="Compensated"))*ISNUMBER(MATCH(Recommendations[Id],H464:AU464,0)))/COUNTIF(H464:AU464,"&lt;&gt;"))</f>
        <v/>
      </c>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2"/>
      <c r="AT464" s="272"/>
      <c r="AU464" s="286"/>
    </row>
    <row r="465" spans="1:47" ht="60" customHeight="1" x14ac:dyDescent="0.35">
      <c r="A465" s="282" t="s">
        <v>5771</v>
      </c>
      <c r="B465" s="260" t="s">
        <v>5772</v>
      </c>
      <c r="C465" s="261" t="s">
        <v>5800</v>
      </c>
      <c r="D465" s="264" t="s">
        <v>5801</v>
      </c>
      <c r="E465" s="265" t="s">
        <v>4897</v>
      </c>
      <c r="F465" s="268" t="s">
        <v>5775</v>
      </c>
      <c r="G465" s="271" t="str">
        <f>IF(COUNTIF(H465:AU465,"&lt;&gt;")=0,"",SUMPRODUCT(((Recommendations[ImplStatus]="Implemented")+(Recommendations[ImplStatus]="Compensated"))*ISNUMBER(MATCH(Recommendations[Id],H465:AU465,0)))/COUNTIF(H465:AU465,"&lt;&gt;"))</f>
        <v/>
      </c>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c r="AO465" s="272"/>
      <c r="AP465" s="272"/>
      <c r="AQ465" s="272"/>
      <c r="AR465" s="272"/>
      <c r="AS465" s="272"/>
      <c r="AT465" s="272"/>
      <c r="AU465" s="286"/>
    </row>
    <row r="466" spans="1:47" ht="60" customHeight="1" outlineLevel="2" x14ac:dyDescent="0.35">
      <c r="A466" s="281" t="s">
        <v>5771</v>
      </c>
      <c r="B466" s="259" t="s">
        <v>5802</v>
      </c>
      <c r="C466" s="259"/>
      <c r="D466" s="263"/>
      <c r="E466" s="259"/>
      <c r="F466" s="267"/>
      <c r="G466" s="270" t="str">
        <f>IF(COUNTIF(H466:AU466,"&lt;&gt;")=0,"",SUMPRODUCT(((Recommendations[ImplStatus]="Implemented")+(Recommendations[ImplStatus]="Compensated"))*ISNUMBER(MATCH(Recommendations[Id],H466:AU466,0)))/COUNTIF(H466:AU466,"&lt;&gt;"))</f>
        <v/>
      </c>
      <c r="H466" s="267"/>
      <c r="I466" s="267"/>
      <c r="J466" s="267"/>
      <c r="K466" s="267"/>
      <c r="L466" s="267"/>
      <c r="M466" s="267"/>
      <c r="N466" s="267"/>
      <c r="O466" s="267"/>
      <c r="P466" s="267"/>
      <c r="Q466" s="267"/>
      <c r="R466" s="267"/>
      <c r="S466" s="267"/>
      <c r="T466" s="267"/>
      <c r="U466" s="267"/>
      <c r="V466" s="267"/>
      <c r="W466" s="267"/>
      <c r="X466" s="267"/>
      <c r="Y466" s="267"/>
      <c r="Z466" s="267"/>
      <c r="AA466" s="267"/>
      <c r="AB466" s="267"/>
      <c r="AC466" s="267"/>
      <c r="AD466" s="267"/>
      <c r="AE466" s="267"/>
      <c r="AF466" s="267"/>
      <c r="AG466" s="267"/>
      <c r="AH466" s="267"/>
      <c r="AI466" s="267"/>
      <c r="AJ466" s="267"/>
      <c r="AK466" s="267"/>
      <c r="AL466" s="267"/>
      <c r="AM466" s="267"/>
      <c r="AN466" s="267"/>
      <c r="AO466" s="267"/>
      <c r="AP466" s="267"/>
      <c r="AQ466" s="267"/>
      <c r="AR466" s="267"/>
      <c r="AS466" s="267"/>
      <c r="AT466" s="267"/>
      <c r="AU466" s="285"/>
    </row>
    <row r="467" spans="1:47" ht="60" customHeight="1" x14ac:dyDescent="0.35">
      <c r="A467" s="282" t="s">
        <v>5771</v>
      </c>
      <c r="B467" s="260" t="s">
        <v>5802</v>
      </c>
      <c r="C467" s="261" t="s">
        <v>5803</v>
      </c>
      <c r="D467" s="264" t="s">
        <v>5804</v>
      </c>
      <c r="E467" s="265" t="s">
        <v>4868</v>
      </c>
      <c r="F467" s="268" t="s">
        <v>5007</v>
      </c>
      <c r="G467" s="271" t="str">
        <f>IF(COUNTIF(H467:AU467,"&lt;&gt;")=0,"",SUMPRODUCT(((Recommendations[ImplStatus]="Implemented")+(Recommendations[ImplStatus]="Compensated"))*ISNUMBER(MATCH(Recommendations[Id],H467:AU467,0)))/COUNTIF(H467:AU467,"&lt;&gt;"))</f>
        <v/>
      </c>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c r="AN467" s="272"/>
      <c r="AO467" s="272"/>
      <c r="AP467" s="272"/>
      <c r="AQ467" s="272"/>
      <c r="AR467" s="272"/>
      <c r="AS467" s="272"/>
      <c r="AT467" s="272"/>
      <c r="AU467" s="286"/>
    </row>
    <row r="468" spans="1:47" ht="60" customHeight="1" x14ac:dyDescent="0.35">
      <c r="A468" s="282" t="s">
        <v>5771</v>
      </c>
      <c r="B468" s="260" t="s">
        <v>5802</v>
      </c>
      <c r="C468" s="261" t="s">
        <v>5805</v>
      </c>
      <c r="D468" s="264" t="s">
        <v>5806</v>
      </c>
      <c r="E468" s="265" t="s">
        <v>4868</v>
      </c>
      <c r="F468" s="268" t="s">
        <v>5007</v>
      </c>
      <c r="G468" s="271" t="str">
        <f>IF(COUNTIF(H468:AU468,"&lt;&gt;")=0,"",SUMPRODUCT(((Recommendations[ImplStatus]="Implemented")+(Recommendations[ImplStatus]="Compensated"))*ISNUMBER(MATCH(Recommendations[Id],H468:AU468,0)))/COUNTIF(H468:AU468,"&lt;&gt;"))</f>
        <v/>
      </c>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2"/>
      <c r="AT468" s="272"/>
      <c r="AU468" s="286"/>
    </row>
    <row r="469" spans="1:47" ht="60" customHeight="1" x14ac:dyDescent="0.35">
      <c r="A469" s="282" t="s">
        <v>5771</v>
      </c>
      <c r="B469" s="260" t="s">
        <v>5802</v>
      </c>
      <c r="C469" s="261" t="s">
        <v>5807</v>
      </c>
      <c r="D469" s="264" t="s">
        <v>5808</v>
      </c>
      <c r="E469" s="265" t="s">
        <v>4868</v>
      </c>
      <c r="F469" s="268" t="s">
        <v>5007</v>
      </c>
      <c r="G469" s="271" t="str">
        <f>IF(COUNTIF(H469:AU469,"&lt;&gt;")=0,"",SUMPRODUCT(((Recommendations[ImplStatus]="Implemented")+(Recommendations[ImplStatus]="Compensated"))*ISNUMBER(MATCH(Recommendations[Id],H469:AU469,0)))/COUNTIF(H469:AU469,"&lt;&gt;"))</f>
        <v/>
      </c>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2"/>
      <c r="AT469" s="272"/>
      <c r="AU469" s="286"/>
    </row>
    <row r="470" spans="1:47" ht="60" customHeight="1" x14ac:dyDescent="0.35">
      <c r="A470" s="282" t="s">
        <v>5771</v>
      </c>
      <c r="B470" s="260" t="s">
        <v>5802</v>
      </c>
      <c r="C470" s="261" t="s">
        <v>5809</v>
      </c>
      <c r="D470" s="264" t="s">
        <v>5810</v>
      </c>
      <c r="E470" s="265" t="s">
        <v>4964</v>
      </c>
      <c r="F470" s="268" t="s">
        <v>5376</v>
      </c>
      <c r="G470" s="271" t="str">
        <f>IF(COUNTIF(H470:AU470,"&lt;&gt;")=0,"",SUMPRODUCT(((Recommendations[ImplStatus]="Implemented")+(Recommendations[ImplStatus]="Compensated"))*ISNUMBER(MATCH(Recommendations[Id],H470:AU470,0)))/COUNTIF(H470:AU470,"&lt;&gt;"))</f>
        <v/>
      </c>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2"/>
      <c r="AT470" s="272"/>
      <c r="AU470" s="286"/>
    </row>
    <row r="471" spans="1:47" ht="60" customHeight="1" x14ac:dyDescent="0.35">
      <c r="A471" s="282" t="s">
        <v>5771</v>
      </c>
      <c r="B471" s="260" t="s">
        <v>5802</v>
      </c>
      <c r="C471" s="261" t="s">
        <v>5811</v>
      </c>
      <c r="D471" s="264" t="s">
        <v>5812</v>
      </c>
      <c r="E471" s="265" t="s">
        <v>4964</v>
      </c>
      <c r="F471" s="268" t="s">
        <v>5376</v>
      </c>
      <c r="G471" s="271" t="str">
        <f>IF(COUNTIF(H471:AU471,"&lt;&gt;")=0,"",SUMPRODUCT(((Recommendations[ImplStatus]="Implemented")+(Recommendations[ImplStatus]="Compensated"))*ISNUMBER(MATCH(Recommendations[Id],H471:AU471,0)))/COUNTIF(H471:AU471,"&lt;&gt;"))</f>
        <v/>
      </c>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c r="AN471" s="272"/>
      <c r="AO471" s="272"/>
      <c r="AP471" s="272"/>
      <c r="AQ471" s="272"/>
      <c r="AR471" s="272"/>
      <c r="AS471" s="272"/>
      <c r="AT471" s="272"/>
      <c r="AU471" s="286"/>
    </row>
    <row r="472" spans="1:47" ht="60" customHeight="1" x14ac:dyDescent="0.35">
      <c r="A472" s="282" t="s">
        <v>5771</v>
      </c>
      <c r="B472" s="260" t="s">
        <v>5802</v>
      </c>
      <c r="C472" s="261" t="s">
        <v>5813</v>
      </c>
      <c r="D472" s="264" t="s">
        <v>5814</v>
      </c>
      <c r="E472" s="265" t="s">
        <v>4868</v>
      </c>
      <c r="F472" s="268" t="s">
        <v>5376</v>
      </c>
      <c r="G472" s="271" t="str">
        <f>IF(COUNTIF(H472:AU472,"&lt;&gt;")=0,"",SUMPRODUCT(((Recommendations[ImplStatus]="Implemented")+(Recommendations[ImplStatus]="Compensated"))*ISNUMBER(MATCH(Recommendations[Id],H472:AU472,0)))/COUNTIF(H472:AU472,"&lt;&gt;"))</f>
        <v/>
      </c>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c r="AN472" s="272"/>
      <c r="AO472" s="272"/>
      <c r="AP472" s="272"/>
      <c r="AQ472" s="272"/>
      <c r="AR472" s="272"/>
      <c r="AS472" s="272"/>
      <c r="AT472" s="272"/>
      <c r="AU472" s="286"/>
    </row>
    <row r="473" spans="1:47" ht="60" customHeight="1" x14ac:dyDescent="0.35">
      <c r="A473" s="282" t="s">
        <v>5771</v>
      </c>
      <c r="B473" s="260" t="s">
        <v>5802</v>
      </c>
      <c r="C473" s="261" t="s">
        <v>5815</v>
      </c>
      <c r="D473" s="264" t="s">
        <v>5816</v>
      </c>
      <c r="E473" s="265" t="s">
        <v>4868</v>
      </c>
      <c r="F473" s="268" t="s">
        <v>5315</v>
      </c>
      <c r="G473" s="271" t="str">
        <f>IF(COUNTIF(H473:AU473,"&lt;&gt;")=0,"",SUMPRODUCT(((Recommendations[ImplStatus]="Implemented")+(Recommendations[ImplStatus]="Compensated"))*ISNUMBER(MATCH(Recommendations[Id],H473:AU473,0)))/COUNTIF(H473:AU473,"&lt;&gt;"))</f>
        <v/>
      </c>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c r="AN473" s="272"/>
      <c r="AO473" s="272"/>
      <c r="AP473" s="272"/>
      <c r="AQ473" s="272"/>
      <c r="AR473" s="272"/>
      <c r="AS473" s="272"/>
      <c r="AT473" s="272"/>
      <c r="AU473" s="286"/>
    </row>
    <row r="474" spans="1:47" ht="60" customHeight="1" x14ac:dyDescent="0.35">
      <c r="A474" s="282" t="s">
        <v>5771</v>
      </c>
      <c r="B474" s="260" t="s">
        <v>5802</v>
      </c>
      <c r="C474" s="261" t="s">
        <v>5817</v>
      </c>
      <c r="D474" s="264" t="s">
        <v>5818</v>
      </c>
      <c r="E474" s="265" t="s">
        <v>4897</v>
      </c>
      <c r="F474" s="268" t="s">
        <v>5315</v>
      </c>
      <c r="G474" s="271" t="str">
        <f>IF(COUNTIF(H474:AU474,"&lt;&gt;")=0,"",SUMPRODUCT(((Recommendations[ImplStatus]="Implemented")+(Recommendations[ImplStatus]="Compensated"))*ISNUMBER(MATCH(Recommendations[Id],H474:AU474,0)))/COUNTIF(H474:AU474,"&lt;&gt;"))</f>
        <v/>
      </c>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c r="AN474" s="272"/>
      <c r="AO474" s="272"/>
      <c r="AP474" s="272"/>
      <c r="AQ474" s="272"/>
      <c r="AR474" s="272"/>
      <c r="AS474" s="272"/>
      <c r="AT474" s="272"/>
      <c r="AU474" s="286"/>
    </row>
    <row r="475" spans="1:47" ht="60" customHeight="1" x14ac:dyDescent="0.35">
      <c r="A475" s="282" t="s">
        <v>5771</v>
      </c>
      <c r="B475" s="260" t="s">
        <v>5802</v>
      </c>
      <c r="C475" s="261" t="s">
        <v>5819</v>
      </c>
      <c r="D475" s="264" t="s">
        <v>5820</v>
      </c>
      <c r="E475" s="265" t="s">
        <v>4897</v>
      </c>
      <c r="F475" s="268" t="s">
        <v>5315</v>
      </c>
      <c r="G475" s="271" t="str">
        <f>IF(COUNTIF(H475:AU475,"&lt;&gt;")=0,"",SUMPRODUCT(((Recommendations[ImplStatus]="Implemented")+(Recommendations[ImplStatus]="Compensated"))*ISNUMBER(MATCH(Recommendations[Id],H475:AU475,0)))/COUNTIF(H475:AU475,"&lt;&gt;"))</f>
        <v/>
      </c>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c r="AO475" s="272"/>
      <c r="AP475" s="272"/>
      <c r="AQ475" s="272"/>
      <c r="AR475" s="272"/>
      <c r="AS475" s="272"/>
      <c r="AT475" s="272"/>
      <c r="AU475" s="286"/>
    </row>
    <row r="476" spans="1:47" ht="60" customHeight="1" x14ac:dyDescent="0.35">
      <c r="A476" s="282" t="s">
        <v>5771</v>
      </c>
      <c r="B476" s="260" t="s">
        <v>5802</v>
      </c>
      <c r="C476" s="261" t="s">
        <v>5821</v>
      </c>
      <c r="D476" s="264" t="s">
        <v>5822</v>
      </c>
      <c r="E476" s="265" t="s">
        <v>4897</v>
      </c>
      <c r="F476" s="268" t="s">
        <v>5315</v>
      </c>
      <c r="G476" s="271" t="str">
        <f>IF(COUNTIF(H476:AU476,"&lt;&gt;")=0,"",SUMPRODUCT(((Recommendations[ImplStatus]="Implemented")+(Recommendations[ImplStatus]="Compensated"))*ISNUMBER(MATCH(Recommendations[Id],H476:AU476,0)))/COUNTIF(H476:AU476,"&lt;&gt;"))</f>
        <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272"/>
      <c r="AR476" s="272"/>
      <c r="AS476" s="272"/>
      <c r="AT476" s="272"/>
      <c r="AU476" s="286"/>
    </row>
    <row r="477" spans="1:47" ht="60" customHeight="1" x14ac:dyDescent="0.35">
      <c r="A477" s="282" t="s">
        <v>5771</v>
      </c>
      <c r="B477" s="260" t="s">
        <v>5802</v>
      </c>
      <c r="C477" s="261" t="s">
        <v>5823</v>
      </c>
      <c r="D477" s="264" t="s">
        <v>5824</v>
      </c>
      <c r="E477" s="265" t="s">
        <v>4897</v>
      </c>
      <c r="F477" s="268" t="s">
        <v>5315</v>
      </c>
      <c r="G477" s="271" t="str">
        <f>IF(COUNTIF(H477:AU477,"&lt;&gt;")=0,"",SUMPRODUCT(((Recommendations[ImplStatus]="Implemented")+(Recommendations[ImplStatus]="Compensated"))*ISNUMBER(MATCH(Recommendations[Id],H477:AU477,0)))/COUNTIF(H477:AU477,"&lt;&gt;"))</f>
        <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272"/>
      <c r="AR477" s="272"/>
      <c r="AS477" s="272"/>
      <c r="AT477" s="272"/>
      <c r="AU477" s="286"/>
    </row>
    <row r="478" spans="1:47" ht="60" customHeight="1" x14ac:dyDescent="0.35">
      <c r="A478" s="282" t="s">
        <v>5771</v>
      </c>
      <c r="B478" s="260" t="s">
        <v>5802</v>
      </c>
      <c r="C478" s="261" t="s">
        <v>5825</v>
      </c>
      <c r="D478" s="264" t="s">
        <v>5826</v>
      </c>
      <c r="E478" s="265" t="s">
        <v>4897</v>
      </c>
      <c r="F478" s="268" t="s">
        <v>5376</v>
      </c>
      <c r="G478" s="271" t="str">
        <f>IF(COUNTIF(H478:AU478,"&lt;&gt;")=0,"",SUMPRODUCT(((Recommendations[ImplStatus]="Implemented")+(Recommendations[ImplStatus]="Compensated"))*ISNUMBER(MATCH(Recommendations[Id],H478:AU478,0)))/COUNTIF(H478:AU478,"&lt;&gt;"))</f>
        <v/>
      </c>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c r="AN478" s="272"/>
      <c r="AO478" s="272"/>
      <c r="AP478" s="272"/>
      <c r="AQ478" s="272"/>
      <c r="AR478" s="272"/>
      <c r="AS478" s="272"/>
      <c r="AT478" s="272"/>
      <c r="AU478" s="286"/>
    </row>
    <row r="479" spans="1:47" ht="60" customHeight="1" x14ac:dyDescent="0.35">
      <c r="A479" s="282" t="s">
        <v>5771</v>
      </c>
      <c r="B479" s="260" t="s">
        <v>5802</v>
      </c>
      <c r="C479" s="261" t="s">
        <v>5827</v>
      </c>
      <c r="D479" s="264" t="s">
        <v>5828</v>
      </c>
      <c r="E479" s="265" t="s">
        <v>5012</v>
      </c>
      <c r="F479" s="268" t="s">
        <v>5376</v>
      </c>
      <c r="G479" s="271" t="str">
        <f>IF(COUNTIF(H479:AU479,"&lt;&gt;")=0,"",SUMPRODUCT(((Recommendations[ImplStatus]="Implemented")+(Recommendations[ImplStatus]="Compensated"))*ISNUMBER(MATCH(Recommendations[Id],H479:AU479,0)))/COUNTIF(H479:AU479,"&lt;&gt;"))</f>
        <v/>
      </c>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c r="AN479" s="272"/>
      <c r="AO479" s="272"/>
      <c r="AP479" s="272"/>
      <c r="AQ479" s="272"/>
      <c r="AR479" s="272"/>
      <c r="AS479" s="272"/>
      <c r="AT479" s="272"/>
      <c r="AU479" s="286"/>
    </row>
    <row r="480" spans="1:47" ht="60" customHeight="1" x14ac:dyDescent="0.35">
      <c r="A480" s="282" t="s">
        <v>5771</v>
      </c>
      <c r="B480" s="260" t="s">
        <v>5802</v>
      </c>
      <c r="C480" s="261" t="s">
        <v>5829</v>
      </c>
      <c r="D480" s="264" t="s">
        <v>5830</v>
      </c>
      <c r="E480" s="265" t="s">
        <v>5012</v>
      </c>
      <c r="F480" s="268" t="s">
        <v>5376</v>
      </c>
      <c r="G480" s="271" t="str">
        <f>IF(COUNTIF(H480:AU480,"&lt;&gt;")=0,"",SUMPRODUCT(((Recommendations[ImplStatus]="Implemented")+(Recommendations[ImplStatus]="Compensated"))*ISNUMBER(MATCH(Recommendations[Id],H480:AU480,0)))/COUNTIF(H480:AU480,"&lt;&gt;"))</f>
        <v/>
      </c>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c r="AN480" s="272"/>
      <c r="AO480" s="272"/>
      <c r="AP480" s="272"/>
      <c r="AQ480" s="272"/>
      <c r="AR480" s="272"/>
      <c r="AS480" s="272"/>
      <c r="AT480" s="272"/>
      <c r="AU480" s="286"/>
    </row>
    <row r="481" spans="1:47" ht="60" customHeight="1" x14ac:dyDescent="0.35">
      <c r="A481" s="283" t="s">
        <v>5771</v>
      </c>
      <c r="B481" s="273" t="s">
        <v>5802</v>
      </c>
      <c r="C481" s="274" t="s">
        <v>5831</v>
      </c>
      <c r="D481" s="275" t="s">
        <v>5832</v>
      </c>
      <c r="E481" s="276" t="s">
        <v>5012</v>
      </c>
      <c r="F481" s="277" t="s">
        <v>5007</v>
      </c>
      <c r="G481" s="278" t="str">
        <f>IF(COUNTIF(H481:AU481,"&lt;&gt;")=0,"",SUMPRODUCT(((Recommendations[ImplStatus]="Implemented")+(Recommendations[ImplStatus]="Compensated"))*ISNUMBER(MATCH(Recommendations[Id],H481:AU481,0)))/COUNTIF(H481:AU481,"&lt;&gt;"))</f>
        <v/>
      </c>
      <c r="H481" s="279"/>
      <c r="I481" s="279"/>
      <c r="J481" s="279"/>
      <c r="K481" s="279"/>
      <c r="L481" s="279"/>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c r="AH481" s="279"/>
      <c r="AI481" s="279"/>
      <c r="AJ481" s="279"/>
      <c r="AK481" s="279"/>
      <c r="AL481" s="279"/>
      <c r="AM481" s="279"/>
      <c r="AN481" s="279"/>
      <c r="AO481" s="279"/>
      <c r="AP481" s="279"/>
      <c r="AQ481" s="279"/>
      <c r="AR481" s="279"/>
      <c r="AS481" s="279"/>
      <c r="AT481" s="279"/>
      <c r="AU481" s="287"/>
    </row>
    <row r="485" spans="1:47" ht="32" customHeight="1" x14ac:dyDescent="0.35">
      <c r="A485" s="291" t="s">
        <v>124</v>
      </c>
      <c r="B485" s="291"/>
      <c r="C485" s="291"/>
      <c r="D485" s="291"/>
      <c r="E485" s="291"/>
      <c r="F485" s="291"/>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IFERROR(INDEX('Recommendations'!$H$2:$H$22, MATCH(H2,'Recommendations'!$A$2:$A$22,0))="Implemented", FALSE))</xm:f>
            <x14:dxf>
              <font>
                <color rgb="FF000000"/>
              </font>
              <fill>
                <patternFill>
                  <bgColor rgb="FF3C7D22"/>
                </patternFill>
              </fill>
            </x14:dxf>
          </x14:cfRule>
          <x14:cfRule type="expression" priority="2" id="{00000000-000E-0000-0B00-000002000000}">
            <xm:f>AND(H2&lt;&gt;"", IFERROR(INDEX('Recommendations'!$H$2:$H$22, MATCH(H2,'Recommendations'!$A$2:$A$22,0))="Compensated", FALSE))</xm:f>
            <x14:dxf>
              <font>
                <color rgb="FF000000"/>
              </font>
              <fill>
                <patternFill>
                  <bgColor rgb="FFC6E0B4"/>
                </patternFill>
              </fill>
            </x14:dxf>
          </x14:cfRule>
          <x14:cfRule type="expression" priority="3" id="{00000000-000E-0000-0B00-000003000000}">
            <xm:f>AND(H2&lt;&gt;"", IFERROR(INDEX('Recommendations'!$H$2:$H$22, MATCH(H2,'Recommendations'!$A$2:$A$22,0))="Testing", FALSE))</xm:f>
            <x14:dxf>
              <font>
                <color rgb="FF000000"/>
              </font>
              <fill>
                <patternFill>
                  <bgColor rgb="FFFFC000"/>
                </patternFill>
              </fill>
            </x14:dxf>
          </x14:cfRule>
          <x14:cfRule type="expression" priority="4" id="{00000000-000E-0000-0B00-000004000000}">
            <xm:f>AND(H2&lt;&gt;"", IFERROR(INDEX('Recommendations'!$H$2:$H$22, MATCH(H2,'Recommendations'!$A$2:$A$22,0))="Failed", FALSE))</xm:f>
            <x14:dxf>
              <font>
                <color rgb="FF000000"/>
              </font>
              <fill>
                <patternFill>
                  <bgColor rgb="FFD82891"/>
                </patternFill>
              </fill>
            </x14:dxf>
          </x14:cfRule>
          <x14:cfRule type="expression" priority="5" id="{00000000-000E-0000-0B00-000005000000}">
            <xm:f>AND(H2&lt;&gt;"", IFERROR(INDEX('Recommendations'!$H$2:$H$22, MATCH(H2,'Recommendations'!$A$2:$A$22,0))="Risk Accepted", FALSE))</xm:f>
            <x14:dxf>
              <font>
                <color rgb="FF000000"/>
              </font>
              <fill>
                <patternFill>
                  <bgColor rgb="FFD9D9D9"/>
                </patternFill>
              </fill>
            </x14:dxf>
          </x14:cfRule>
          <x14:cfRule type="expression" priority="6" id="{00000000-000E-0000-0B00-000006000000}">
            <xm:f>AND(H2&lt;&gt;"", IFERROR(INDEX('Recommendations'!$H$2:$H$22, MATCH(H2,'Recommendations'!$A$2:$A$22,0))="N/A",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1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92" t="s">
        <v>212</v>
      </c>
      <c r="C2" s="293"/>
      <c r="D2" s="293"/>
      <c r="E2" s="293"/>
      <c r="F2" s="293"/>
      <c r="G2" s="293"/>
      <c r="H2" s="293"/>
      <c r="I2" s="293"/>
    </row>
    <row r="4" spans="2:15" ht="18.5" x14ac:dyDescent="0.45">
      <c r="B4" s="42" t="s">
        <v>213</v>
      </c>
    </row>
    <row r="5" spans="2:15" x14ac:dyDescent="0.35">
      <c r="B5" s="44" t="s">
        <v>21</v>
      </c>
      <c r="C5" s="44" t="s">
        <v>214</v>
      </c>
      <c r="D5" s="44" t="s">
        <v>215</v>
      </c>
      <c r="F5" s="294" t="s">
        <v>216</v>
      </c>
      <c r="G5" s="294"/>
      <c r="H5" s="294"/>
      <c r="I5" s="295" t="s">
        <v>217</v>
      </c>
      <c r="J5" s="295"/>
      <c r="K5" s="295"/>
      <c r="L5" s="295"/>
      <c r="M5" s="295"/>
      <c r="N5" s="295"/>
      <c r="O5" s="295"/>
    </row>
    <row r="6" spans="2:15" x14ac:dyDescent="0.35">
      <c r="B6" s="50" t="s">
        <v>218</v>
      </c>
      <c r="C6" s="51">
        <v>21</v>
      </c>
      <c r="D6" s="52" t="s">
        <v>21</v>
      </c>
      <c r="F6" s="294" t="s">
        <v>219</v>
      </c>
      <c r="G6" s="294"/>
      <c r="H6" s="294"/>
      <c r="I6" s="296" t="s">
        <v>220</v>
      </c>
      <c r="J6" s="296"/>
      <c r="K6" s="296"/>
      <c r="L6" s="296"/>
      <c r="M6" s="296"/>
      <c r="N6" s="296"/>
      <c r="O6" s="296"/>
    </row>
    <row r="7" spans="2:15" x14ac:dyDescent="0.35">
      <c r="B7" s="53" t="s">
        <v>221</v>
      </c>
      <c r="C7" s="54">
        <f>C6-C8-C9</f>
        <v>21</v>
      </c>
      <c r="D7" s="55">
        <f>IF(C6&gt;0,C7/C6,0)</f>
        <v>1</v>
      </c>
      <c r="F7" s="294" t="s">
        <v>222</v>
      </c>
      <c r="G7" s="294"/>
      <c r="H7" s="294"/>
      <c r="I7" s="296" t="s">
        <v>220</v>
      </c>
      <c r="J7" s="296"/>
      <c r="K7" s="296"/>
      <c r="L7" s="296"/>
      <c r="M7" s="296"/>
      <c r="N7" s="296"/>
      <c r="O7" s="296"/>
    </row>
    <row r="8" spans="2:15" x14ac:dyDescent="0.35">
      <c r="B8" s="46" t="s">
        <v>223</v>
      </c>
      <c r="C8" s="47">
        <f>COUNTIF('Recommendations'!H:H,"Risk Accepted")</f>
        <v>0</v>
      </c>
      <c r="D8" s="48">
        <f>IF(C6&gt;0,C8/C6,0)</f>
        <v>0</v>
      </c>
      <c r="F8" s="294" t="s">
        <v>224</v>
      </c>
      <c r="G8" s="294"/>
      <c r="H8" s="294"/>
      <c r="I8" s="296" t="s">
        <v>220</v>
      </c>
      <c r="J8" s="296"/>
      <c r="K8" s="296"/>
      <c r="L8" s="296"/>
      <c r="M8" s="296"/>
      <c r="N8" s="296"/>
      <c r="O8" s="296"/>
    </row>
    <row r="9" spans="2:15" x14ac:dyDescent="0.35">
      <c r="B9" s="46" t="s">
        <v>225</v>
      </c>
      <c r="C9" s="47">
        <f>COUNTIF('Recommendations'!H:H,"N/A")</f>
        <v>0</v>
      </c>
      <c r="D9" s="48">
        <f>IF(C6&gt;0,C9/C6,0)</f>
        <v>0</v>
      </c>
      <c r="F9" s="294" t="s">
        <v>226</v>
      </c>
      <c r="G9" s="294"/>
      <c r="H9" s="294"/>
      <c r="I9" s="296" t="s">
        <v>220</v>
      </c>
      <c r="J9" s="296"/>
      <c r="K9" s="296"/>
      <c r="L9" s="296"/>
      <c r="M9" s="296"/>
      <c r="N9" s="296"/>
      <c r="O9" s="296"/>
    </row>
    <row r="12" spans="2:15" ht="18.5" x14ac:dyDescent="0.45">
      <c r="B12" s="42" t="s">
        <v>227</v>
      </c>
    </row>
    <row r="14" spans="2:15" x14ac:dyDescent="0.35">
      <c r="B14" s="56" t="s">
        <v>228</v>
      </c>
    </row>
    <row r="15" spans="2:15" x14ac:dyDescent="0.35">
      <c r="B15" s="44" t="s">
        <v>21</v>
      </c>
      <c r="C15" s="44" t="s">
        <v>229</v>
      </c>
      <c r="D15" s="44" t="s">
        <v>230</v>
      </c>
      <c r="E15" s="44" t="s">
        <v>231</v>
      </c>
      <c r="F15" s="44" t="s">
        <v>232</v>
      </c>
    </row>
    <row r="16" spans="2:15" x14ac:dyDescent="0.35">
      <c r="B16" s="46" t="s">
        <v>233</v>
      </c>
      <c r="C16" s="47">
        <f>COUNTIF('Recommendations'!M:M,"Resolved")</f>
        <v>0</v>
      </c>
      <c r="D16" s="47">
        <f>COUNTIF('Recommendations'!M:M,"Testing")</f>
        <v>0</v>
      </c>
      <c r="E16" s="47">
        <f>COUNTIF('Recommendations'!M:M,"Outstanding")</f>
        <v>21</v>
      </c>
      <c r="F16" s="47">
        <f>SUM(C16:E16)</f>
        <v>21</v>
      </c>
    </row>
    <row r="18" spans="2:6" x14ac:dyDescent="0.35">
      <c r="B18" s="56" t="s">
        <v>234</v>
      </c>
    </row>
    <row r="19" spans="2:6" x14ac:dyDescent="0.35">
      <c r="B19" s="57" t="s">
        <v>21</v>
      </c>
      <c r="C19" s="57" t="s">
        <v>229</v>
      </c>
      <c r="D19" s="57" t="s">
        <v>230</v>
      </c>
      <c r="E19" s="57" t="s">
        <v>231</v>
      </c>
      <c r="F19" s="57" t="s">
        <v>21</v>
      </c>
    </row>
    <row r="20" spans="2:6" x14ac:dyDescent="0.35">
      <c r="B20" s="46" t="s">
        <v>233</v>
      </c>
      <c r="C20" s="48">
        <f>IF(F16&gt;0, C16/F16, 0)</f>
        <v>0</v>
      </c>
      <c r="D20" s="48">
        <f>IF(F16&gt;0, D16/F16, 0)</f>
        <v>0</v>
      </c>
      <c r="E20" s="48">
        <f>IF(F16&gt;0, E16/F16, 0)</f>
        <v>1</v>
      </c>
      <c r="F20" s="49" t="s">
        <v>21</v>
      </c>
    </row>
    <row r="25" spans="2:6" ht="18.5" x14ac:dyDescent="0.45">
      <c r="B25" s="42" t="s">
        <v>235</v>
      </c>
    </row>
    <row r="27" spans="2:6" x14ac:dyDescent="0.35">
      <c r="B27" s="56" t="s">
        <v>228</v>
      </c>
    </row>
    <row r="28" spans="2:6" x14ac:dyDescent="0.35">
      <c r="B28" s="44" t="s">
        <v>3</v>
      </c>
      <c r="C28" s="44" t="s">
        <v>229</v>
      </c>
      <c r="D28" s="44" t="s">
        <v>230</v>
      </c>
      <c r="E28" s="44" t="s">
        <v>231</v>
      </c>
      <c r="F28" s="44" t="s">
        <v>232</v>
      </c>
    </row>
    <row r="29" spans="2:6" x14ac:dyDescent="0.35">
      <c r="B29" s="46" t="s">
        <v>110</v>
      </c>
      <c r="C29" s="47">
        <f>COUNTIFS('Recommendations'!D:D,"Delivery Controller",'Recommendations'!M:M,"=Resolved")</f>
        <v>0</v>
      </c>
      <c r="D29" s="47">
        <f>COUNTIFS('Recommendations'!D:D,"=Delivery Controller",'Recommendations'!M:M,"=Testing")</f>
        <v>0</v>
      </c>
      <c r="E29" s="47">
        <f>COUNTIFS('Recommendations'!D:D,"=Delivery Controller",'Recommendations'!M:M,"=Outstanding")</f>
        <v>3</v>
      </c>
      <c r="F29" s="47">
        <f t="shared" ref="F29:F34" si="0">SUM(C29:E29)</f>
        <v>3</v>
      </c>
    </row>
    <row r="30" spans="2:6" x14ac:dyDescent="0.35">
      <c r="B30" s="46" t="s">
        <v>17</v>
      </c>
      <c r="C30" s="47">
        <f>COUNTIFS('Recommendations'!D:D,"License Server",'Recommendations'!M:M,"=Resolved")</f>
        <v>0</v>
      </c>
      <c r="D30" s="47">
        <f>COUNTIFS('Recommendations'!D:D,"=License Server",'Recommendations'!M:M,"=Testing")</f>
        <v>0</v>
      </c>
      <c r="E30" s="47">
        <f>COUNTIFS('Recommendations'!D:D,"=License Server",'Recommendations'!M:M,"=Outstanding")</f>
        <v>7</v>
      </c>
      <c r="F30" s="47">
        <f t="shared" si="0"/>
        <v>7</v>
      </c>
    </row>
    <row r="31" spans="2:6" x14ac:dyDescent="0.35">
      <c r="B31" s="46" t="s">
        <v>74</v>
      </c>
      <c r="C31" s="47">
        <f>COUNTIFS('Recommendations'!D:D,"Linux Virtual Delivery Agent",'Recommendations'!M:M,"=Resolved")</f>
        <v>0</v>
      </c>
      <c r="D31" s="47">
        <f>COUNTIFS('Recommendations'!D:D,"=Linux Virtual Delivery Agent",'Recommendations'!M:M,"=Testing")</f>
        <v>0</v>
      </c>
      <c r="E31" s="47">
        <f>COUNTIFS('Recommendations'!D:D,"=Linux Virtual Delivery Agent",'Recommendations'!M:M,"=Outstanding")</f>
        <v>6</v>
      </c>
      <c r="F31" s="47">
        <f t="shared" si="0"/>
        <v>6</v>
      </c>
    </row>
    <row r="32" spans="2:6" x14ac:dyDescent="0.35">
      <c r="B32" s="46" t="s">
        <v>52</v>
      </c>
      <c r="C32" s="47">
        <f>COUNTIFS('Recommendations'!D:D,"StoreFront",'Recommendations'!M:M,"=Resolved")</f>
        <v>0</v>
      </c>
      <c r="D32" s="47">
        <f>COUNTIFS('Recommendations'!D:D,"=StoreFront",'Recommendations'!M:M,"=Testing")</f>
        <v>0</v>
      </c>
      <c r="E32" s="47">
        <f>COUNTIFS('Recommendations'!D:D,"=StoreFront",'Recommendations'!M:M,"=Outstanding")</f>
        <v>2</v>
      </c>
      <c r="F32" s="47">
        <f t="shared" si="0"/>
        <v>2</v>
      </c>
    </row>
    <row r="33" spans="2:6" x14ac:dyDescent="0.35">
      <c r="B33" s="46" t="s">
        <v>63</v>
      </c>
      <c r="C33" s="47">
        <f>COUNTIFS('Recommendations'!D:D,"Windows Virtual Delivery Agent",'Recommendations'!M:M,"=Resolved")</f>
        <v>0</v>
      </c>
      <c r="D33" s="47">
        <f>COUNTIFS('Recommendations'!D:D,"=Windows Virtual Delivery Agent",'Recommendations'!M:M,"=Testing")</f>
        <v>0</v>
      </c>
      <c r="E33" s="47">
        <f>COUNTIFS('Recommendations'!D:D,"=Windows Virtual Delivery Agent",'Recommendations'!M:M,"=Outstanding")</f>
        <v>2</v>
      </c>
      <c r="F33" s="47">
        <f t="shared" si="0"/>
        <v>2</v>
      </c>
    </row>
    <row r="34" spans="2:6" x14ac:dyDescent="0.35">
      <c r="B34" s="46" t="s">
        <v>104</v>
      </c>
      <c r="C34" s="47">
        <f>COUNTIFS('Recommendations'!D:D,"Workspace App",'Recommendations'!M:M,"=Resolved")</f>
        <v>0</v>
      </c>
      <c r="D34" s="47">
        <f>COUNTIFS('Recommendations'!D:D,"=Workspace App",'Recommendations'!M:M,"=Testing")</f>
        <v>0</v>
      </c>
      <c r="E34" s="47">
        <f>COUNTIFS('Recommendations'!D:D,"=Workspace App",'Recommendations'!M:M,"=Outstanding")</f>
        <v>1</v>
      </c>
      <c r="F34" s="47">
        <f t="shared" si="0"/>
        <v>1</v>
      </c>
    </row>
    <row r="36" spans="2:6" x14ac:dyDescent="0.35">
      <c r="B36" s="56" t="s">
        <v>234</v>
      </c>
    </row>
    <row r="37" spans="2:6" x14ac:dyDescent="0.35">
      <c r="B37" s="57" t="s">
        <v>3</v>
      </c>
      <c r="C37" s="57" t="s">
        <v>229</v>
      </c>
      <c r="D37" s="57" t="s">
        <v>230</v>
      </c>
      <c r="E37" s="57" t="s">
        <v>231</v>
      </c>
      <c r="F37" s="57" t="s">
        <v>21</v>
      </c>
    </row>
    <row r="38" spans="2:6" x14ac:dyDescent="0.35">
      <c r="B38" s="46" t="s">
        <v>110</v>
      </c>
      <c r="C38" s="48">
        <f t="shared" ref="C38:C43" si="1">IF(F29&gt;0, C29/F29, 0)</f>
        <v>0</v>
      </c>
      <c r="D38" s="48">
        <f t="shared" ref="D38:D43" si="2">IF(F29&gt;0, D29/F29, 0)</f>
        <v>0</v>
      </c>
      <c r="E38" s="48">
        <f t="shared" ref="E38:E43" si="3">IF(F29&gt;0, E29/F29, 0)</f>
        <v>1</v>
      </c>
      <c r="F38" s="49" t="s">
        <v>21</v>
      </c>
    </row>
    <row r="39" spans="2:6" x14ac:dyDescent="0.35">
      <c r="B39" s="46" t="s">
        <v>17</v>
      </c>
      <c r="C39" s="48">
        <f t="shared" si="1"/>
        <v>0</v>
      </c>
      <c r="D39" s="48">
        <f t="shared" si="2"/>
        <v>0</v>
      </c>
      <c r="E39" s="48">
        <f t="shared" si="3"/>
        <v>1</v>
      </c>
      <c r="F39" s="49" t="s">
        <v>21</v>
      </c>
    </row>
    <row r="40" spans="2:6" x14ac:dyDescent="0.35">
      <c r="B40" s="46" t="s">
        <v>74</v>
      </c>
      <c r="C40" s="48">
        <f t="shared" si="1"/>
        <v>0</v>
      </c>
      <c r="D40" s="48">
        <f t="shared" si="2"/>
        <v>0</v>
      </c>
      <c r="E40" s="48">
        <f t="shared" si="3"/>
        <v>1</v>
      </c>
      <c r="F40" s="49" t="s">
        <v>21</v>
      </c>
    </row>
    <row r="41" spans="2:6" x14ac:dyDescent="0.35">
      <c r="B41" s="46" t="s">
        <v>52</v>
      </c>
      <c r="C41" s="48">
        <f t="shared" si="1"/>
        <v>0</v>
      </c>
      <c r="D41" s="48">
        <f t="shared" si="2"/>
        <v>0</v>
      </c>
      <c r="E41" s="48">
        <f t="shared" si="3"/>
        <v>1</v>
      </c>
      <c r="F41" s="49" t="s">
        <v>21</v>
      </c>
    </row>
    <row r="42" spans="2:6" x14ac:dyDescent="0.35">
      <c r="B42" s="46" t="s">
        <v>63</v>
      </c>
      <c r="C42" s="48">
        <f t="shared" si="1"/>
        <v>0</v>
      </c>
      <c r="D42" s="48">
        <f t="shared" si="2"/>
        <v>0</v>
      </c>
      <c r="E42" s="48">
        <f t="shared" si="3"/>
        <v>1</v>
      </c>
      <c r="F42" s="49" t="s">
        <v>21</v>
      </c>
    </row>
    <row r="43" spans="2:6" x14ac:dyDescent="0.35">
      <c r="B43" s="46" t="s">
        <v>104</v>
      </c>
      <c r="C43" s="48">
        <f t="shared" si="1"/>
        <v>0</v>
      </c>
      <c r="D43" s="48">
        <f t="shared" si="2"/>
        <v>0</v>
      </c>
      <c r="E43" s="48">
        <f t="shared" si="3"/>
        <v>1</v>
      </c>
      <c r="F43" s="49" t="s">
        <v>21</v>
      </c>
    </row>
    <row r="48" spans="2:6" ht="18.5" x14ac:dyDescent="0.45">
      <c r="B48" s="42" t="s">
        <v>236</v>
      </c>
    </row>
    <row r="50" spans="2:6" x14ac:dyDescent="0.35">
      <c r="B50" s="56" t="s">
        <v>228</v>
      </c>
    </row>
    <row r="51" spans="2:6" x14ac:dyDescent="0.35">
      <c r="B51" s="44" t="s">
        <v>6</v>
      </c>
      <c r="C51" s="44" t="s">
        <v>229</v>
      </c>
      <c r="D51" s="44" t="s">
        <v>230</v>
      </c>
      <c r="E51" s="44" t="s">
        <v>231</v>
      </c>
      <c r="F51" s="44" t="s">
        <v>232</v>
      </c>
    </row>
    <row r="52" spans="2:6" x14ac:dyDescent="0.35">
      <c r="B52" s="46" t="s">
        <v>237</v>
      </c>
      <c r="C52" s="47">
        <f>COUNTIFS('Recommendations'!G:G,"Phase1",'Recommendations'!M:M,"=Resolved")</f>
        <v>0</v>
      </c>
      <c r="D52" s="47">
        <f>COUNTIFS('Recommendations'!G:G,"=Phase1",'Recommendations'!M:M,"=Testing")</f>
        <v>0</v>
      </c>
      <c r="E52" s="47">
        <f>COUNTIFS('Recommendations'!G:G,"=Phase1",'Recommendations'!M:M,"=Outstanding")</f>
        <v>0</v>
      </c>
      <c r="F52" s="47">
        <f t="shared" ref="F52:F57" si="4">SUM(C52:E52)</f>
        <v>0</v>
      </c>
    </row>
    <row r="53" spans="2:6" x14ac:dyDescent="0.35">
      <c r="B53" s="46" t="s">
        <v>238</v>
      </c>
      <c r="C53" s="47">
        <f>COUNTIFS('Recommendations'!G:G,"Phase2",'Recommendations'!M:M,"=Resolved")</f>
        <v>0</v>
      </c>
      <c r="D53" s="47">
        <f>COUNTIFS('Recommendations'!G:G,"=Phase2",'Recommendations'!M:M,"=Testing")</f>
        <v>0</v>
      </c>
      <c r="E53" s="47">
        <f>COUNTIFS('Recommendations'!G:G,"=Phase2",'Recommendations'!M:M,"=Outstanding")</f>
        <v>0</v>
      </c>
      <c r="F53" s="47">
        <f t="shared" si="4"/>
        <v>0</v>
      </c>
    </row>
    <row r="54" spans="2:6" x14ac:dyDescent="0.35">
      <c r="B54" s="46" t="s">
        <v>239</v>
      </c>
      <c r="C54" s="47">
        <f>COUNTIFS('Recommendations'!G:G,"Phase3",'Recommendations'!M:M,"=Resolved")</f>
        <v>0</v>
      </c>
      <c r="D54" s="47">
        <f>COUNTIFS('Recommendations'!G:G,"=Phase3",'Recommendations'!M:M,"=Testing")</f>
        <v>0</v>
      </c>
      <c r="E54" s="47">
        <f>COUNTIFS('Recommendations'!G:G,"=Phase3",'Recommendations'!M:M,"=Outstanding")</f>
        <v>0</v>
      </c>
      <c r="F54" s="47">
        <f t="shared" si="4"/>
        <v>0</v>
      </c>
    </row>
    <row r="55" spans="2:6" x14ac:dyDescent="0.35">
      <c r="B55" s="46" t="s">
        <v>240</v>
      </c>
      <c r="C55" s="47">
        <f>COUNTIFS('Recommendations'!G:G,"Phase4",'Recommendations'!M:M,"=Resolved")</f>
        <v>0</v>
      </c>
      <c r="D55" s="47">
        <f>COUNTIFS('Recommendations'!G:G,"=Phase4",'Recommendations'!M:M,"=Testing")</f>
        <v>0</v>
      </c>
      <c r="E55" s="47">
        <f>COUNTIFS('Recommendations'!G:G,"=Phase4",'Recommendations'!M:M,"=Outstanding")</f>
        <v>0</v>
      </c>
      <c r="F55" s="47">
        <f t="shared" si="4"/>
        <v>0</v>
      </c>
    </row>
    <row r="56" spans="2:6" x14ac:dyDescent="0.35">
      <c r="B56" s="46" t="s">
        <v>241</v>
      </c>
      <c r="C56" s="47">
        <f>COUNTIFS('Recommendations'!G:G,"Phase5",'Recommendations'!M:M,"=Resolved")</f>
        <v>0</v>
      </c>
      <c r="D56" s="47">
        <f>COUNTIFS('Recommendations'!G:G,"=Phase5",'Recommendations'!M:M,"=Testing")</f>
        <v>0</v>
      </c>
      <c r="E56" s="47">
        <f>COUNTIFS('Recommendations'!G:G,"=Phase5",'Recommendations'!M:M,"=Outstanding")</f>
        <v>0</v>
      </c>
      <c r="F56" s="47">
        <f t="shared" si="4"/>
        <v>0</v>
      </c>
    </row>
    <row r="57" spans="2:6" x14ac:dyDescent="0.35">
      <c r="B57" s="46" t="s">
        <v>20</v>
      </c>
      <c r="C57" s="47">
        <f>COUNTIFS('Recommendations'!G:G,"Pending",'Recommendations'!M:M,"=Resolved")</f>
        <v>0</v>
      </c>
      <c r="D57" s="47">
        <f>COUNTIFS('Recommendations'!G:G,"=Pending",'Recommendations'!M:M,"=Testing")</f>
        <v>0</v>
      </c>
      <c r="E57" s="47">
        <f>COUNTIFS('Recommendations'!G:G,"=Pending",'Recommendations'!M:M,"=Outstanding")</f>
        <v>21</v>
      </c>
      <c r="F57" s="47">
        <f t="shared" si="4"/>
        <v>21</v>
      </c>
    </row>
    <row r="59" spans="2:6" x14ac:dyDescent="0.35">
      <c r="B59" s="56" t="s">
        <v>234</v>
      </c>
    </row>
    <row r="60" spans="2:6" x14ac:dyDescent="0.35">
      <c r="B60" s="57" t="s">
        <v>6</v>
      </c>
      <c r="C60" s="57" t="s">
        <v>229</v>
      </c>
      <c r="D60" s="57" t="s">
        <v>230</v>
      </c>
      <c r="E60" s="57" t="s">
        <v>231</v>
      </c>
      <c r="F60" s="57" t="s">
        <v>21</v>
      </c>
    </row>
    <row r="61" spans="2:6" x14ac:dyDescent="0.35">
      <c r="B61" s="46" t="s">
        <v>237</v>
      </c>
      <c r="C61" s="48">
        <f t="shared" ref="C61:C66" si="5">IF(F52&gt;0, C52/F52, 0)</f>
        <v>0</v>
      </c>
      <c r="D61" s="48">
        <f t="shared" ref="D61:D66" si="6">IF(F52&gt;0, D52/F52, 0)</f>
        <v>0</v>
      </c>
      <c r="E61" s="48">
        <f t="shared" ref="E61:E66" si="7">IF(F52&gt;0, E52/F52, 0)</f>
        <v>0</v>
      </c>
      <c r="F61" s="49" t="s">
        <v>21</v>
      </c>
    </row>
    <row r="62" spans="2:6" x14ac:dyDescent="0.35">
      <c r="B62" s="46" t="s">
        <v>238</v>
      </c>
      <c r="C62" s="48">
        <f t="shared" si="5"/>
        <v>0</v>
      </c>
      <c r="D62" s="48">
        <f t="shared" si="6"/>
        <v>0</v>
      </c>
      <c r="E62" s="48">
        <f t="shared" si="7"/>
        <v>0</v>
      </c>
      <c r="F62" s="49" t="s">
        <v>21</v>
      </c>
    </row>
    <row r="63" spans="2:6" x14ac:dyDescent="0.35">
      <c r="B63" s="46" t="s">
        <v>239</v>
      </c>
      <c r="C63" s="48">
        <f t="shared" si="5"/>
        <v>0</v>
      </c>
      <c r="D63" s="48">
        <f t="shared" si="6"/>
        <v>0</v>
      </c>
      <c r="E63" s="48">
        <f t="shared" si="7"/>
        <v>0</v>
      </c>
      <c r="F63" s="49" t="s">
        <v>21</v>
      </c>
    </row>
    <row r="64" spans="2:6" x14ac:dyDescent="0.35">
      <c r="B64" s="46" t="s">
        <v>240</v>
      </c>
      <c r="C64" s="48">
        <f t="shared" si="5"/>
        <v>0</v>
      </c>
      <c r="D64" s="48">
        <f t="shared" si="6"/>
        <v>0</v>
      </c>
      <c r="E64" s="48">
        <f t="shared" si="7"/>
        <v>0</v>
      </c>
      <c r="F64" s="49" t="s">
        <v>21</v>
      </c>
    </row>
    <row r="65" spans="2:6" x14ac:dyDescent="0.35">
      <c r="B65" s="46" t="s">
        <v>241</v>
      </c>
      <c r="C65" s="48">
        <f t="shared" si="5"/>
        <v>0</v>
      </c>
      <c r="D65" s="48">
        <f t="shared" si="6"/>
        <v>0</v>
      </c>
      <c r="E65" s="48">
        <f t="shared" si="7"/>
        <v>0</v>
      </c>
      <c r="F65" s="49" t="s">
        <v>21</v>
      </c>
    </row>
    <row r="66" spans="2:6" x14ac:dyDescent="0.35">
      <c r="B66" s="46" t="s">
        <v>20</v>
      </c>
      <c r="C66" s="48">
        <f t="shared" si="5"/>
        <v>0</v>
      </c>
      <c r="D66" s="48">
        <f t="shared" si="6"/>
        <v>0</v>
      </c>
      <c r="E66" s="48">
        <f t="shared" si="7"/>
        <v>1</v>
      </c>
      <c r="F66" s="49" t="s">
        <v>21</v>
      </c>
    </row>
    <row r="71" spans="2:6" ht="18.5" x14ac:dyDescent="0.45">
      <c r="B71" s="42" t="s">
        <v>242</v>
      </c>
    </row>
    <row r="73" spans="2:6" x14ac:dyDescent="0.35">
      <c r="B73" s="56" t="s">
        <v>228</v>
      </c>
    </row>
    <row r="74" spans="2:6" x14ac:dyDescent="0.35">
      <c r="B74" s="44" t="s">
        <v>2</v>
      </c>
      <c r="C74" s="44" t="s">
        <v>229</v>
      </c>
      <c r="D74" s="44" t="s">
        <v>230</v>
      </c>
      <c r="E74" s="44" t="s">
        <v>231</v>
      </c>
      <c r="F74" s="44" t="s">
        <v>232</v>
      </c>
    </row>
    <row r="75" spans="2:6" x14ac:dyDescent="0.35">
      <c r="B75" s="46" t="s">
        <v>16</v>
      </c>
      <c r="C75" s="47">
        <f>COUNTIFS('Recommendations'!C:C,"CAT I (High)",'Recommendations'!M:M,"=Resolved")</f>
        <v>0</v>
      </c>
      <c r="D75" s="47">
        <f>COUNTIFS('Recommendations'!C:C,"=CAT I (High)",'Recommendations'!M:M,"=Testing")</f>
        <v>0</v>
      </c>
      <c r="E75" s="47">
        <f>COUNTIFS('Recommendations'!C:C,"=CAT I (High)",'Recommendations'!M:M,"=Outstanding")</f>
        <v>7</v>
      </c>
      <c r="F75" s="47">
        <f>SUM(C75:E75)</f>
        <v>7</v>
      </c>
    </row>
    <row r="76" spans="2:6" x14ac:dyDescent="0.35">
      <c r="B76" s="46" t="s">
        <v>27</v>
      </c>
      <c r="C76" s="47">
        <f>COUNTIFS('Recommendations'!C:C,"CAT II (Medium)",'Recommendations'!M:M,"=Resolved")</f>
        <v>0</v>
      </c>
      <c r="D76" s="47">
        <f>COUNTIFS('Recommendations'!C:C,"=CAT II (Medium)",'Recommendations'!M:M,"=Testing")</f>
        <v>0</v>
      </c>
      <c r="E76" s="47">
        <f>COUNTIFS('Recommendations'!C:C,"=CAT II (Medium)",'Recommendations'!M:M,"=Outstanding")</f>
        <v>14</v>
      </c>
      <c r="F76" s="47">
        <f>SUM(C76:E76)</f>
        <v>14</v>
      </c>
    </row>
    <row r="78" spans="2:6" x14ac:dyDescent="0.35">
      <c r="B78" s="56" t="s">
        <v>234</v>
      </c>
    </row>
    <row r="79" spans="2:6" x14ac:dyDescent="0.35">
      <c r="B79" s="57" t="s">
        <v>2</v>
      </c>
      <c r="C79" s="57" t="s">
        <v>229</v>
      </c>
      <c r="D79" s="57" t="s">
        <v>230</v>
      </c>
      <c r="E79" s="57" t="s">
        <v>231</v>
      </c>
      <c r="F79" s="57" t="s">
        <v>21</v>
      </c>
    </row>
    <row r="80" spans="2:6" x14ac:dyDescent="0.35">
      <c r="B80" s="46" t="s">
        <v>16</v>
      </c>
      <c r="C80" s="48">
        <f>IF(F75&gt;0, C75/F75, 0)</f>
        <v>0</v>
      </c>
      <c r="D80" s="48">
        <f>IF(F75&gt;0, D75/F75, 0)</f>
        <v>0</v>
      </c>
      <c r="E80" s="48">
        <f>IF(F75&gt;0, E75/F75, 0)</f>
        <v>1</v>
      </c>
      <c r="F80" s="49" t="s">
        <v>21</v>
      </c>
    </row>
    <row r="81" spans="2:6" x14ac:dyDescent="0.35">
      <c r="B81" s="46" t="s">
        <v>27</v>
      </c>
      <c r="C81" s="48">
        <f>IF(F76&gt;0, C76/F76, 0)</f>
        <v>0</v>
      </c>
      <c r="D81" s="48">
        <f>IF(F76&gt;0, D76/F76, 0)</f>
        <v>0</v>
      </c>
      <c r="E81" s="48">
        <f>IF(F76&gt;0, E76/F76, 0)</f>
        <v>1</v>
      </c>
      <c r="F81" s="49" t="s">
        <v>21</v>
      </c>
    </row>
    <row r="86" spans="2:6" ht="18.5" x14ac:dyDescent="0.45">
      <c r="B86" s="42" t="s">
        <v>243</v>
      </c>
    </row>
    <row r="88" spans="2:6" x14ac:dyDescent="0.35">
      <c r="B88" s="56" t="s">
        <v>228</v>
      </c>
    </row>
    <row r="89" spans="2:6" x14ac:dyDescent="0.35">
      <c r="B89" s="44" t="s">
        <v>4</v>
      </c>
      <c r="C89" s="44" t="s">
        <v>229</v>
      </c>
      <c r="D89" s="44" t="s">
        <v>230</v>
      </c>
      <c r="E89" s="44" t="s">
        <v>231</v>
      </c>
      <c r="F89" s="44" t="s">
        <v>232</v>
      </c>
    </row>
    <row r="90" spans="2:6" x14ac:dyDescent="0.35">
      <c r="B90" s="46" t="s">
        <v>244</v>
      </c>
      <c r="C90" s="47">
        <f>COUNTIFS('Recommendations'!E:E,"Must",'Recommendations'!M:M,"=Resolved")</f>
        <v>0</v>
      </c>
      <c r="D90" s="47">
        <f>COUNTIFS('Recommendations'!E:E,"=Must",'Recommendations'!M:M,"=Testing")</f>
        <v>0</v>
      </c>
      <c r="E90" s="47">
        <f>COUNTIFS('Recommendations'!E:E,"=Must",'Recommendations'!M:M,"=Outstanding")</f>
        <v>0</v>
      </c>
      <c r="F90" s="47">
        <f>SUM(C90:E90)</f>
        <v>0</v>
      </c>
    </row>
    <row r="91" spans="2:6" x14ac:dyDescent="0.35">
      <c r="B91" s="46" t="s">
        <v>245</v>
      </c>
      <c r="C91" s="47">
        <f>COUNTIFS('Recommendations'!E:E,"Should",'Recommendations'!M:M,"=Resolved")</f>
        <v>0</v>
      </c>
      <c r="D91" s="47">
        <f>COUNTIFS('Recommendations'!E:E,"=Should",'Recommendations'!M:M,"=Testing")</f>
        <v>0</v>
      </c>
      <c r="E91" s="47">
        <f>COUNTIFS('Recommendations'!E:E,"=Should",'Recommendations'!M:M,"=Outstanding")</f>
        <v>0</v>
      </c>
      <c r="F91" s="47">
        <f>SUM(C91:E91)</f>
        <v>0</v>
      </c>
    </row>
    <row r="92" spans="2:6" x14ac:dyDescent="0.35">
      <c r="B92" s="46" t="s">
        <v>246</v>
      </c>
      <c r="C92" s="47">
        <f>COUNTIFS('Recommendations'!E:E,"Could",'Recommendations'!M:M,"=Resolved")</f>
        <v>0</v>
      </c>
      <c r="D92" s="47">
        <f>COUNTIFS('Recommendations'!E:E,"=Could",'Recommendations'!M:M,"=Testing")</f>
        <v>0</v>
      </c>
      <c r="E92" s="47">
        <f>COUNTIFS('Recommendations'!E:E,"=Could",'Recommendations'!M:M,"=Outstanding")</f>
        <v>0</v>
      </c>
      <c r="F92" s="47">
        <f>SUM(C92:E92)</f>
        <v>0</v>
      </c>
    </row>
    <row r="93" spans="2:6" x14ac:dyDescent="0.35">
      <c r="B93" s="46" t="s">
        <v>247</v>
      </c>
      <c r="C93" s="47">
        <f>COUNTIFS('Recommendations'!E:E,"Won't",'Recommendations'!M:M,"=Resolved")</f>
        <v>0</v>
      </c>
      <c r="D93" s="47">
        <f>COUNTIFS('Recommendations'!E:E,"=Won't",'Recommendations'!M:M,"=Testing")</f>
        <v>0</v>
      </c>
      <c r="E93" s="47">
        <f>COUNTIFS('Recommendations'!E:E,"=Won't",'Recommendations'!M:M,"=Outstanding")</f>
        <v>0</v>
      </c>
      <c r="F93" s="47">
        <f>SUM(C93:E93)</f>
        <v>0</v>
      </c>
    </row>
    <row r="94" spans="2:6" x14ac:dyDescent="0.35">
      <c r="B94" s="46" t="s">
        <v>18</v>
      </c>
      <c r="C94" s="47">
        <f>COUNTIFS('Recommendations'!E:E,"Unassigned",'Recommendations'!M:M,"=Resolved")</f>
        <v>0</v>
      </c>
      <c r="D94" s="47">
        <f>COUNTIFS('Recommendations'!E:E,"=Unassigned",'Recommendations'!M:M,"=Testing")</f>
        <v>0</v>
      </c>
      <c r="E94" s="47">
        <f>COUNTIFS('Recommendations'!E:E,"=Unassigned",'Recommendations'!M:M,"=Outstanding")</f>
        <v>21</v>
      </c>
      <c r="F94" s="47">
        <f>SUM(C94:E94)</f>
        <v>21</v>
      </c>
    </row>
    <row r="96" spans="2:6" x14ac:dyDescent="0.35">
      <c r="B96" s="56" t="s">
        <v>234</v>
      </c>
    </row>
    <row r="97" spans="2:6" x14ac:dyDescent="0.35">
      <c r="B97" s="57" t="s">
        <v>4</v>
      </c>
      <c r="C97" s="57" t="s">
        <v>229</v>
      </c>
      <c r="D97" s="57" t="s">
        <v>230</v>
      </c>
      <c r="E97" s="57" t="s">
        <v>231</v>
      </c>
      <c r="F97" s="57" t="s">
        <v>21</v>
      </c>
    </row>
    <row r="98" spans="2:6" x14ac:dyDescent="0.35">
      <c r="B98" s="46" t="s">
        <v>244</v>
      </c>
      <c r="C98" s="48">
        <f>IF(F90&gt;0, C90/F90, 0)</f>
        <v>0</v>
      </c>
      <c r="D98" s="48">
        <f>IF(F90&gt;0, D90/F90, 0)</f>
        <v>0</v>
      </c>
      <c r="E98" s="48">
        <f>IF(F90&gt;0, E90/F90, 0)</f>
        <v>0</v>
      </c>
      <c r="F98" s="49" t="s">
        <v>21</v>
      </c>
    </row>
    <row r="99" spans="2:6" x14ac:dyDescent="0.35">
      <c r="B99" s="46" t="s">
        <v>245</v>
      </c>
      <c r="C99" s="48">
        <f>IF(F91&gt;0, C91/F91, 0)</f>
        <v>0</v>
      </c>
      <c r="D99" s="48">
        <f>IF(F91&gt;0, D91/F91, 0)</f>
        <v>0</v>
      </c>
      <c r="E99" s="48">
        <f>IF(F91&gt;0, E91/F91, 0)</f>
        <v>0</v>
      </c>
      <c r="F99" s="49" t="s">
        <v>21</v>
      </c>
    </row>
    <row r="100" spans="2:6" x14ac:dyDescent="0.35">
      <c r="B100" s="46" t="s">
        <v>246</v>
      </c>
      <c r="C100" s="48">
        <f>IF(F92&gt;0, C92/F92, 0)</f>
        <v>0</v>
      </c>
      <c r="D100" s="48">
        <f>IF(F92&gt;0, D92/F92, 0)</f>
        <v>0</v>
      </c>
      <c r="E100" s="48">
        <f>IF(F92&gt;0, E92/F92, 0)</f>
        <v>0</v>
      </c>
      <c r="F100" s="49" t="s">
        <v>21</v>
      </c>
    </row>
    <row r="101" spans="2:6" x14ac:dyDescent="0.35">
      <c r="B101" s="46" t="s">
        <v>247</v>
      </c>
      <c r="C101" s="48">
        <f>IF(F93&gt;0, C93/F93, 0)</f>
        <v>0</v>
      </c>
      <c r="D101" s="48">
        <f>IF(F93&gt;0, D93/F93, 0)</f>
        <v>0</v>
      </c>
      <c r="E101" s="48">
        <f>IF(F93&gt;0, E93/F93, 0)</f>
        <v>0</v>
      </c>
      <c r="F101" s="49" t="s">
        <v>21</v>
      </c>
    </row>
    <row r="102" spans="2:6" x14ac:dyDescent="0.35">
      <c r="B102" s="46" t="s">
        <v>18</v>
      </c>
      <c r="C102" s="48">
        <f>IF(F94&gt;0, C94/F94, 0)</f>
        <v>0</v>
      </c>
      <c r="D102" s="48">
        <f>IF(F94&gt;0, D94/F94, 0)</f>
        <v>0</v>
      </c>
      <c r="E102" s="48">
        <f>IF(F94&gt;0, E94/F94, 0)</f>
        <v>1</v>
      </c>
      <c r="F102" s="49" t="s">
        <v>21</v>
      </c>
    </row>
    <row r="107" spans="2:6" ht="18.5" x14ac:dyDescent="0.45">
      <c r="B107" s="42" t="s">
        <v>248</v>
      </c>
    </row>
    <row r="109" spans="2:6" x14ac:dyDescent="0.35">
      <c r="B109" s="56" t="s">
        <v>228</v>
      </c>
    </row>
    <row r="110" spans="2:6" x14ac:dyDescent="0.35">
      <c r="B110" s="44" t="s">
        <v>249</v>
      </c>
      <c r="C110" s="44" t="s">
        <v>229</v>
      </c>
      <c r="D110" s="44" t="s">
        <v>230</v>
      </c>
      <c r="E110" s="44" t="s">
        <v>231</v>
      </c>
      <c r="F110" s="44" t="s">
        <v>232</v>
      </c>
    </row>
    <row r="111" spans="2:6" x14ac:dyDescent="0.35">
      <c r="B111" s="46" t="s">
        <v>250</v>
      </c>
      <c r="C111" s="47">
        <f>COUNTIFS('Recommendations'!F:F,"Low",'Recommendations'!M:M,"=Resolved")</f>
        <v>0</v>
      </c>
      <c r="D111" s="47">
        <f>COUNTIFS('Recommendations'!F:F,"=Low",'Recommendations'!M:M,"=Testing")</f>
        <v>0</v>
      </c>
      <c r="E111" s="47">
        <f>COUNTIFS('Recommendations'!F:F,"=Low",'Recommendations'!M:M,"=Outstanding")</f>
        <v>0</v>
      </c>
      <c r="F111" s="47">
        <f>SUM(C111:E111)</f>
        <v>0</v>
      </c>
    </row>
    <row r="112" spans="2:6" x14ac:dyDescent="0.35">
      <c r="B112" s="46" t="s">
        <v>251</v>
      </c>
      <c r="C112" s="47">
        <f>COUNTIFS('Recommendations'!F:F,"Medium",'Recommendations'!M:M,"=Resolved")</f>
        <v>0</v>
      </c>
      <c r="D112" s="47">
        <f>COUNTIFS('Recommendations'!F:F,"=Medium",'Recommendations'!M:M,"=Testing")</f>
        <v>0</v>
      </c>
      <c r="E112" s="47">
        <f>COUNTIFS('Recommendations'!F:F,"=Medium",'Recommendations'!M:M,"=Outstanding")</f>
        <v>0</v>
      </c>
      <c r="F112" s="47">
        <f>SUM(C112:E112)</f>
        <v>0</v>
      </c>
    </row>
    <row r="113" spans="2:15" x14ac:dyDescent="0.35">
      <c r="B113" s="46" t="s">
        <v>252</v>
      </c>
      <c r="C113" s="47">
        <f>COUNTIFS('Recommendations'!F:F,"High",'Recommendations'!M:M,"=Resolved")</f>
        <v>0</v>
      </c>
      <c r="D113" s="47">
        <f>COUNTIFS('Recommendations'!F:F,"=High",'Recommendations'!M:M,"=Testing")</f>
        <v>0</v>
      </c>
      <c r="E113" s="47">
        <f>COUNTIFS('Recommendations'!F:F,"=High",'Recommendations'!M:M,"=Outstanding")</f>
        <v>0</v>
      </c>
      <c r="F113" s="47">
        <f>SUM(C113:E113)</f>
        <v>0</v>
      </c>
    </row>
    <row r="114" spans="2:15" x14ac:dyDescent="0.35">
      <c r="B114" s="46" t="s">
        <v>19</v>
      </c>
      <c r="C114" s="47">
        <f>COUNTIFS('Recommendations'!F:F,"Unassessed",'Recommendations'!M:M,"=Resolved")</f>
        <v>0</v>
      </c>
      <c r="D114" s="47">
        <f>COUNTIFS('Recommendations'!F:F,"=Unassessed",'Recommendations'!M:M,"=Testing")</f>
        <v>0</v>
      </c>
      <c r="E114" s="47">
        <f>COUNTIFS('Recommendations'!F:F,"=Unassessed",'Recommendations'!M:M,"=Outstanding")</f>
        <v>21</v>
      </c>
      <c r="F114" s="47">
        <f>SUM(C114:E114)</f>
        <v>21</v>
      </c>
    </row>
    <row r="116" spans="2:15" x14ac:dyDescent="0.35">
      <c r="B116" s="56" t="s">
        <v>234</v>
      </c>
    </row>
    <row r="117" spans="2:15" x14ac:dyDescent="0.35">
      <c r="B117" s="57" t="s">
        <v>249</v>
      </c>
      <c r="C117" s="57" t="s">
        <v>229</v>
      </c>
      <c r="D117" s="57" t="s">
        <v>230</v>
      </c>
      <c r="E117" s="57" t="s">
        <v>231</v>
      </c>
      <c r="F117" s="57" t="s">
        <v>21</v>
      </c>
    </row>
    <row r="118" spans="2:15" x14ac:dyDescent="0.35">
      <c r="B118" s="46" t="s">
        <v>250</v>
      </c>
      <c r="C118" s="48">
        <f>IF(F111&gt;0, C111/F111, 0)</f>
        <v>0</v>
      </c>
      <c r="D118" s="48">
        <f>IF(F111&gt;0, D111/F111, 0)</f>
        <v>0</v>
      </c>
      <c r="E118" s="48">
        <f>IF(F111&gt;0, E111/F111, 0)</f>
        <v>0</v>
      </c>
      <c r="F118" s="49" t="s">
        <v>21</v>
      </c>
    </row>
    <row r="119" spans="2:15" x14ac:dyDescent="0.35">
      <c r="B119" s="46" t="s">
        <v>251</v>
      </c>
      <c r="C119" s="48">
        <f>IF(F112&gt;0, C112/F112, 0)</f>
        <v>0</v>
      </c>
      <c r="D119" s="48">
        <f>IF(F112&gt;0, D112/F112, 0)</f>
        <v>0</v>
      </c>
      <c r="E119" s="48">
        <f>IF(F112&gt;0, E112/F112, 0)</f>
        <v>0</v>
      </c>
      <c r="F119" s="49" t="s">
        <v>21</v>
      </c>
    </row>
    <row r="120" spans="2:15" x14ac:dyDescent="0.35">
      <c r="B120" s="46" t="s">
        <v>252</v>
      </c>
      <c r="C120" s="48">
        <f>IF(F113&gt;0, C113/F113, 0)</f>
        <v>0</v>
      </c>
      <c r="D120" s="48">
        <f>IF(F113&gt;0, D113/F113, 0)</f>
        <v>0</v>
      </c>
      <c r="E120" s="48">
        <f>IF(F113&gt;0, E113/F113, 0)</f>
        <v>0</v>
      </c>
      <c r="F120" s="49" t="s">
        <v>21</v>
      </c>
    </row>
    <row r="121" spans="2:15" x14ac:dyDescent="0.35">
      <c r="B121" s="46" t="s">
        <v>19</v>
      </c>
      <c r="C121" s="48">
        <f>IF(F114&gt;0, C114/F114, 0)</f>
        <v>0</v>
      </c>
      <c r="D121" s="48">
        <f>IF(F114&gt;0, D114/F114, 0)</f>
        <v>0</v>
      </c>
      <c r="E121" s="48">
        <f>IF(F114&gt;0, E114/F114, 0)</f>
        <v>1</v>
      </c>
      <c r="F121" s="49" t="s">
        <v>21</v>
      </c>
    </row>
    <row r="126" spans="2:15" ht="18.5" x14ac:dyDescent="0.45">
      <c r="B126" s="42" t="s">
        <v>253</v>
      </c>
      <c r="J126" s="42" t="s">
        <v>254</v>
      </c>
    </row>
    <row r="127" spans="2:15" x14ac:dyDescent="0.35">
      <c r="B127" s="44" t="s">
        <v>6</v>
      </c>
      <c r="C127" s="297" t="s">
        <v>255</v>
      </c>
      <c r="D127" s="297"/>
      <c r="E127" s="44" t="s">
        <v>221</v>
      </c>
      <c r="F127" s="44" t="s">
        <v>229</v>
      </c>
      <c r="G127" s="297" t="s">
        <v>256</v>
      </c>
      <c r="H127" s="297"/>
      <c r="J127" s="44" t="s">
        <v>6</v>
      </c>
      <c r="K127" s="44" t="s">
        <v>244</v>
      </c>
      <c r="L127" s="44" t="s">
        <v>245</v>
      </c>
      <c r="M127" s="44" t="s">
        <v>246</v>
      </c>
      <c r="N127" s="44" t="s">
        <v>247</v>
      </c>
      <c r="O127" s="44" t="s">
        <v>18</v>
      </c>
    </row>
    <row r="128" spans="2:15" x14ac:dyDescent="0.35">
      <c r="B128" s="50" t="s">
        <v>237</v>
      </c>
      <c r="C128" s="298" t="s">
        <v>21</v>
      </c>
      <c r="D128" s="298"/>
      <c r="E128" s="47">
        <f>COUNTIF('Recommendations'!G:G,"Phase1")-COUNTIFS('Recommendations'!G:G,"Phase1",'Recommendations'!H:H,"Risk Accepted")-COUNTIFS('Recommendations'!G:G,"Phase1",'Recommendations'!H:H,"N/A")</f>
        <v>0</v>
      </c>
      <c r="F128" s="47">
        <f>COUNTIFS('Recommendations'!G:G,"Phase1",'Recommendations'!M:M,"Resolved")</f>
        <v>0</v>
      </c>
      <c r="G128" s="299">
        <f t="shared" ref="G128:G133" si="8">IF(E128&gt;0,F128/E128,0)</f>
        <v>0</v>
      </c>
      <c r="H128" s="299"/>
      <c r="J128" s="50" t="s">
        <v>237</v>
      </c>
      <c r="K128" s="47">
        <f>COUNTIFS('Recommendations'!G:G,"Phase1",'Recommendations'!E:E,"Must")</f>
        <v>0</v>
      </c>
      <c r="L128" s="47">
        <f>COUNTIFS('Recommendations'!G:G,"Phase1",'Recommendations'!E:E,"Should")</f>
        <v>0</v>
      </c>
      <c r="M128" s="47">
        <f>COUNTIFS('Recommendations'!G:G,"Phase1",'Recommendations'!E:E,"Could")</f>
        <v>0</v>
      </c>
      <c r="N128" s="47">
        <f>COUNTIFS('Recommendations'!G:G,"Phase1",'Recommendations'!E:E,"Won't")</f>
        <v>0</v>
      </c>
      <c r="O128" s="47">
        <f>COUNTIFS('Recommendations'!G:G,"Phase1",'Recommendations'!E:E,"Unassigned")</f>
        <v>0</v>
      </c>
    </row>
    <row r="129" spans="2:24" x14ac:dyDescent="0.35">
      <c r="B129" s="50" t="s">
        <v>238</v>
      </c>
      <c r="C129" s="298" t="s">
        <v>21</v>
      </c>
      <c r="D129" s="298"/>
      <c r="E129" s="47">
        <f>COUNTIF('Recommendations'!G:G,"Phase2")-COUNTIFS('Recommendations'!G:G,"Phase2",'Recommendations'!H:H,"Risk Accepted")-COUNTIFS('Recommendations'!G:G,"Phase2",'Recommendations'!H:H,"N/A")</f>
        <v>0</v>
      </c>
      <c r="F129" s="47">
        <f>COUNTIFS('Recommendations'!G:G,"Phase2",'Recommendations'!M:M,"Resolved")</f>
        <v>0</v>
      </c>
      <c r="G129" s="299">
        <f t="shared" si="8"/>
        <v>0</v>
      </c>
      <c r="H129" s="299"/>
      <c r="J129" s="50" t="s">
        <v>238</v>
      </c>
      <c r="K129" s="47">
        <f>COUNTIFS('Recommendations'!G:G,"Phase2",'Recommendations'!E:E,"Must")</f>
        <v>0</v>
      </c>
      <c r="L129" s="47">
        <f>COUNTIFS('Recommendations'!G:G,"Phase2",'Recommendations'!E:E,"Should")</f>
        <v>0</v>
      </c>
      <c r="M129" s="47">
        <f>COUNTIFS('Recommendations'!G:G,"Phase2",'Recommendations'!E:E,"Could")</f>
        <v>0</v>
      </c>
      <c r="N129" s="47">
        <f>COUNTIFS('Recommendations'!G:G,"Phase2",'Recommendations'!E:E,"Won't")</f>
        <v>0</v>
      </c>
      <c r="O129" s="47">
        <f>COUNTIFS('Recommendations'!G:G,"Phase2",'Recommendations'!E:E,"Unassigned")</f>
        <v>0</v>
      </c>
    </row>
    <row r="130" spans="2:24" x14ac:dyDescent="0.35">
      <c r="B130" s="50" t="s">
        <v>239</v>
      </c>
      <c r="C130" s="298" t="s">
        <v>21</v>
      </c>
      <c r="D130" s="298"/>
      <c r="E130" s="47">
        <f>COUNTIF('Recommendations'!G:G,"Phase3")-COUNTIFS('Recommendations'!G:G,"Phase3",'Recommendations'!H:H,"Risk Accepted")-COUNTIFS('Recommendations'!G:G,"Phase3",'Recommendations'!H:H,"N/A")</f>
        <v>0</v>
      </c>
      <c r="F130" s="47">
        <f>COUNTIFS('Recommendations'!G:G,"Phase3",'Recommendations'!M:M,"Resolved")</f>
        <v>0</v>
      </c>
      <c r="G130" s="299">
        <f t="shared" si="8"/>
        <v>0</v>
      </c>
      <c r="H130" s="299"/>
      <c r="J130" s="50" t="s">
        <v>239</v>
      </c>
      <c r="K130" s="47">
        <f>COUNTIFS('Recommendations'!G:G,"Phase3",'Recommendations'!E:E,"Must")</f>
        <v>0</v>
      </c>
      <c r="L130" s="47">
        <f>COUNTIFS('Recommendations'!G:G,"Phase3",'Recommendations'!E:E,"Should")</f>
        <v>0</v>
      </c>
      <c r="M130" s="47">
        <f>COUNTIFS('Recommendations'!G:G,"Phase3",'Recommendations'!E:E,"Could")</f>
        <v>0</v>
      </c>
      <c r="N130" s="47">
        <f>COUNTIFS('Recommendations'!G:G,"Phase3",'Recommendations'!E:E,"Won't")</f>
        <v>0</v>
      </c>
      <c r="O130" s="47">
        <f>COUNTIFS('Recommendations'!G:G,"Phase3",'Recommendations'!E:E,"Unassigned")</f>
        <v>0</v>
      </c>
    </row>
    <row r="131" spans="2:24" x14ac:dyDescent="0.35">
      <c r="B131" s="50" t="s">
        <v>240</v>
      </c>
      <c r="C131" s="298" t="s">
        <v>21</v>
      </c>
      <c r="D131" s="298"/>
      <c r="E131" s="47">
        <f>COUNTIF('Recommendations'!G:G,"Phase4")-COUNTIFS('Recommendations'!G:G,"Phase4",'Recommendations'!H:H,"Risk Accepted")-COUNTIFS('Recommendations'!G:G,"Phase4",'Recommendations'!H:H,"N/A")</f>
        <v>0</v>
      </c>
      <c r="F131" s="47">
        <f>COUNTIFS('Recommendations'!G:G,"Phase4",'Recommendations'!M:M,"Resolved")</f>
        <v>0</v>
      </c>
      <c r="G131" s="299">
        <f t="shared" si="8"/>
        <v>0</v>
      </c>
      <c r="H131" s="299"/>
      <c r="J131" s="50" t="s">
        <v>240</v>
      </c>
      <c r="K131" s="47">
        <f>COUNTIFS('Recommendations'!G:G,"Phase4",'Recommendations'!E:E,"Must")</f>
        <v>0</v>
      </c>
      <c r="L131" s="47">
        <f>COUNTIFS('Recommendations'!G:G,"Phase4",'Recommendations'!E:E,"Should")</f>
        <v>0</v>
      </c>
      <c r="M131" s="47">
        <f>COUNTIFS('Recommendations'!G:G,"Phase4",'Recommendations'!E:E,"Could")</f>
        <v>0</v>
      </c>
      <c r="N131" s="47">
        <f>COUNTIFS('Recommendations'!G:G,"Phase4",'Recommendations'!E:E,"Won't")</f>
        <v>0</v>
      </c>
      <c r="O131" s="47">
        <f>COUNTIFS('Recommendations'!G:G,"Phase4",'Recommendations'!E:E,"Unassigned")</f>
        <v>0</v>
      </c>
    </row>
    <row r="132" spans="2:24" x14ac:dyDescent="0.35">
      <c r="B132" s="50" t="s">
        <v>241</v>
      </c>
      <c r="C132" s="298" t="s">
        <v>21</v>
      </c>
      <c r="D132" s="298"/>
      <c r="E132" s="47">
        <f>COUNTIF('Recommendations'!G:G,"Phase5")-COUNTIFS('Recommendations'!G:G,"Phase5",'Recommendations'!H:H,"Risk Accepted")-COUNTIFS('Recommendations'!G:G,"Phase5",'Recommendations'!H:H,"N/A")</f>
        <v>0</v>
      </c>
      <c r="F132" s="47">
        <f>COUNTIFS('Recommendations'!G:G,"Phase5",'Recommendations'!M:M,"Resolved")</f>
        <v>0</v>
      </c>
      <c r="G132" s="299">
        <f t="shared" si="8"/>
        <v>0</v>
      </c>
      <c r="H132" s="299"/>
      <c r="J132" s="50" t="s">
        <v>241</v>
      </c>
      <c r="K132" s="47">
        <f>COUNTIFS('Recommendations'!G:G,"Phase5",'Recommendations'!E:E,"Must")</f>
        <v>0</v>
      </c>
      <c r="L132" s="47">
        <f>COUNTIFS('Recommendations'!G:G,"Phase5",'Recommendations'!E:E,"Should")</f>
        <v>0</v>
      </c>
      <c r="M132" s="47">
        <f>COUNTIFS('Recommendations'!G:G,"Phase5",'Recommendations'!E:E,"Could")</f>
        <v>0</v>
      </c>
      <c r="N132" s="47">
        <f>COUNTIFS('Recommendations'!G:G,"Phase5",'Recommendations'!E:E,"Won't")</f>
        <v>0</v>
      </c>
      <c r="O132" s="47">
        <f>COUNTIFS('Recommendations'!G:G,"Phase5",'Recommendations'!E:E,"Unassigned")</f>
        <v>0</v>
      </c>
    </row>
    <row r="133" spans="2:24" x14ac:dyDescent="0.35">
      <c r="B133" s="50" t="s">
        <v>20</v>
      </c>
      <c r="C133" s="298" t="s">
        <v>21</v>
      </c>
      <c r="D133" s="298"/>
      <c r="E133" s="47">
        <f>COUNTIF('Recommendations'!G:G,"Pending")-COUNTIFS('Recommendations'!G:G,"Pending",'Recommendations'!H:H,"Risk Accepted")-COUNTIFS('Recommendations'!G:G,"Pending",'Recommendations'!H:H,"N/A")</f>
        <v>21</v>
      </c>
      <c r="F133" s="47">
        <f>COUNTIFS('Recommendations'!G:G,"Pending",'Recommendations'!M:M,"Resolved")</f>
        <v>0</v>
      </c>
      <c r="G133" s="299">
        <f t="shared" si="8"/>
        <v>0</v>
      </c>
      <c r="H133" s="299"/>
      <c r="J133" s="50" t="s">
        <v>20</v>
      </c>
      <c r="K133" s="47">
        <f>COUNTIFS('Recommendations'!G:G,"Pending",'Recommendations'!E:E,"Must")</f>
        <v>0</v>
      </c>
      <c r="L133" s="47">
        <f>COUNTIFS('Recommendations'!G:G,"Pending",'Recommendations'!E:E,"Should")</f>
        <v>0</v>
      </c>
      <c r="M133" s="47">
        <f>COUNTIFS('Recommendations'!G:G,"Pending",'Recommendations'!E:E,"Could")</f>
        <v>0</v>
      </c>
      <c r="N133" s="47">
        <f>COUNTIFS('Recommendations'!G:G,"Pending",'Recommendations'!E:E,"Won't")</f>
        <v>0</v>
      </c>
      <c r="O133" s="47">
        <f>COUNTIFS('Recommendations'!G:G,"Pending",'Recommendations'!E:E,"Unassigned")</f>
        <v>21</v>
      </c>
    </row>
    <row r="140" spans="2:24" ht="21" x14ac:dyDescent="0.5">
      <c r="B140" s="42" t="s">
        <v>257</v>
      </c>
      <c r="P140" s="59" t="s">
        <v>258</v>
      </c>
    </row>
    <row r="142" spans="2:24" ht="60" customHeight="1" x14ac:dyDescent="0.35">
      <c r="B142" s="300" t="s">
        <v>259</v>
      </c>
      <c r="C142" s="293"/>
      <c r="D142" s="293"/>
      <c r="E142" s="293"/>
      <c r="F142" s="293"/>
      <c r="P142" s="300" t="s">
        <v>260</v>
      </c>
      <c r="Q142" s="293"/>
      <c r="R142" s="293"/>
      <c r="S142" s="293"/>
      <c r="T142" s="293"/>
      <c r="U142" s="293"/>
      <c r="V142" s="293"/>
      <c r="W142" s="293"/>
    </row>
    <row r="144" spans="2:24" ht="30" customHeight="1" x14ac:dyDescent="0.35">
      <c r="P144" s="60" t="s">
        <v>261</v>
      </c>
      <c r="Q144" s="61">
        <f>C16</f>
        <v>0</v>
      </c>
      <c r="R144" s="62"/>
      <c r="S144" s="61">
        <f>C90</f>
        <v>0</v>
      </c>
      <c r="T144" s="62"/>
      <c r="U144" s="61">
        <f>C91</f>
        <v>0</v>
      </c>
      <c r="V144" s="62"/>
      <c r="W144" s="61">
        <f>C92</f>
        <v>0</v>
      </c>
      <c r="X144" s="62"/>
    </row>
    <row r="145" spans="15:24" ht="35" customHeight="1" x14ac:dyDescent="0.35">
      <c r="P145" s="63" t="s">
        <v>262</v>
      </c>
      <c r="Q145" s="63" t="s">
        <v>263</v>
      </c>
      <c r="R145" s="63" t="s">
        <v>264</v>
      </c>
      <c r="S145" s="63" t="s">
        <v>265</v>
      </c>
      <c r="T145" s="63" t="s">
        <v>266</v>
      </c>
      <c r="U145" s="63" t="s">
        <v>267</v>
      </c>
      <c r="V145" s="63" t="s">
        <v>268</v>
      </c>
      <c r="W145" s="63" t="s">
        <v>269</v>
      </c>
      <c r="X145" s="63" t="s">
        <v>270</v>
      </c>
    </row>
    <row r="146" spans="15:24" x14ac:dyDescent="0.35">
      <c r="O146" s="64" t="s">
        <v>271</v>
      </c>
      <c r="P146" s="65" t="s">
        <v>272</v>
      </c>
      <c r="Q146" s="66">
        <v>0</v>
      </c>
      <c r="R146" s="67">
        <f>IF(Dashboard!F16&gt;0, Q146/Dashboard!F16, "")</f>
        <v>0</v>
      </c>
      <c r="S146" s="66">
        <v>0</v>
      </c>
      <c r="T146" s="67" t="str">
        <f>IF(AND(NOT(ISBLANK(S146)),Dashboard!F90&gt;0), S146/Dashboard!F90, "")</f>
        <v/>
      </c>
      <c r="U146" s="66">
        <v>0</v>
      </c>
      <c r="V146" s="67" t="str">
        <f>IF(AND(NOT(ISBLANK(U146)),Dashboard!F91&gt;0), U146/Dashboard!F91, "")</f>
        <v/>
      </c>
      <c r="W146" s="66">
        <v>0</v>
      </c>
      <c r="X146" s="67" t="str">
        <f>IF(AND(NOT(ISBLANK(W146)),Dashboard!F92&gt;0), W146/Dashboard!F92, "")</f>
        <v/>
      </c>
    </row>
    <row r="147" spans="15:24" x14ac:dyDescent="0.35">
      <c r="P147" s="58"/>
      <c r="Q147" s="45"/>
      <c r="R147" s="48" t="str">
        <f>IF(AND(NOT(ISBLANK(Q147)),Dashboard!F16&gt;0), Q147/Dashboard!F16, "")</f>
        <v/>
      </c>
      <c r="S147" s="45"/>
      <c r="T147" s="48" t="str">
        <f>IF(AND(NOT(ISBLANK(S147)),Dashboard!F90&gt;0), S147/Dashboard!F90, "")</f>
        <v/>
      </c>
      <c r="U147" s="45"/>
      <c r="V147" s="48" t="str">
        <f>IF(AND(NOT(ISBLANK(U147)),Dashboard!F91&gt;0), U147/Dashboard!F91, "")</f>
        <v/>
      </c>
      <c r="W147" s="45"/>
      <c r="X147" s="48" t="str">
        <f>IF(AND(NOT(ISBLANK(W147)),Dashboard!F92&gt;0), W147/Dashboard!F92, "")</f>
        <v/>
      </c>
    </row>
    <row r="148" spans="15:24" x14ac:dyDescent="0.35">
      <c r="P148" s="58"/>
      <c r="Q148" s="45"/>
      <c r="R148" s="48" t="str">
        <f>IF(AND(NOT(ISBLANK(Q148)),Dashboard!F16&gt;0), Q148/Dashboard!F16, "")</f>
        <v/>
      </c>
      <c r="S148" s="45"/>
      <c r="T148" s="48" t="str">
        <f>IF(AND(NOT(ISBLANK(S148)),Dashboard!F90&gt;0), S148/Dashboard!F90, "")</f>
        <v/>
      </c>
      <c r="U148" s="45"/>
      <c r="V148" s="48" t="str">
        <f>IF(AND(NOT(ISBLANK(U148)),Dashboard!F91&gt;0), U148/Dashboard!F91, "")</f>
        <v/>
      </c>
      <c r="W148" s="45"/>
      <c r="X148" s="48" t="str">
        <f>IF(AND(NOT(ISBLANK(W148)),Dashboard!F92&gt;0), W148/Dashboard!F92, "")</f>
        <v/>
      </c>
    </row>
    <row r="149" spans="15:24" x14ac:dyDescent="0.35">
      <c r="P149" s="58"/>
      <c r="Q149" s="45"/>
      <c r="R149" s="48" t="str">
        <f>IF(AND(NOT(ISBLANK(Q149)),Dashboard!F16&gt;0), Q149/Dashboard!F16, "")</f>
        <v/>
      </c>
      <c r="S149" s="45"/>
      <c r="T149" s="48" t="str">
        <f>IF(AND(NOT(ISBLANK(S149)),Dashboard!F90&gt;0), S149/Dashboard!F90, "")</f>
        <v/>
      </c>
      <c r="U149" s="45"/>
      <c r="V149" s="48" t="str">
        <f>IF(AND(NOT(ISBLANK(U149)),Dashboard!F91&gt;0), U149/Dashboard!F91, "")</f>
        <v/>
      </c>
      <c r="W149" s="45"/>
      <c r="X149" s="48" t="str">
        <f>IF(AND(NOT(ISBLANK(W149)),Dashboard!F92&gt;0), W149/Dashboard!F92, "")</f>
        <v/>
      </c>
    </row>
    <row r="150" spans="15:24" x14ac:dyDescent="0.35">
      <c r="P150" s="58"/>
      <c r="Q150" s="45"/>
      <c r="R150" s="48" t="str">
        <f>IF(AND(NOT(ISBLANK(Q150)),Dashboard!F16&gt;0), Q150/Dashboard!F16, "")</f>
        <v/>
      </c>
      <c r="S150" s="45"/>
      <c r="T150" s="48" t="str">
        <f>IF(AND(NOT(ISBLANK(S150)),Dashboard!F90&gt;0), S150/Dashboard!F90, "")</f>
        <v/>
      </c>
      <c r="U150" s="45"/>
      <c r="V150" s="48" t="str">
        <f>IF(AND(NOT(ISBLANK(U150)),Dashboard!F91&gt;0), U150/Dashboard!F91, "")</f>
        <v/>
      </c>
      <c r="W150" s="45"/>
      <c r="X150" s="48" t="str">
        <f>IF(AND(NOT(ISBLANK(W150)),Dashboard!F92&gt;0), W150/Dashboard!F92, "")</f>
        <v/>
      </c>
    </row>
    <row r="151" spans="15:24" x14ac:dyDescent="0.35">
      <c r="P151" s="58"/>
      <c r="Q151" s="45"/>
      <c r="R151" s="48" t="str">
        <f>IF(AND(NOT(ISBLANK(Q151)),Dashboard!F16&gt;0), Q151/Dashboard!F16, "")</f>
        <v/>
      </c>
      <c r="S151" s="45"/>
      <c r="T151" s="48" t="str">
        <f>IF(AND(NOT(ISBLANK(S151)),Dashboard!F90&gt;0), S151/Dashboard!F90, "")</f>
        <v/>
      </c>
      <c r="U151" s="45"/>
      <c r="V151" s="48" t="str">
        <f>IF(AND(NOT(ISBLANK(U151)),Dashboard!F91&gt;0), U151/Dashboard!F91, "")</f>
        <v/>
      </c>
      <c r="W151" s="45"/>
      <c r="X151" s="48" t="str">
        <f>IF(AND(NOT(ISBLANK(W151)),Dashboard!F92&gt;0), W151/Dashboard!F92, "")</f>
        <v/>
      </c>
    </row>
    <row r="152" spans="15:24" x14ac:dyDescent="0.35">
      <c r="P152" s="58"/>
      <c r="Q152" s="45"/>
      <c r="R152" s="48" t="str">
        <f>IF(AND(NOT(ISBLANK(Q152)),Dashboard!F16&gt;0), Q152/Dashboard!F16, "")</f>
        <v/>
      </c>
      <c r="S152" s="45"/>
      <c r="T152" s="48" t="str">
        <f>IF(AND(NOT(ISBLANK(S152)),Dashboard!F90&gt;0), S152/Dashboard!F90, "")</f>
        <v/>
      </c>
      <c r="U152" s="45"/>
      <c r="V152" s="48" t="str">
        <f>IF(AND(NOT(ISBLANK(U152)),Dashboard!F91&gt;0), U152/Dashboard!F91, "")</f>
        <v/>
      </c>
      <c r="W152" s="45"/>
      <c r="X152" s="48" t="str">
        <f>IF(AND(NOT(ISBLANK(W152)),Dashboard!F92&gt;0), W152/Dashboard!F92, "")</f>
        <v/>
      </c>
    </row>
    <row r="153" spans="15:24" x14ac:dyDescent="0.35">
      <c r="P153" s="58"/>
      <c r="Q153" s="45"/>
      <c r="R153" s="48" t="str">
        <f>IF(AND(NOT(ISBLANK(Q153)),Dashboard!F16&gt;0), Q153/Dashboard!F16, "")</f>
        <v/>
      </c>
      <c r="S153" s="45"/>
      <c r="T153" s="48" t="str">
        <f>IF(AND(NOT(ISBLANK(S153)),Dashboard!F90&gt;0), S153/Dashboard!F90, "")</f>
        <v/>
      </c>
      <c r="U153" s="45"/>
      <c r="V153" s="48" t="str">
        <f>IF(AND(NOT(ISBLANK(U153)),Dashboard!F91&gt;0), U153/Dashboard!F91, "")</f>
        <v/>
      </c>
      <c r="W153" s="45"/>
      <c r="X153" s="48" t="str">
        <f>IF(AND(NOT(ISBLANK(W153)),Dashboard!F92&gt;0), W153/Dashboard!F92, "")</f>
        <v/>
      </c>
    </row>
    <row r="154" spans="15:24" x14ac:dyDescent="0.35">
      <c r="P154" s="58"/>
      <c r="Q154" s="45"/>
      <c r="R154" s="48" t="str">
        <f>IF(AND(NOT(ISBLANK(Q154)),Dashboard!F16&gt;0), Q154/Dashboard!F16, "")</f>
        <v/>
      </c>
      <c r="S154" s="45"/>
      <c r="T154" s="48" t="str">
        <f>IF(AND(NOT(ISBLANK(S154)),Dashboard!F90&gt;0), S154/Dashboard!F90, "")</f>
        <v/>
      </c>
      <c r="U154" s="45"/>
      <c r="V154" s="48" t="str">
        <f>IF(AND(NOT(ISBLANK(U154)),Dashboard!F91&gt;0), U154/Dashboard!F91, "")</f>
        <v/>
      </c>
      <c r="W154" s="45"/>
      <c r="X154" s="48" t="str">
        <f>IF(AND(NOT(ISBLANK(W154)),Dashboard!F92&gt;0), W154/Dashboard!F92, "")</f>
        <v/>
      </c>
    </row>
    <row r="155" spans="15:24" x14ac:dyDescent="0.35">
      <c r="P155" s="58"/>
      <c r="Q155" s="45"/>
      <c r="R155" s="48" t="str">
        <f>IF(AND(NOT(ISBLANK(Q155)),Dashboard!F16&gt;0), Q155/Dashboard!F16, "")</f>
        <v/>
      </c>
      <c r="S155" s="45"/>
      <c r="T155" s="48" t="str">
        <f>IF(AND(NOT(ISBLANK(S155)),Dashboard!F90&gt;0), S155/Dashboard!F90, "")</f>
        <v/>
      </c>
      <c r="U155" s="45"/>
      <c r="V155" s="48" t="str">
        <f>IF(AND(NOT(ISBLANK(U155)),Dashboard!F91&gt;0), U155/Dashboard!F91, "")</f>
        <v/>
      </c>
      <c r="W155" s="45"/>
      <c r="X155" s="48" t="str">
        <f>IF(AND(NOT(ISBLANK(W155)),Dashboard!F92&gt;0), W155/Dashboard!F92, "")</f>
        <v/>
      </c>
    </row>
    <row r="156" spans="15:24" x14ac:dyDescent="0.35">
      <c r="P156" s="58"/>
      <c r="Q156" s="45"/>
      <c r="R156" s="48" t="str">
        <f>IF(AND(NOT(ISBLANK(Q156)),Dashboard!F16&gt;0), Q156/Dashboard!F16, "")</f>
        <v/>
      </c>
      <c r="S156" s="45"/>
      <c r="T156" s="48" t="str">
        <f>IF(AND(NOT(ISBLANK(S156)),Dashboard!F90&gt;0), S156/Dashboard!F90, "")</f>
        <v/>
      </c>
      <c r="U156" s="45"/>
      <c r="V156" s="48" t="str">
        <f>IF(AND(NOT(ISBLANK(U156)),Dashboard!F91&gt;0), U156/Dashboard!F91, "")</f>
        <v/>
      </c>
      <c r="W156" s="45"/>
      <c r="X156" s="48" t="str">
        <f>IF(AND(NOT(ISBLANK(W156)),Dashboard!F92&gt;0), W156/Dashboard!F92, "")</f>
        <v/>
      </c>
    </row>
    <row r="157" spans="15:24" x14ac:dyDescent="0.35">
      <c r="P157" s="58"/>
      <c r="Q157" s="45"/>
      <c r="R157" s="48" t="str">
        <f>IF(AND(NOT(ISBLANK(Q157)),Dashboard!F16&gt;0), Q157/Dashboard!F16, "")</f>
        <v/>
      </c>
      <c r="S157" s="45"/>
      <c r="T157" s="48" t="str">
        <f>IF(AND(NOT(ISBLANK(S157)),Dashboard!F90&gt;0), S157/Dashboard!F90, "")</f>
        <v/>
      </c>
      <c r="U157" s="45"/>
      <c r="V157" s="48" t="str">
        <f>IF(AND(NOT(ISBLANK(U157)),Dashboard!F91&gt;0), U157/Dashboard!F91, "")</f>
        <v/>
      </c>
      <c r="W157" s="45"/>
      <c r="X157" s="48" t="str">
        <f>IF(AND(NOT(ISBLANK(W157)),Dashboard!F92&gt;0), W157/Dashboard!F92, "")</f>
        <v/>
      </c>
    </row>
    <row r="158" spans="15:24" x14ac:dyDescent="0.35">
      <c r="P158" s="58"/>
      <c r="Q158" s="45"/>
      <c r="R158" s="48" t="str">
        <f>IF(AND(NOT(ISBLANK(Q158)),Dashboard!F16&gt;0), Q158/Dashboard!F16, "")</f>
        <v/>
      </c>
      <c r="S158" s="45"/>
      <c r="T158" s="48" t="str">
        <f>IF(AND(NOT(ISBLANK(S158)),Dashboard!F90&gt;0), S158/Dashboard!F90, "")</f>
        <v/>
      </c>
      <c r="U158" s="45"/>
      <c r="V158" s="48" t="str">
        <f>IF(AND(NOT(ISBLANK(U158)),Dashboard!F91&gt;0), U158/Dashboard!F91, "")</f>
        <v/>
      </c>
      <c r="W158" s="45"/>
      <c r="X158" s="48" t="str">
        <f>IF(AND(NOT(ISBLANK(W158)),Dashboard!F92&gt;0), W158/Dashboard!F92, "")</f>
        <v/>
      </c>
    </row>
    <row r="159" spans="15:24" x14ac:dyDescent="0.35">
      <c r="P159" s="58"/>
      <c r="Q159" s="45"/>
      <c r="R159" s="48" t="str">
        <f>IF(AND(NOT(ISBLANK(Q159)),Dashboard!F16&gt;0), Q159/Dashboard!F16, "")</f>
        <v/>
      </c>
      <c r="S159" s="45"/>
      <c r="T159" s="48" t="str">
        <f>IF(AND(NOT(ISBLANK(S159)),Dashboard!F90&gt;0), S159/Dashboard!F90, "")</f>
        <v/>
      </c>
      <c r="U159" s="45"/>
      <c r="V159" s="48" t="str">
        <f>IF(AND(NOT(ISBLANK(U159)),Dashboard!F91&gt;0), U159/Dashboard!F91, "")</f>
        <v/>
      </c>
      <c r="W159" s="45"/>
      <c r="X159" s="48" t="str">
        <f>IF(AND(NOT(ISBLANK(W159)),Dashboard!F92&gt;0), W159/Dashboard!F92, "")</f>
        <v/>
      </c>
    </row>
    <row r="160" spans="15:24" x14ac:dyDescent="0.35">
      <c r="P160" s="58"/>
      <c r="Q160" s="45"/>
      <c r="R160" s="48" t="str">
        <f>IF(AND(NOT(ISBLANK(Q160)),Dashboard!F16&gt;0), Q160/Dashboard!F16, "")</f>
        <v/>
      </c>
      <c r="S160" s="45"/>
      <c r="T160" s="48" t="str">
        <f>IF(AND(NOT(ISBLANK(S160)),Dashboard!F90&gt;0), S160/Dashboard!F90, "")</f>
        <v/>
      </c>
      <c r="U160" s="45"/>
      <c r="V160" s="48" t="str">
        <f>IF(AND(NOT(ISBLANK(U160)),Dashboard!F91&gt;0), U160/Dashboard!F91, "")</f>
        <v/>
      </c>
      <c r="W160" s="45"/>
      <c r="X160" s="48" t="str">
        <f>IF(AND(NOT(ISBLANK(W160)),Dashboard!F92&gt;0), W160/Dashboard!F92, "")</f>
        <v/>
      </c>
    </row>
    <row r="161" spans="16:24" x14ac:dyDescent="0.35">
      <c r="P161" s="58"/>
      <c r="Q161" s="45"/>
      <c r="R161" s="48" t="str">
        <f>IF(AND(NOT(ISBLANK(Q161)),Dashboard!F16&gt;0), Q161/Dashboard!F16, "")</f>
        <v/>
      </c>
      <c r="S161" s="45"/>
      <c r="T161" s="48" t="str">
        <f>IF(AND(NOT(ISBLANK(S161)),Dashboard!F90&gt;0), S161/Dashboard!F90, "")</f>
        <v/>
      </c>
      <c r="U161" s="45"/>
      <c r="V161" s="48" t="str">
        <f>IF(AND(NOT(ISBLANK(U161)),Dashboard!F91&gt;0), U161/Dashboard!F91, "")</f>
        <v/>
      </c>
      <c r="W161" s="45"/>
      <c r="X161" s="48" t="str">
        <f>IF(AND(NOT(ISBLANK(W161)),Dashboard!F92&gt;0), W161/Dashboard!F92, "")</f>
        <v/>
      </c>
    </row>
    <row r="162" spans="16:24" x14ac:dyDescent="0.35">
      <c r="P162" s="58"/>
      <c r="Q162" s="45"/>
      <c r="R162" s="48" t="str">
        <f>IF(AND(NOT(ISBLANK(Q162)),Dashboard!F16&gt;0), Q162/Dashboard!F16, "")</f>
        <v/>
      </c>
      <c r="S162" s="45"/>
      <c r="T162" s="48" t="str">
        <f>IF(AND(NOT(ISBLANK(S162)),Dashboard!F90&gt;0), S162/Dashboard!F90, "")</f>
        <v/>
      </c>
      <c r="U162" s="45"/>
      <c r="V162" s="48" t="str">
        <f>IF(AND(NOT(ISBLANK(U162)),Dashboard!F91&gt;0), U162/Dashboard!F91, "")</f>
        <v/>
      </c>
      <c r="W162" s="45"/>
      <c r="X162" s="48" t="str">
        <f>IF(AND(NOT(ISBLANK(W162)),Dashboard!F92&gt;0), W162/Dashboard!F92, "")</f>
        <v/>
      </c>
    </row>
    <row r="163" spans="16:24" x14ac:dyDescent="0.35">
      <c r="P163" s="58"/>
      <c r="Q163" s="45"/>
      <c r="R163" s="48" t="str">
        <f>IF(AND(NOT(ISBLANK(Q163)),Dashboard!F16&gt;0), Q163/Dashboard!F16, "")</f>
        <v/>
      </c>
      <c r="S163" s="45"/>
      <c r="T163" s="48" t="str">
        <f>IF(AND(NOT(ISBLANK(S163)),Dashboard!F90&gt;0), S163/Dashboard!F90, "")</f>
        <v/>
      </c>
      <c r="U163" s="45"/>
      <c r="V163" s="48" t="str">
        <f>IF(AND(NOT(ISBLANK(U163)),Dashboard!F91&gt;0), U163/Dashboard!F91, "")</f>
        <v/>
      </c>
      <c r="W163" s="45"/>
      <c r="X163" s="48" t="str">
        <f>IF(AND(NOT(ISBLANK(W163)),Dashboard!F92&gt;0), W163/Dashboard!F92, "")</f>
        <v/>
      </c>
    </row>
    <row r="164" spans="16:24" x14ac:dyDescent="0.35">
      <c r="P164" s="58"/>
      <c r="Q164" s="45"/>
      <c r="R164" s="48" t="str">
        <f>IF(AND(NOT(ISBLANK(Q164)),Dashboard!F16&gt;0), Q164/Dashboard!F16, "")</f>
        <v/>
      </c>
      <c r="S164" s="45"/>
      <c r="T164" s="48" t="str">
        <f>IF(AND(NOT(ISBLANK(S164)),Dashboard!F90&gt;0), S164/Dashboard!F90, "")</f>
        <v/>
      </c>
      <c r="U164" s="45"/>
      <c r="V164" s="48" t="str">
        <f>IF(AND(NOT(ISBLANK(U164)),Dashboard!F91&gt;0), U164/Dashboard!F91, "")</f>
        <v/>
      </c>
      <c r="W164" s="45"/>
      <c r="X164" s="48" t="str">
        <f>IF(AND(NOT(ISBLANK(W164)),Dashboard!F92&gt;0), W164/Dashboard!F92, "")</f>
        <v/>
      </c>
    </row>
    <row r="165" spans="16:24" x14ac:dyDescent="0.35">
      <c r="P165" s="58"/>
      <c r="Q165" s="45"/>
      <c r="R165" s="48" t="str">
        <f>IF(AND(NOT(ISBLANK(Q165)),Dashboard!F16&gt;0), Q165/Dashboard!F16, "")</f>
        <v/>
      </c>
      <c r="S165" s="45"/>
      <c r="T165" s="48" t="str">
        <f>IF(AND(NOT(ISBLANK(S165)),Dashboard!F90&gt;0), S165/Dashboard!F90, "")</f>
        <v/>
      </c>
      <c r="U165" s="45"/>
      <c r="V165" s="48" t="str">
        <f>IF(AND(NOT(ISBLANK(U165)),Dashboard!F91&gt;0), U165/Dashboard!F91, "")</f>
        <v/>
      </c>
      <c r="W165" s="45"/>
      <c r="X165" s="48" t="str">
        <f>IF(AND(NOT(ISBLANK(W165)),Dashboard!F92&gt;0), W165/Dashboard!F92, "")</f>
        <v/>
      </c>
    </row>
    <row r="166" spans="16:24" x14ac:dyDescent="0.35">
      <c r="P166" s="58"/>
      <c r="Q166" s="45"/>
      <c r="R166" s="48" t="str">
        <f>IF(AND(NOT(ISBLANK(Q166)),Dashboard!F16&gt;0), Q166/Dashboard!F16, "")</f>
        <v/>
      </c>
      <c r="S166" s="45"/>
      <c r="T166" s="48" t="str">
        <f>IF(AND(NOT(ISBLANK(S166)),Dashboard!F90&gt;0), S166/Dashboard!F90, "")</f>
        <v/>
      </c>
      <c r="U166" s="45"/>
      <c r="V166" s="48" t="str">
        <f>IF(AND(NOT(ISBLANK(U166)),Dashboard!F91&gt;0), U166/Dashboard!F91, "")</f>
        <v/>
      </c>
      <c r="W166" s="45"/>
      <c r="X166" s="48" t="str">
        <f>IF(AND(NOT(ISBLANK(W166)),Dashboard!F92&gt;0), W166/Dashboard!F92, "")</f>
        <v/>
      </c>
    </row>
    <row r="167" spans="16:24" x14ac:dyDescent="0.35">
      <c r="P167" s="58"/>
      <c r="Q167" s="45"/>
      <c r="R167" s="48" t="str">
        <f>IF(AND(NOT(ISBLANK(Q167)),Dashboard!F16&gt;0), Q167/Dashboard!F16, "")</f>
        <v/>
      </c>
      <c r="S167" s="45"/>
      <c r="T167" s="48" t="str">
        <f>IF(AND(NOT(ISBLANK(S167)),Dashboard!F90&gt;0), S167/Dashboard!F90, "")</f>
        <v/>
      </c>
      <c r="U167" s="45"/>
      <c r="V167" s="48" t="str">
        <f>IF(AND(NOT(ISBLANK(U167)),Dashboard!F91&gt;0), U167/Dashboard!F91, "")</f>
        <v/>
      </c>
      <c r="W167" s="45"/>
      <c r="X167" s="48" t="str">
        <f>IF(AND(NOT(ISBLANK(W167)),Dashboard!F92&gt;0), W167/Dashboard!F92, "")</f>
        <v/>
      </c>
    </row>
    <row r="168" spans="16:24" x14ac:dyDescent="0.35">
      <c r="P168" s="58"/>
      <c r="Q168" s="45"/>
      <c r="R168" s="48" t="str">
        <f>IF(AND(NOT(ISBLANK(Q168)),Dashboard!F16&gt;0), Q168/Dashboard!F16, "")</f>
        <v/>
      </c>
      <c r="S168" s="45"/>
      <c r="T168" s="48" t="str">
        <f>IF(AND(NOT(ISBLANK(S168)),Dashboard!F90&gt;0), S168/Dashboard!F90, "")</f>
        <v/>
      </c>
      <c r="U168" s="45"/>
      <c r="V168" s="48" t="str">
        <f>IF(AND(NOT(ISBLANK(U168)),Dashboard!F91&gt;0), U168/Dashboard!F91, "")</f>
        <v/>
      </c>
      <c r="W168" s="45"/>
      <c r="X168" s="48" t="str">
        <f>IF(AND(NOT(ISBLANK(W168)),Dashboard!F92&gt;0), W168/Dashboard!F92, "")</f>
        <v/>
      </c>
    </row>
    <row r="169" spans="16:24" x14ac:dyDescent="0.35">
      <c r="P169" s="58"/>
      <c r="Q169" s="45"/>
      <c r="R169" s="48" t="str">
        <f>IF(AND(NOT(ISBLANK(Q169)),Dashboard!F16&gt;0), Q169/Dashboard!F16, "")</f>
        <v/>
      </c>
      <c r="S169" s="45"/>
      <c r="T169" s="48" t="str">
        <f>IF(AND(NOT(ISBLANK(S169)),Dashboard!F90&gt;0), S169/Dashboard!F90, "")</f>
        <v/>
      </c>
      <c r="U169" s="45"/>
      <c r="V169" s="48" t="str">
        <f>IF(AND(NOT(ISBLANK(U169)),Dashboard!F91&gt;0), U169/Dashboard!F91, "")</f>
        <v/>
      </c>
      <c r="W169" s="45"/>
      <c r="X169" s="48" t="str">
        <f>IF(AND(NOT(ISBLANK(W169)),Dashboard!F92&gt;0), W169/Dashboard!F92, "")</f>
        <v/>
      </c>
    </row>
    <row r="170" spans="16:24" x14ac:dyDescent="0.35">
      <c r="P170" s="58"/>
      <c r="Q170" s="45"/>
      <c r="R170" s="48" t="str">
        <f>IF(AND(NOT(ISBLANK(Q170)),Dashboard!F16&gt;0), Q170/Dashboard!F16, "")</f>
        <v/>
      </c>
      <c r="S170" s="45"/>
      <c r="T170" s="48" t="str">
        <f>IF(AND(NOT(ISBLANK(S170)),Dashboard!F90&gt;0), S170/Dashboard!F90, "")</f>
        <v/>
      </c>
      <c r="U170" s="45"/>
      <c r="V170" s="48" t="str">
        <f>IF(AND(NOT(ISBLANK(U170)),Dashboard!F91&gt;0), U170/Dashboard!F91, "")</f>
        <v/>
      </c>
      <c r="W170" s="45"/>
      <c r="X170" s="48" t="str">
        <f>IF(AND(NOT(ISBLANK(W170)),Dashboard!F92&gt;0), W170/Dashboard!F92, "")</f>
        <v/>
      </c>
    </row>
    <row r="171" spans="16:24" x14ac:dyDescent="0.35">
      <c r="P171" s="58"/>
      <c r="Q171" s="45"/>
      <c r="R171" s="48" t="str">
        <f>IF(AND(NOT(ISBLANK(Q171)),Dashboard!F16&gt;0), Q171/Dashboard!F16, "")</f>
        <v/>
      </c>
      <c r="S171" s="45"/>
      <c r="T171" s="48" t="str">
        <f>IF(AND(NOT(ISBLANK(S171)),Dashboard!F90&gt;0), S171/Dashboard!F90, "")</f>
        <v/>
      </c>
      <c r="U171" s="45"/>
      <c r="V171" s="48" t="str">
        <f>IF(AND(NOT(ISBLANK(U171)),Dashboard!F91&gt;0), U171/Dashboard!F91, "")</f>
        <v/>
      </c>
      <c r="W171" s="45"/>
      <c r="X171" s="48" t="str">
        <f>IF(AND(NOT(ISBLANK(W171)),Dashboard!F92&gt;0), W171/Dashboard!F92, "")</f>
        <v/>
      </c>
    </row>
    <row r="172" spans="16:24" x14ac:dyDescent="0.35">
      <c r="P172" s="58"/>
      <c r="Q172" s="45"/>
      <c r="R172" s="48" t="str">
        <f>IF(AND(NOT(ISBLANK(Q172)),Dashboard!F16&gt;0), Q172/Dashboard!F16, "")</f>
        <v/>
      </c>
      <c r="S172" s="45"/>
      <c r="T172" s="48" t="str">
        <f>IF(AND(NOT(ISBLANK(S172)),Dashboard!F90&gt;0), S172/Dashboard!F90, "")</f>
        <v/>
      </c>
      <c r="U172" s="45"/>
      <c r="V172" s="48" t="str">
        <f>IF(AND(NOT(ISBLANK(U172)),Dashboard!F91&gt;0), U172/Dashboard!F91, "")</f>
        <v/>
      </c>
      <c r="W172" s="45"/>
      <c r="X172" s="48" t="str">
        <f>IF(AND(NOT(ISBLANK(W172)),Dashboard!F92&gt;0), W172/Dashboard!F92, "")</f>
        <v/>
      </c>
    </row>
    <row r="173" spans="16:24" x14ac:dyDescent="0.35">
      <c r="P173" s="58"/>
      <c r="Q173" s="45"/>
      <c r="R173" s="48" t="str">
        <f>IF(AND(NOT(ISBLANK(Q173)),Dashboard!F16&gt;0), Q173/Dashboard!F16, "")</f>
        <v/>
      </c>
      <c r="S173" s="45"/>
      <c r="T173" s="48" t="str">
        <f>IF(AND(NOT(ISBLANK(S173)),Dashboard!F90&gt;0), S173/Dashboard!F90, "")</f>
        <v/>
      </c>
      <c r="U173" s="45"/>
      <c r="V173" s="48" t="str">
        <f>IF(AND(NOT(ISBLANK(U173)),Dashboard!F91&gt;0), U173/Dashboard!F91, "")</f>
        <v/>
      </c>
      <c r="W173" s="45"/>
      <c r="X173" s="48" t="str">
        <f>IF(AND(NOT(ISBLANK(W173)),Dashboard!F92&gt;0), W173/Dashboard!F92, "")</f>
        <v/>
      </c>
    </row>
    <row r="174" spans="16:24" x14ac:dyDescent="0.35">
      <c r="P174" s="58"/>
      <c r="Q174" s="45"/>
      <c r="R174" s="48" t="str">
        <f>IF(AND(NOT(ISBLANK(Q174)),Dashboard!F16&gt;0), Q174/Dashboard!F16, "")</f>
        <v/>
      </c>
      <c r="S174" s="45"/>
      <c r="T174" s="48" t="str">
        <f>IF(AND(NOT(ISBLANK(S174)),Dashboard!F90&gt;0), S174/Dashboard!F90, "")</f>
        <v/>
      </c>
      <c r="U174" s="45"/>
      <c r="V174" s="48" t="str">
        <f>IF(AND(NOT(ISBLANK(U174)),Dashboard!F91&gt;0), U174/Dashboard!F91, "")</f>
        <v/>
      </c>
      <c r="W174" s="45"/>
      <c r="X174" s="48" t="str">
        <f>IF(AND(NOT(ISBLANK(W174)),Dashboard!F92&gt;0), W174/Dashboard!F92, "")</f>
        <v/>
      </c>
    </row>
    <row r="175" spans="16:24" x14ac:dyDescent="0.35">
      <c r="P175" s="58"/>
      <c r="Q175" s="45"/>
      <c r="R175" s="48" t="str">
        <f>IF(AND(NOT(ISBLANK(Q175)),Dashboard!F16&gt;0), Q175/Dashboard!F16, "")</f>
        <v/>
      </c>
      <c r="S175" s="45"/>
      <c r="T175" s="48" t="str">
        <f>IF(AND(NOT(ISBLANK(S175)),Dashboard!F90&gt;0), S175/Dashboard!F90, "")</f>
        <v/>
      </c>
      <c r="U175" s="45"/>
      <c r="V175" s="48" t="str">
        <f>IF(AND(NOT(ISBLANK(U175)),Dashboard!F91&gt;0), U175/Dashboard!F91, "")</f>
        <v/>
      </c>
      <c r="W175" s="45"/>
      <c r="X175" s="48" t="str">
        <f>IF(AND(NOT(ISBLANK(W175)),Dashboard!F92&gt;0), W175/Dashboard!F92, "")</f>
        <v/>
      </c>
    </row>
    <row r="176" spans="16:24" x14ac:dyDescent="0.35">
      <c r="P176" s="58"/>
      <c r="Q176" s="45"/>
      <c r="R176" s="48" t="str">
        <f>IF(AND(NOT(ISBLANK(Q176)),Dashboard!F16&gt;0), Q176/Dashboard!F16, "")</f>
        <v/>
      </c>
      <c r="S176" s="45"/>
      <c r="T176" s="48" t="str">
        <f>IF(AND(NOT(ISBLANK(S176)),Dashboard!F90&gt;0), S176/Dashboard!F90, "")</f>
        <v/>
      </c>
      <c r="U176" s="45"/>
      <c r="V176" s="48" t="str">
        <f>IF(AND(NOT(ISBLANK(U176)),Dashboard!F91&gt;0), U176/Dashboard!F91, "")</f>
        <v/>
      </c>
      <c r="W176" s="45"/>
      <c r="X176" s="48" t="str">
        <f>IF(AND(NOT(ISBLANK(W176)),Dashboard!F92&gt;0), W176/Dashboard!F92, "")</f>
        <v/>
      </c>
    </row>
    <row r="181" spans="2:22" ht="21" x14ac:dyDescent="0.5">
      <c r="B181" s="42" t="s">
        <v>273</v>
      </c>
      <c r="P181" s="59" t="s">
        <v>274</v>
      </c>
    </row>
    <row r="183" spans="2:22" ht="45" customHeight="1" x14ac:dyDescent="0.35">
      <c r="B183" s="300" t="s">
        <v>275</v>
      </c>
      <c r="C183" s="293"/>
      <c r="D183" s="293"/>
      <c r="E183" s="293"/>
      <c r="F183" s="293"/>
      <c r="P183" s="300" t="s">
        <v>276</v>
      </c>
      <c r="Q183" s="293"/>
      <c r="R183" s="293"/>
      <c r="S183" s="293"/>
      <c r="T183" s="293"/>
      <c r="U183" s="293"/>
    </row>
    <row r="184" spans="2:22" ht="35" customHeight="1" x14ac:dyDescent="0.35">
      <c r="P184" s="297" t="s">
        <v>277</v>
      </c>
      <c r="Q184" s="297"/>
      <c r="R184" s="297" t="s">
        <v>278</v>
      </c>
      <c r="S184" s="297"/>
      <c r="T184" s="297"/>
    </row>
    <row r="185" spans="2:22" ht="30" customHeight="1" x14ac:dyDescent="0.35">
      <c r="P185" s="301">
        <v>0</v>
      </c>
      <c r="Q185" s="302"/>
      <c r="R185" s="303" t="s">
        <v>279</v>
      </c>
      <c r="S185" s="304"/>
      <c r="T185" s="304"/>
    </row>
    <row r="188" spans="2:22" ht="25" customHeight="1" x14ac:dyDescent="0.35">
      <c r="P188" s="68" t="s">
        <v>262</v>
      </c>
      <c r="Q188" s="68" t="s">
        <v>280</v>
      </c>
      <c r="R188" s="68" t="s">
        <v>281</v>
      </c>
      <c r="S188" s="305" t="s">
        <v>8</v>
      </c>
      <c r="T188" s="305"/>
      <c r="U188" s="305"/>
      <c r="V188" s="293"/>
    </row>
    <row r="189" spans="2:22" ht="20" customHeight="1" x14ac:dyDescent="0.35">
      <c r="P189" s="70"/>
      <c r="Q189" s="71"/>
      <c r="R189" s="72" t="str">
        <f>IF(AND(NOT(ISBLANK(Q189)), Dashboard!$P185&gt;0), Q189/Dashboard!$P185, "")</f>
        <v/>
      </c>
      <c r="S189" s="306"/>
      <c r="T189" s="307"/>
      <c r="U189" s="307"/>
      <c r="V189" s="307"/>
    </row>
    <row r="190" spans="2:22" ht="20" customHeight="1" x14ac:dyDescent="0.35">
      <c r="P190" s="70"/>
      <c r="Q190" s="71"/>
      <c r="R190" s="72" t="str">
        <f>IF(AND(NOT(ISBLANK(Q190)), Dashboard!$P185&gt;0), Q190/Dashboard!$P185, "")</f>
        <v/>
      </c>
      <c r="S190" s="306"/>
      <c r="T190" s="307"/>
      <c r="U190" s="307"/>
      <c r="V190" s="307"/>
    </row>
    <row r="191" spans="2:22" ht="20" customHeight="1" x14ac:dyDescent="0.35">
      <c r="P191" s="70"/>
      <c r="Q191" s="71"/>
      <c r="R191" s="72" t="str">
        <f>IF(AND(NOT(ISBLANK(Q191)), Dashboard!$P185&gt;0), Q191/Dashboard!$P185, "")</f>
        <v/>
      </c>
      <c r="S191" s="306"/>
      <c r="T191" s="307"/>
      <c r="U191" s="307"/>
      <c r="V191" s="307"/>
    </row>
    <row r="192" spans="2:22" ht="20" customHeight="1" x14ac:dyDescent="0.35">
      <c r="P192" s="70"/>
      <c r="Q192" s="71"/>
      <c r="R192" s="72" t="str">
        <f>IF(AND(NOT(ISBLANK(Q192)), Dashboard!$P185&gt;0), Q192/Dashboard!$P185, "")</f>
        <v/>
      </c>
      <c r="S192" s="306"/>
      <c r="T192" s="307"/>
      <c r="U192" s="307"/>
      <c r="V192" s="307"/>
    </row>
    <row r="193" spans="16:22" ht="20" customHeight="1" x14ac:dyDescent="0.35">
      <c r="P193" s="70"/>
      <c r="Q193" s="71"/>
      <c r="R193" s="72" t="str">
        <f>IF(AND(NOT(ISBLANK(Q193)), Dashboard!$P185&gt;0), Q193/Dashboard!$P185, "")</f>
        <v/>
      </c>
      <c r="S193" s="306"/>
      <c r="T193" s="307"/>
      <c r="U193" s="307"/>
      <c r="V193" s="307"/>
    </row>
    <row r="194" spans="16:22" ht="20" customHeight="1" x14ac:dyDescent="0.35">
      <c r="P194" s="70"/>
      <c r="Q194" s="71"/>
      <c r="R194" s="72" t="str">
        <f>IF(AND(NOT(ISBLANK(Q194)), Dashboard!$P185&gt;0), Q194/Dashboard!$P185, "")</f>
        <v/>
      </c>
      <c r="S194" s="306"/>
      <c r="T194" s="307"/>
      <c r="U194" s="307"/>
      <c r="V194" s="307"/>
    </row>
    <row r="195" spans="16:22" ht="20" customHeight="1" x14ac:dyDescent="0.35">
      <c r="P195" s="70"/>
      <c r="Q195" s="71"/>
      <c r="R195" s="72" t="str">
        <f>IF(AND(NOT(ISBLANK(Q195)), Dashboard!$P185&gt;0), Q195/Dashboard!$P185, "")</f>
        <v/>
      </c>
      <c r="S195" s="306"/>
      <c r="T195" s="307"/>
      <c r="U195" s="307"/>
      <c r="V195" s="307"/>
    </row>
    <row r="196" spans="16:22" ht="20" customHeight="1" x14ac:dyDescent="0.35">
      <c r="P196" s="70"/>
      <c r="Q196" s="71"/>
      <c r="R196" s="72" t="str">
        <f>IF(AND(NOT(ISBLANK(Q196)), Dashboard!$P185&gt;0), Q196/Dashboard!$P185, "")</f>
        <v/>
      </c>
      <c r="S196" s="306"/>
      <c r="T196" s="307"/>
      <c r="U196" s="307"/>
      <c r="V196" s="307"/>
    </row>
    <row r="197" spans="16:22" ht="20" customHeight="1" x14ac:dyDescent="0.35">
      <c r="P197" s="70"/>
      <c r="Q197" s="71"/>
      <c r="R197" s="72" t="str">
        <f>IF(AND(NOT(ISBLANK(Q197)), Dashboard!$P185&gt;0), Q197/Dashboard!$P185, "")</f>
        <v/>
      </c>
      <c r="S197" s="306"/>
      <c r="T197" s="307"/>
      <c r="U197" s="307"/>
      <c r="V197" s="307"/>
    </row>
    <row r="198" spans="16:22" ht="20" customHeight="1" x14ac:dyDescent="0.35">
      <c r="P198" s="70"/>
      <c r="Q198" s="71"/>
      <c r="R198" s="72" t="str">
        <f>IF(AND(NOT(ISBLANK(Q198)), Dashboard!$P185&gt;0), Q198/Dashboard!$P185, "")</f>
        <v/>
      </c>
      <c r="S198" s="306"/>
      <c r="T198" s="307"/>
      <c r="U198" s="307"/>
      <c r="V198" s="307"/>
    </row>
    <row r="199" spans="16:22" ht="20" customHeight="1" x14ac:dyDescent="0.35">
      <c r="P199" s="70"/>
      <c r="Q199" s="71"/>
      <c r="R199" s="72" t="str">
        <f>IF(AND(NOT(ISBLANK(Q199)), Dashboard!$P185&gt;0), Q199/Dashboard!$P185, "")</f>
        <v/>
      </c>
      <c r="S199" s="306"/>
      <c r="T199" s="307"/>
      <c r="U199" s="307"/>
      <c r="V199" s="307"/>
    </row>
    <row r="200" spans="16:22" ht="20" customHeight="1" x14ac:dyDescent="0.35">
      <c r="P200" s="70"/>
      <c r="Q200" s="71"/>
      <c r="R200" s="72" t="str">
        <f>IF(AND(NOT(ISBLANK(Q200)), Dashboard!$P185&gt;0), Q200/Dashboard!$P185, "")</f>
        <v/>
      </c>
      <c r="S200" s="306"/>
      <c r="T200" s="307"/>
      <c r="U200" s="307"/>
      <c r="V200" s="307"/>
    </row>
    <row r="201" spans="16:22" ht="20" customHeight="1" x14ac:dyDescent="0.35">
      <c r="P201" s="70"/>
      <c r="Q201" s="71"/>
      <c r="R201" s="72" t="str">
        <f>IF(AND(NOT(ISBLANK(Q201)), Dashboard!$P185&gt;0), Q201/Dashboard!$P185, "")</f>
        <v/>
      </c>
      <c r="S201" s="306"/>
      <c r="T201" s="307"/>
      <c r="U201" s="307"/>
      <c r="V201" s="307"/>
    </row>
    <row r="202" spans="16:22" ht="20" customHeight="1" x14ac:dyDescent="0.35">
      <c r="P202" s="70"/>
      <c r="Q202" s="71"/>
      <c r="R202" s="72" t="str">
        <f>IF(AND(NOT(ISBLANK(Q202)), Dashboard!$P185&gt;0), Q202/Dashboard!$P185, "")</f>
        <v/>
      </c>
      <c r="S202" s="306"/>
      <c r="T202" s="307"/>
      <c r="U202" s="307"/>
      <c r="V202" s="307"/>
    </row>
    <row r="203" spans="16:22" ht="20" customHeight="1" x14ac:dyDescent="0.35">
      <c r="P203" s="70"/>
      <c r="Q203" s="71"/>
      <c r="R203" s="72" t="str">
        <f>IF(AND(NOT(ISBLANK(Q203)), Dashboard!$P185&gt;0), Q203/Dashboard!$P185, "")</f>
        <v/>
      </c>
      <c r="S203" s="306"/>
      <c r="T203" s="307"/>
      <c r="U203" s="307"/>
      <c r="V203" s="307"/>
    </row>
    <row r="204" spans="16:22" ht="20" customHeight="1" x14ac:dyDescent="0.35">
      <c r="P204" s="70"/>
      <c r="Q204" s="71"/>
      <c r="R204" s="72" t="str">
        <f>IF(AND(NOT(ISBLANK(Q204)), Dashboard!$P185&gt;0), Q204/Dashboard!$P185, "")</f>
        <v/>
      </c>
      <c r="S204" s="306"/>
      <c r="T204" s="307"/>
      <c r="U204" s="307"/>
      <c r="V204" s="307"/>
    </row>
    <row r="205" spans="16:22" ht="20" customHeight="1" x14ac:dyDescent="0.35">
      <c r="P205" s="70"/>
      <c r="Q205" s="71"/>
      <c r="R205" s="72" t="str">
        <f>IF(AND(NOT(ISBLANK(Q205)), Dashboard!$P185&gt;0), Q205/Dashboard!$P185, "")</f>
        <v/>
      </c>
      <c r="S205" s="306"/>
      <c r="T205" s="307"/>
      <c r="U205" s="307"/>
      <c r="V205" s="307"/>
    </row>
    <row r="206" spans="16:22" ht="20" customHeight="1" x14ac:dyDescent="0.35">
      <c r="P206" s="70"/>
      <c r="Q206" s="71"/>
      <c r="R206" s="72" t="str">
        <f>IF(AND(NOT(ISBLANK(Q206)), Dashboard!$P185&gt;0), Q206/Dashboard!$P185, "")</f>
        <v/>
      </c>
      <c r="S206" s="306"/>
      <c r="T206" s="307"/>
      <c r="U206" s="307"/>
      <c r="V206" s="307"/>
    </row>
    <row r="207" spans="16:22" ht="20" customHeight="1" x14ac:dyDescent="0.35">
      <c r="P207" s="70"/>
      <c r="Q207" s="71"/>
      <c r="R207" s="72" t="str">
        <f>IF(AND(NOT(ISBLANK(Q207)), Dashboard!$P185&gt;0), Q207/Dashboard!$P185, "")</f>
        <v/>
      </c>
      <c r="S207" s="306"/>
      <c r="T207" s="307"/>
      <c r="U207" s="307"/>
      <c r="V207" s="307"/>
    </row>
    <row r="208" spans="16:22" ht="20" customHeight="1" x14ac:dyDescent="0.35">
      <c r="P208" s="70"/>
      <c r="Q208" s="71"/>
      <c r="R208" s="72" t="str">
        <f>IF(AND(NOT(ISBLANK(Q208)), Dashboard!$P185&gt;0), Q208/Dashboard!$P185, "")</f>
        <v/>
      </c>
      <c r="S208" s="306"/>
      <c r="T208" s="307"/>
      <c r="U208" s="307"/>
      <c r="V208" s="307"/>
    </row>
    <row r="212" spans="2:9" ht="32" customHeight="1" x14ac:dyDescent="0.35">
      <c r="B212" s="291" t="s">
        <v>124</v>
      </c>
      <c r="C212" s="291"/>
      <c r="D212" s="291"/>
      <c r="E212" s="291"/>
      <c r="F212" s="291"/>
      <c r="G212" s="291"/>
      <c r="H212" s="291"/>
      <c r="I212" s="291"/>
    </row>
  </sheetData>
  <mergeCells count="55">
    <mergeCell ref="B212:I212"/>
    <mergeCell ref="S204:V204"/>
    <mergeCell ref="S205:V205"/>
    <mergeCell ref="S206:V206"/>
    <mergeCell ref="S207:V207"/>
    <mergeCell ref="S208:V208"/>
    <mergeCell ref="S199:V199"/>
    <mergeCell ref="S200:V200"/>
    <mergeCell ref="S201:V201"/>
    <mergeCell ref="S202:V202"/>
    <mergeCell ref="S203:V203"/>
    <mergeCell ref="S194:V194"/>
    <mergeCell ref="S195:V195"/>
    <mergeCell ref="S196:V196"/>
    <mergeCell ref="S197:V197"/>
    <mergeCell ref="S198:V198"/>
    <mergeCell ref="S189:V189"/>
    <mergeCell ref="S190:V190"/>
    <mergeCell ref="S191:V191"/>
    <mergeCell ref="S192:V192"/>
    <mergeCell ref="S193:V193"/>
    <mergeCell ref="P184:Q184"/>
    <mergeCell ref="R184:T184"/>
    <mergeCell ref="P185:Q185"/>
    <mergeCell ref="R185:T185"/>
    <mergeCell ref="S188:V188"/>
    <mergeCell ref="C133:D133"/>
    <mergeCell ref="G133:H133"/>
    <mergeCell ref="B142:F142"/>
    <mergeCell ref="P142:W142"/>
    <mergeCell ref="B183:F183"/>
    <mergeCell ref="P183:U183"/>
    <mergeCell ref="C130:D130"/>
    <mergeCell ref="G130:H130"/>
    <mergeCell ref="C131:D131"/>
    <mergeCell ref="G131:H131"/>
    <mergeCell ref="C132:D132"/>
    <mergeCell ref="G132:H132"/>
    <mergeCell ref="C127:D127"/>
    <mergeCell ref="G127:H127"/>
    <mergeCell ref="C128:D128"/>
    <mergeCell ref="G128:H128"/>
    <mergeCell ref="C129:D129"/>
    <mergeCell ref="G129:H129"/>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28:H133">
    <cfRule type="expression" dxfId="80" priority="4">
      <formula>$G128&gt;=0.8</formula>
    </cfRule>
    <cfRule type="expression" dxfId="79" priority="5">
      <formula>AND($G128&gt;=0.5,$G128&lt;0.8)</formula>
    </cfRule>
    <cfRule type="expression" dxfId="78" priority="6">
      <formula>$G128&lt;0.5</formula>
    </cfRule>
  </conditionalFormatting>
  <conditionalFormatting sqref="K128:K133">
    <cfRule type="cellIs" dxfId="77" priority="7" operator="greaterThan">
      <formula>0</formula>
    </cfRule>
  </conditionalFormatting>
  <conditionalFormatting sqref="L128:L133">
    <cfRule type="cellIs" dxfId="76" priority="8" operator="greaterThan">
      <formula>0</formula>
    </cfRule>
  </conditionalFormatting>
  <conditionalFormatting sqref="M128:M133">
    <cfRule type="cellIs" dxfId="75" priority="9" operator="greaterThan">
      <formula>0</formula>
    </cfRule>
  </conditionalFormatting>
  <conditionalFormatting sqref="N128:N133">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47" xr:uid="{00000000-0002-0000-0100-000000000000}">
      <formula1>0</formula1>
      <formula2>C16</formula2>
    </dataValidation>
    <dataValidation type="whole" allowBlank="1" showErrorMessage="1" errorTitle="Invalid count" error="Value must be between 0 and the current implemented total." sqref="S147" xr:uid="{00000000-0002-0000-0100-000001000000}">
      <formula1>0</formula1>
      <formula2>C90</formula2>
    </dataValidation>
    <dataValidation type="whole" allowBlank="1" showErrorMessage="1" errorTitle="Invalid count" error="Value must be between 0 and the current implemented total." sqref="U147" xr:uid="{00000000-0002-0000-0100-000002000000}">
      <formula1>0</formula1>
      <formula2>C91</formula2>
    </dataValidation>
    <dataValidation type="whole" allowBlank="1" showErrorMessage="1" errorTitle="Invalid count" error="Value must be between 0 and the current implemented total." sqref="W147" xr:uid="{00000000-0002-0000-0100-000003000000}">
      <formula1>0</formula1>
      <formula2>C92</formula2>
    </dataValidation>
    <dataValidation type="whole" allowBlank="1" showErrorMessage="1" errorTitle="Invalid overall count" error="Overall count must be between 0 and the current implemented total." sqref="Q148" xr:uid="{00000000-0002-0000-0100-000004000000}">
      <formula1>0</formula1>
      <formula2>C16</formula2>
    </dataValidation>
    <dataValidation type="whole" allowBlank="1" showErrorMessage="1" errorTitle="Invalid count" error="Value must be between 0 and the current implemented total." sqref="S148" xr:uid="{00000000-0002-0000-0100-000005000000}">
      <formula1>0</formula1>
      <formula2>C90</formula2>
    </dataValidation>
    <dataValidation type="whole" allowBlank="1" showErrorMessage="1" errorTitle="Invalid count" error="Value must be between 0 and the current implemented total." sqref="U148" xr:uid="{00000000-0002-0000-0100-000006000000}">
      <formula1>0</formula1>
      <formula2>C91</formula2>
    </dataValidation>
    <dataValidation type="whole" allowBlank="1" showErrorMessage="1" errorTitle="Invalid count" error="Value must be between 0 and the current implemented total." sqref="W148" xr:uid="{00000000-0002-0000-0100-000007000000}">
      <formula1>0</formula1>
      <formula2>C92</formula2>
    </dataValidation>
    <dataValidation type="whole" allowBlank="1" showErrorMessage="1" errorTitle="Invalid overall count" error="Overall count must be between 0 and the current implemented total." sqref="Q149" xr:uid="{00000000-0002-0000-0100-000008000000}">
      <formula1>0</formula1>
      <formula2>C16</formula2>
    </dataValidation>
    <dataValidation type="whole" allowBlank="1" showErrorMessage="1" errorTitle="Invalid count" error="Value must be between 0 and the current implemented total." sqref="S149" xr:uid="{00000000-0002-0000-0100-000009000000}">
      <formula1>0</formula1>
      <formula2>C90</formula2>
    </dataValidation>
    <dataValidation type="whole" allowBlank="1" showErrorMessage="1" errorTitle="Invalid count" error="Value must be between 0 and the current implemented total." sqref="U149" xr:uid="{00000000-0002-0000-0100-00000A000000}">
      <formula1>0</formula1>
      <formula2>C91</formula2>
    </dataValidation>
    <dataValidation type="whole" allowBlank="1" showErrorMessage="1" errorTitle="Invalid count" error="Value must be between 0 and the current implemented total." sqref="W149" xr:uid="{00000000-0002-0000-0100-00000B000000}">
      <formula1>0</formula1>
      <formula2>C92</formula2>
    </dataValidation>
    <dataValidation type="whole" allowBlank="1" showErrorMessage="1" errorTitle="Invalid overall count" error="Overall count must be between 0 and the current implemented total." sqref="Q150" xr:uid="{00000000-0002-0000-0100-00000C000000}">
      <formula1>0</formula1>
      <formula2>C16</formula2>
    </dataValidation>
    <dataValidation type="whole" allowBlank="1" showErrorMessage="1" errorTitle="Invalid count" error="Value must be between 0 and the current implemented total." sqref="S150" xr:uid="{00000000-0002-0000-0100-00000D000000}">
      <formula1>0</formula1>
      <formula2>C90</formula2>
    </dataValidation>
    <dataValidation type="whole" allowBlank="1" showErrorMessage="1" errorTitle="Invalid count" error="Value must be between 0 and the current implemented total." sqref="U150" xr:uid="{00000000-0002-0000-0100-00000E000000}">
      <formula1>0</formula1>
      <formula2>C91</formula2>
    </dataValidation>
    <dataValidation type="whole" allowBlank="1" showErrorMessage="1" errorTitle="Invalid count" error="Value must be between 0 and the current implemented total." sqref="W150" xr:uid="{00000000-0002-0000-0100-00000F000000}">
      <formula1>0</formula1>
      <formula2>C92</formula2>
    </dataValidation>
    <dataValidation type="whole" allowBlank="1" showErrorMessage="1" errorTitle="Invalid overall count" error="Overall count must be between 0 and the current implemented total." sqref="Q151" xr:uid="{00000000-0002-0000-0100-000010000000}">
      <formula1>0</formula1>
      <formula2>C16</formula2>
    </dataValidation>
    <dataValidation type="whole" allowBlank="1" showErrorMessage="1" errorTitle="Invalid count" error="Value must be between 0 and the current implemented total." sqref="S151" xr:uid="{00000000-0002-0000-0100-000011000000}">
      <formula1>0</formula1>
      <formula2>C90</formula2>
    </dataValidation>
    <dataValidation type="whole" allowBlank="1" showErrorMessage="1" errorTitle="Invalid count" error="Value must be between 0 and the current implemented total." sqref="U151" xr:uid="{00000000-0002-0000-0100-000012000000}">
      <formula1>0</formula1>
      <formula2>C91</formula2>
    </dataValidation>
    <dataValidation type="whole" allowBlank="1" showErrorMessage="1" errorTitle="Invalid count" error="Value must be between 0 and the current implemented total." sqref="W151" xr:uid="{00000000-0002-0000-0100-000013000000}">
      <formula1>0</formula1>
      <formula2>C92</formula2>
    </dataValidation>
    <dataValidation type="whole" allowBlank="1" showErrorMessage="1" errorTitle="Invalid overall count" error="Overall count must be between 0 and the current implemented total." sqref="Q152" xr:uid="{00000000-0002-0000-0100-000014000000}">
      <formula1>0</formula1>
      <formula2>C16</formula2>
    </dataValidation>
    <dataValidation type="whole" allowBlank="1" showErrorMessage="1" errorTitle="Invalid count" error="Value must be between 0 and the current implemented total." sqref="S152" xr:uid="{00000000-0002-0000-0100-000015000000}">
      <formula1>0</formula1>
      <formula2>C90</formula2>
    </dataValidation>
    <dataValidation type="whole" allowBlank="1" showErrorMessage="1" errorTitle="Invalid count" error="Value must be between 0 and the current implemented total." sqref="U152" xr:uid="{00000000-0002-0000-0100-000016000000}">
      <formula1>0</formula1>
      <formula2>C91</formula2>
    </dataValidation>
    <dataValidation type="whole" allowBlank="1" showErrorMessage="1" errorTitle="Invalid count" error="Value must be between 0 and the current implemented total." sqref="W152" xr:uid="{00000000-0002-0000-0100-000017000000}">
      <formula1>0</formula1>
      <formula2>C92</formula2>
    </dataValidation>
    <dataValidation type="whole" allowBlank="1" showErrorMessage="1" errorTitle="Invalid overall count" error="Overall count must be between 0 and the current implemented total." sqref="Q153" xr:uid="{00000000-0002-0000-0100-000018000000}">
      <formula1>0</formula1>
      <formula2>C16</formula2>
    </dataValidation>
    <dataValidation type="whole" allowBlank="1" showErrorMessage="1" errorTitle="Invalid count" error="Value must be between 0 and the current implemented total." sqref="S153" xr:uid="{00000000-0002-0000-0100-000019000000}">
      <formula1>0</formula1>
      <formula2>C90</formula2>
    </dataValidation>
    <dataValidation type="whole" allowBlank="1" showErrorMessage="1" errorTitle="Invalid count" error="Value must be between 0 and the current implemented total." sqref="U153" xr:uid="{00000000-0002-0000-0100-00001A000000}">
      <formula1>0</formula1>
      <formula2>C91</formula2>
    </dataValidation>
    <dataValidation type="whole" allowBlank="1" showErrorMessage="1" errorTitle="Invalid count" error="Value must be between 0 and the current implemented total." sqref="W153" xr:uid="{00000000-0002-0000-0100-00001B000000}">
      <formula1>0</formula1>
      <formula2>C92</formula2>
    </dataValidation>
    <dataValidation type="whole" allowBlank="1" showErrorMessage="1" errorTitle="Invalid overall count" error="Overall count must be between 0 and the current implemented total." sqref="Q154" xr:uid="{00000000-0002-0000-0100-00001C000000}">
      <formula1>0</formula1>
      <formula2>C16</formula2>
    </dataValidation>
    <dataValidation type="whole" allowBlank="1" showErrorMessage="1" errorTitle="Invalid count" error="Value must be between 0 and the current implemented total." sqref="S154" xr:uid="{00000000-0002-0000-0100-00001D000000}">
      <formula1>0</formula1>
      <formula2>C90</formula2>
    </dataValidation>
    <dataValidation type="whole" allowBlank="1" showErrorMessage="1" errorTitle="Invalid count" error="Value must be between 0 and the current implemented total." sqref="U154" xr:uid="{00000000-0002-0000-0100-00001E000000}">
      <formula1>0</formula1>
      <formula2>C91</formula2>
    </dataValidation>
    <dataValidation type="whole" allowBlank="1" showErrorMessage="1" errorTitle="Invalid count" error="Value must be between 0 and the current implemented total." sqref="W154" xr:uid="{00000000-0002-0000-0100-00001F000000}">
      <formula1>0</formula1>
      <formula2>C92</formula2>
    </dataValidation>
    <dataValidation type="whole" allowBlank="1" showErrorMessage="1" errorTitle="Invalid overall count" error="Overall count must be between 0 and the current implemented total." sqref="Q155" xr:uid="{00000000-0002-0000-0100-000020000000}">
      <formula1>0</formula1>
      <formula2>C16</formula2>
    </dataValidation>
    <dataValidation type="whole" allowBlank="1" showErrorMessage="1" errorTitle="Invalid count" error="Value must be between 0 and the current implemented total." sqref="S155" xr:uid="{00000000-0002-0000-0100-000021000000}">
      <formula1>0</formula1>
      <formula2>C90</formula2>
    </dataValidation>
    <dataValidation type="whole" allowBlank="1" showErrorMessage="1" errorTitle="Invalid count" error="Value must be between 0 and the current implemented total." sqref="U155" xr:uid="{00000000-0002-0000-0100-000022000000}">
      <formula1>0</formula1>
      <formula2>C91</formula2>
    </dataValidation>
    <dataValidation type="whole" allowBlank="1" showErrorMessage="1" errorTitle="Invalid count" error="Value must be between 0 and the current implemented total." sqref="W155" xr:uid="{00000000-0002-0000-0100-000023000000}">
      <formula1>0</formula1>
      <formula2>C92</formula2>
    </dataValidation>
    <dataValidation type="whole" allowBlank="1" showErrorMessage="1" errorTitle="Invalid overall count" error="Overall count must be between 0 and the current implemented total." sqref="Q156" xr:uid="{00000000-0002-0000-0100-000024000000}">
      <formula1>0</formula1>
      <formula2>C16</formula2>
    </dataValidation>
    <dataValidation type="whole" allowBlank="1" showErrorMessage="1" errorTitle="Invalid count" error="Value must be between 0 and the current implemented total." sqref="S156" xr:uid="{00000000-0002-0000-0100-000025000000}">
      <formula1>0</formula1>
      <formula2>C90</formula2>
    </dataValidation>
    <dataValidation type="whole" allowBlank="1" showErrorMessage="1" errorTitle="Invalid count" error="Value must be between 0 and the current implemented total." sqref="U156" xr:uid="{00000000-0002-0000-0100-000026000000}">
      <formula1>0</formula1>
      <formula2>C91</formula2>
    </dataValidation>
    <dataValidation type="whole" allowBlank="1" showErrorMessage="1" errorTitle="Invalid count" error="Value must be between 0 and the current implemented total." sqref="W156" xr:uid="{00000000-0002-0000-0100-000027000000}">
      <formula1>0</formula1>
      <formula2>C92</formula2>
    </dataValidation>
    <dataValidation type="whole" allowBlank="1" showErrorMessage="1" errorTitle="Invalid overall count" error="Overall count must be between 0 and the current implemented total." sqref="Q157" xr:uid="{00000000-0002-0000-0100-000028000000}">
      <formula1>0</formula1>
      <formula2>C16</formula2>
    </dataValidation>
    <dataValidation type="whole" allowBlank="1" showErrorMessage="1" errorTitle="Invalid count" error="Value must be between 0 and the current implemented total." sqref="S157" xr:uid="{00000000-0002-0000-0100-000029000000}">
      <formula1>0</formula1>
      <formula2>C90</formula2>
    </dataValidation>
    <dataValidation type="whole" allowBlank="1" showErrorMessage="1" errorTitle="Invalid count" error="Value must be between 0 and the current implemented total." sqref="U157" xr:uid="{00000000-0002-0000-0100-00002A000000}">
      <formula1>0</formula1>
      <formula2>C91</formula2>
    </dataValidation>
    <dataValidation type="whole" allowBlank="1" showErrorMessage="1" errorTitle="Invalid count" error="Value must be between 0 and the current implemented total." sqref="W157" xr:uid="{00000000-0002-0000-0100-00002B000000}">
      <formula1>0</formula1>
      <formula2>C92</formula2>
    </dataValidation>
    <dataValidation type="whole" allowBlank="1" showErrorMessage="1" errorTitle="Invalid overall count" error="Overall count must be between 0 and the current implemented total." sqref="Q158" xr:uid="{00000000-0002-0000-0100-00002C000000}">
      <formula1>0</formula1>
      <formula2>C16</formula2>
    </dataValidation>
    <dataValidation type="whole" allowBlank="1" showErrorMessage="1" errorTitle="Invalid count" error="Value must be between 0 and the current implemented total." sqref="S158" xr:uid="{00000000-0002-0000-0100-00002D000000}">
      <formula1>0</formula1>
      <formula2>C90</formula2>
    </dataValidation>
    <dataValidation type="whole" allowBlank="1" showErrorMessage="1" errorTitle="Invalid count" error="Value must be between 0 and the current implemented total." sqref="U158" xr:uid="{00000000-0002-0000-0100-00002E000000}">
      <formula1>0</formula1>
      <formula2>C91</formula2>
    </dataValidation>
    <dataValidation type="whole" allowBlank="1" showErrorMessage="1" errorTitle="Invalid count" error="Value must be between 0 and the current implemented total." sqref="W158" xr:uid="{00000000-0002-0000-0100-00002F000000}">
      <formula1>0</formula1>
      <formula2>C92</formula2>
    </dataValidation>
    <dataValidation type="whole" allowBlank="1" showErrorMessage="1" errorTitle="Invalid overall count" error="Overall count must be between 0 and the current implemented total." sqref="Q159" xr:uid="{00000000-0002-0000-0100-000030000000}">
      <formula1>0</formula1>
      <formula2>C16</formula2>
    </dataValidation>
    <dataValidation type="whole" allowBlank="1" showErrorMessage="1" errorTitle="Invalid count" error="Value must be between 0 and the current implemented total." sqref="S159" xr:uid="{00000000-0002-0000-0100-000031000000}">
      <formula1>0</formula1>
      <formula2>C90</formula2>
    </dataValidation>
    <dataValidation type="whole" allowBlank="1" showErrorMessage="1" errorTitle="Invalid count" error="Value must be between 0 and the current implemented total." sqref="U159" xr:uid="{00000000-0002-0000-0100-000032000000}">
      <formula1>0</formula1>
      <formula2>C91</formula2>
    </dataValidation>
    <dataValidation type="whole" allowBlank="1" showErrorMessage="1" errorTitle="Invalid count" error="Value must be between 0 and the current implemented total." sqref="W159" xr:uid="{00000000-0002-0000-0100-000033000000}">
      <formula1>0</formula1>
      <formula2>C92</formula2>
    </dataValidation>
    <dataValidation type="whole" allowBlank="1" showErrorMessage="1" errorTitle="Invalid overall count" error="Overall count must be between 0 and the current implemented total." sqref="Q160" xr:uid="{00000000-0002-0000-0100-000034000000}">
      <formula1>0</formula1>
      <formula2>C16</formula2>
    </dataValidation>
    <dataValidation type="whole" allowBlank="1" showErrorMessage="1" errorTitle="Invalid count" error="Value must be between 0 and the current implemented total." sqref="S160" xr:uid="{00000000-0002-0000-0100-000035000000}">
      <formula1>0</formula1>
      <formula2>C90</formula2>
    </dataValidation>
    <dataValidation type="whole" allowBlank="1" showErrorMessage="1" errorTitle="Invalid count" error="Value must be between 0 and the current implemented total." sqref="U160" xr:uid="{00000000-0002-0000-0100-000036000000}">
      <formula1>0</formula1>
      <formula2>C91</formula2>
    </dataValidation>
    <dataValidation type="whole" allowBlank="1" showErrorMessage="1" errorTitle="Invalid count" error="Value must be between 0 and the current implemented total." sqref="W160" xr:uid="{00000000-0002-0000-0100-000037000000}">
      <formula1>0</formula1>
      <formula2>C92</formula2>
    </dataValidation>
    <dataValidation type="whole" allowBlank="1" showErrorMessage="1" errorTitle="Invalid overall count" error="Overall count must be between 0 and the current implemented total." sqref="Q161" xr:uid="{00000000-0002-0000-0100-000038000000}">
      <formula1>0</formula1>
      <formula2>C16</formula2>
    </dataValidation>
    <dataValidation type="whole" allowBlank="1" showErrorMessage="1" errorTitle="Invalid count" error="Value must be between 0 and the current implemented total." sqref="S161" xr:uid="{00000000-0002-0000-0100-000039000000}">
      <formula1>0</formula1>
      <formula2>C90</formula2>
    </dataValidation>
    <dataValidation type="whole" allowBlank="1" showErrorMessage="1" errorTitle="Invalid count" error="Value must be between 0 and the current implemented total." sqref="U161" xr:uid="{00000000-0002-0000-0100-00003A000000}">
      <formula1>0</formula1>
      <formula2>C91</formula2>
    </dataValidation>
    <dataValidation type="whole" allowBlank="1" showErrorMessage="1" errorTitle="Invalid count" error="Value must be between 0 and the current implemented total." sqref="W161" xr:uid="{00000000-0002-0000-0100-00003B000000}">
      <formula1>0</formula1>
      <formula2>C92</formula2>
    </dataValidation>
    <dataValidation type="whole" allowBlank="1" showErrorMessage="1" errorTitle="Invalid overall count" error="Overall count must be between 0 and the current implemented total." sqref="Q162" xr:uid="{00000000-0002-0000-0100-00003C000000}">
      <formula1>0</formula1>
      <formula2>C16</formula2>
    </dataValidation>
    <dataValidation type="whole" allowBlank="1" showErrorMessage="1" errorTitle="Invalid count" error="Value must be between 0 and the current implemented total." sqref="S162" xr:uid="{00000000-0002-0000-0100-00003D000000}">
      <formula1>0</formula1>
      <formula2>C90</formula2>
    </dataValidation>
    <dataValidation type="whole" allowBlank="1" showErrorMessage="1" errorTitle="Invalid count" error="Value must be between 0 and the current implemented total." sqref="U162" xr:uid="{00000000-0002-0000-0100-00003E000000}">
      <formula1>0</formula1>
      <formula2>C91</formula2>
    </dataValidation>
    <dataValidation type="whole" allowBlank="1" showErrorMessage="1" errorTitle="Invalid count" error="Value must be between 0 and the current implemented total." sqref="W162" xr:uid="{00000000-0002-0000-0100-00003F000000}">
      <formula1>0</formula1>
      <formula2>C92</formula2>
    </dataValidation>
    <dataValidation type="whole" allowBlank="1" showErrorMessage="1" errorTitle="Invalid overall count" error="Overall count must be between 0 and the current implemented total." sqref="Q163" xr:uid="{00000000-0002-0000-0100-000040000000}">
      <formula1>0</formula1>
      <formula2>C16</formula2>
    </dataValidation>
    <dataValidation type="whole" allowBlank="1" showErrorMessage="1" errorTitle="Invalid count" error="Value must be between 0 and the current implemented total." sqref="S163" xr:uid="{00000000-0002-0000-0100-000041000000}">
      <formula1>0</formula1>
      <formula2>C90</formula2>
    </dataValidation>
    <dataValidation type="whole" allowBlank="1" showErrorMessage="1" errorTitle="Invalid count" error="Value must be between 0 and the current implemented total." sqref="U163" xr:uid="{00000000-0002-0000-0100-000042000000}">
      <formula1>0</formula1>
      <formula2>C91</formula2>
    </dataValidation>
    <dataValidation type="whole" allowBlank="1" showErrorMessage="1" errorTitle="Invalid count" error="Value must be between 0 and the current implemented total." sqref="W163" xr:uid="{00000000-0002-0000-0100-000043000000}">
      <formula1>0</formula1>
      <formula2>C92</formula2>
    </dataValidation>
    <dataValidation type="whole" allowBlank="1" showErrorMessage="1" errorTitle="Invalid overall count" error="Overall count must be between 0 and the current implemented total." sqref="Q164" xr:uid="{00000000-0002-0000-0100-000044000000}">
      <formula1>0</formula1>
      <formula2>C16</formula2>
    </dataValidation>
    <dataValidation type="whole" allowBlank="1" showErrorMessage="1" errorTitle="Invalid count" error="Value must be between 0 and the current implemented total." sqref="S164" xr:uid="{00000000-0002-0000-0100-000045000000}">
      <formula1>0</formula1>
      <formula2>C90</formula2>
    </dataValidation>
    <dataValidation type="whole" allowBlank="1" showErrorMessage="1" errorTitle="Invalid count" error="Value must be between 0 and the current implemented total." sqref="U164" xr:uid="{00000000-0002-0000-0100-000046000000}">
      <formula1>0</formula1>
      <formula2>C91</formula2>
    </dataValidation>
    <dataValidation type="whole" allowBlank="1" showErrorMessage="1" errorTitle="Invalid count" error="Value must be between 0 and the current implemented total." sqref="W164" xr:uid="{00000000-0002-0000-0100-000047000000}">
      <formula1>0</formula1>
      <formula2>C92</formula2>
    </dataValidation>
    <dataValidation type="whole" allowBlank="1" showErrorMessage="1" errorTitle="Invalid overall count" error="Overall count must be between 0 and the current implemented total." sqref="Q165" xr:uid="{00000000-0002-0000-0100-000048000000}">
      <formula1>0</formula1>
      <formula2>C16</formula2>
    </dataValidation>
    <dataValidation type="whole" allowBlank="1" showErrorMessage="1" errorTitle="Invalid count" error="Value must be between 0 and the current implemented total." sqref="S165" xr:uid="{00000000-0002-0000-0100-000049000000}">
      <formula1>0</formula1>
      <formula2>C90</formula2>
    </dataValidation>
    <dataValidation type="whole" allowBlank="1" showErrorMessage="1" errorTitle="Invalid count" error="Value must be between 0 and the current implemented total." sqref="U165" xr:uid="{00000000-0002-0000-0100-00004A000000}">
      <formula1>0</formula1>
      <formula2>C91</formula2>
    </dataValidation>
    <dataValidation type="whole" allowBlank="1" showErrorMessage="1" errorTitle="Invalid count" error="Value must be between 0 and the current implemented total." sqref="W165" xr:uid="{00000000-0002-0000-0100-00004B000000}">
      <formula1>0</formula1>
      <formula2>C92</formula2>
    </dataValidation>
    <dataValidation type="whole" allowBlank="1" showErrorMessage="1" errorTitle="Invalid overall count" error="Overall count must be between 0 and the current implemented total." sqref="Q166" xr:uid="{00000000-0002-0000-0100-00004C000000}">
      <formula1>0</formula1>
      <formula2>C16</formula2>
    </dataValidation>
    <dataValidation type="whole" allowBlank="1" showErrorMessage="1" errorTitle="Invalid count" error="Value must be between 0 and the current implemented total." sqref="S166" xr:uid="{00000000-0002-0000-0100-00004D000000}">
      <formula1>0</formula1>
      <formula2>C90</formula2>
    </dataValidation>
    <dataValidation type="whole" allowBlank="1" showErrorMessage="1" errorTitle="Invalid count" error="Value must be between 0 and the current implemented total." sqref="U166" xr:uid="{00000000-0002-0000-0100-00004E000000}">
      <formula1>0</formula1>
      <formula2>C91</formula2>
    </dataValidation>
    <dataValidation type="whole" allowBlank="1" showErrorMessage="1" errorTitle="Invalid count" error="Value must be between 0 and the current implemented total." sqref="W166" xr:uid="{00000000-0002-0000-0100-00004F000000}">
      <formula1>0</formula1>
      <formula2>C92</formula2>
    </dataValidation>
    <dataValidation type="whole" allowBlank="1" showErrorMessage="1" errorTitle="Invalid overall count" error="Overall count must be between 0 and the current implemented total." sqref="Q167" xr:uid="{00000000-0002-0000-0100-000050000000}">
      <formula1>0</formula1>
      <formula2>C16</formula2>
    </dataValidation>
    <dataValidation type="whole" allowBlank="1" showErrorMessage="1" errorTitle="Invalid count" error="Value must be between 0 and the current implemented total." sqref="S167" xr:uid="{00000000-0002-0000-0100-000051000000}">
      <formula1>0</formula1>
      <formula2>C90</formula2>
    </dataValidation>
    <dataValidation type="whole" allowBlank="1" showErrorMessage="1" errorTitle="Invalid count" error="Value must be between 0 and the current implemented total." sqref="U167" xr:uid="{00000000-0002-0000-0100-000052000000}">
      <formula1>0</formula1>
      <formula2>C91</formula2>
    </dataValidation>
    <dataValidation type="whole" allowBlank="1" showErrorMessage="1" errorTitle="Invalid count" error="Value must be between 0 and the current implemented total." sqref="W167" xr:uid="{00000000-0002-0000-0100-000053000000}">
      <formula1>0</formula1>
      <formula2>C92</formula2>
    </dataValidation>
    <dataValidation type="whole" allowBlank="1" showErrorMessage="1" errorTitle="Invalid overall count" error="Overall count must be between 0 and the current implemented total." sqref="Q168" xr:uid="{00000000-0002-0000-0100-000054000000}">
      <formula1>0</formula1>
      <formula2>C16</formula2>
    </dataValidation>
    <dataValidation type="whole" allowBlank="1" showErrorMessage="1" errorTitle="Invalid count" error="Value must be between 0 and the current implemented total." sqref="S168" xr:uid="{00000000-0002-0000-0100-000055000000}">
      <formula1>0</formula1>
      <formula2>C90</formula2>
    </dataValidation>
    <dataValidation type="whole" allowBlank="1" showErrorMessage="1" errorTitle="Invalid count" error="Value must be between 0 and the current implemented total." sqref="U168" xr:uid="{00000000-0002-0000-0100-000056000000}">
      <formula1>0</formula1>
      <formula2>C91</formula2>
    </dataValidation>
    <dataValidation type="whole" allowBlank="1" showErrorMessage="1" errorTitle="Invalid count" error="Value must be between 0 and the current implemented total." sqref="W168" xr:uid="{00000000-0002-0000-0100-000057000000}">
      <formula1>0</formula1>
      <formula2>C92</formula2>
    </dataValidation>
    <dataValidation type="whole" allowBlank="1" showErrorMessage="1" errorTitle="Invalid overall count" error="Overall count must be between 0 and the current implemented total." sqref="Q169" xr:uid="{00000000-0002-0000-0100-000058000000}">
      <formula1>0</formula1>
      <formula2>C16</formula2>
    </dataValidation>
    <dataValidation type="whole" allowBlank="1" showErrorMessage="1" errorTitle="Invalid count" error="Value must be between 0 and the current implemented total." sqref="S169" xr:uid="{00000000-0002-0000-0100-000059000000}">
      <formula1>0</formula1>
      <formula2>C90</formula2>
    </dataValidation>
    <dataValidation type="whole" allowBlank="1" showErrorMessage="1" errorTitle="Invalid count" error="Value must be between 0 and the current implemented total." sqref="U169" xr:uid="{00000000-0002-0000-0100-00005A000000}">
      <formula1>0</formula1>
      <formula2>C91</formula2>
    </dataValidation>
    <dataValidation type="whole" allowBlank="1" showErrorMessage="1" errorTitle="Invalid count" error="Value must be between 0 and the current implemented total." sqref="W169" xr:uid="{00000000-0002-0000-0100-00005B000000}">
      <formula1>0</formula1>
      <formula2>C92</formula2>
    </dataValidation>
    <dataValidation type="whole" allowBlank="1" showErrorMessage="1" errorTitle="Invalid overall count" error="Overall count must be between 0 and the current implemented total." sqref="Q170" xr:uid="{00000000-0002-0000-0100-00005C000000}">
      <formula1>0</formula1>
      <formula2>C16</formula2>
    </dataValidation>
    <dataValidation type="whole" allowBlank="1" showErrorMessage="1" errorTitle="Invalid count" error="Value must be between 0 and the current implemented total." sqref="S170" xr:uid="{00000000-0002-0000-0100-00005D000000}">
      <formula1>0</formula1>
      <formula2>C90</formula2>
    </dataValidation>
    <dataValidation type="whole" allowBlank="1" showErrorMessage="1" errorTitle="Invalid count" error="Value must be between 0 and the current implemented total." sqref="U170" xr:uid="{00000000-0002-0000-0100-00005E000000}">
      <formula1>0</formula1>
      <formula2>C91</formula2>
    </dataValidation>
    <dataValidation type="whole" allowBlank="1" showErrorMessage="1" errorTitle="Invalid count" error="Value must be between 0 and the current implemented total." sqref="W170" xr:uid="{00000000-0002-0000-0100-00005F000000}">
      <formula1>0</formula1>
      <formula2>C92</formula2>
    </dataValidation>
    <dataValidation type="whole" allowBlank="1" showErrorMessage="1" errorTitle="Invalid overall count" error="Overall count must be between 0 and the current implemented total." sqref="Q171" xr:uid="{00000000-0002-0000-0100-000060000000}">
      <formula1>0</formula1>
      <formula2>C16</formula2>
    </dataValidation>
    <dataValidation type="whole" allowBlank="1" showErrorMessage="1" errorTitle="Invalid count" error="Value must be between 0 and the current implemented total." sqref="S171" xr:uid="{00000000-0002-0000-0100-000061000000}">
      <formula1>0</formula1>
      <formula2>C90</formula2>
    </dataValidation>
    <dataValidation type="whole" allowBlank="1" showErrorMessage="1" errorTitle="Invalid count" error="Value must be between 0 and the current implemented total." sqref="U171" xr:uid="{00000000-0002-0000-0100-000062000000}">
      <formula1>0</formula1>
      <formula2>C91</formula2>
    </dataValidation>
    <dataValidation type="whole" allowBlank="1" showErrorMessage="1" errorTitle="Invalid count" error="Value must be between 0 and the current implemented total." sqref="W171" xr:uid="{00000000-0002-0000-0100-000063000000}">
      <formula1>0</formula1>
      <formula2>C92</formula2>
    </dataValidation>
    <dataValidation type="whole" allowBlank="1" showErrorMessage="1" errorTitle="Invalid overall count" error="Overall count must be between 0 and the current implemented total." sqref="Q172" xr:uid="{00000000-0002-0000-0100-000064000000}">
      <formula1>0</formula1>
      <formula2>C16</formula2>
    </dataValidation>
    <dataValidation type="whole" allowBlank="1" showErrorMessage="1" errorTitle="Invalid count" error="Value must be between 0 and the current implemented total." sqref="S172" xr:uid="{00000000-0002-0000-0100-000065000000}">
      <formula1>0</formula1>
      <formula2>C90</formula2>
    </dataValidation>
    <dataValidation type="whole" allowBlank="1" showErrorMessage="1" errorTitle="Invalid count" error="Value must be between 0 and the current implemented total." sqref="U172" xr:uid="{00000000-0002-0000-0100-000066000000}">
      <formula1>0</formula1>
      <formula2>C91</formula2>
    </dataValidation>
    <dataValidation type="whole" allowBlank="1" showErrorMessage="1" errorTitle="Invalid count" error="Value must be between 0 and the current implemented total." sqref="W172" xr:uid="{00000000-0002-0000-0100-000067000000}">
      <formula1>0</formula1>
      <formula2>C92</formula2>
    </dataValidation>
    <dataValidation type="whole" allowBlank="1" showErrorMessage="1" errorTitle="Invalid overall count" error="Overall count must be between 0 and the current implemented total." sqref="Q173" xr:uid="{00000000-0002-0000-0100-000068000000}">
      <formula1>0</formula1>
      <formula2>C16</formula2>
    </dataValidation>
    <dataValidation type="whole" allowBlank="1" showErrorMessage="1" errorTitle="Invalid count" error="Value must be between 0 and the current implemented total." sqref="S173" xr:uid="{00000000-0002-0000-0100-000069000000}">
      <formula1>0</formula1>
      <formula2>C90</formula2>
    </dataValidation>
    <dataValidation type="whole" allowBlank="1" showErrorMessage="1" errorTitle="Invalid count" error="Value must be between 0 and the current implemented total." sqref="U173" xr:uid="{00000000-0002-0000-0100-00006A000000}">
      <formula1>0</formula1>
      <formula2>C91</formula2>
    </dataValidation>
    <dataValidation type="whole" allowBlank="1" showErrorMessage="1" errorTitle="Invalid count" error="Value must be between 0 and the current implemented total." sqref="W173" xr:uid="{00000000-0002-0000-0100-00006B000000}">
      <formula1>0</formula1>
      <formula2>C92</formula2>
    </dataValidation>
    <dataValidation type="whole" allowBlank="1" showErrorMessage="1" errorTitle="Invalid overall count" error="Overall count must be between 0 and the current implemented total." sqref="Q174" xr:uid="{00000000-0002-0000-0100-00006C000000}">
      <formula1>0</formula1>
      <formula2>C16</formula2>
    </dataValidation>
    <dataValidation type="whole" allowBlank="1" showErrorMessage="1" errorTitle="Invalid count" error="Value must be between 0 and the current implemented total." sqref="S174" xr:uid="{00000000-0002-0000-0100-00006D000000}">
      <formula1>0</formula1>
      <formula2>C90</formula2>
    </dataValidation>
    <dataValidation type="whole" allowBlank="1" showErrorMessage="1" errorTitle="Invalid count" error="Value must be between 0 and the current implemented total." sqref="U174" xr:uid="{00000000-0002-0000-0100-00006E000000}">
      <formula1>0</formula1>
      <formula2>C91</formula2>
    </dataValidation>
    <dataValidation type="whole" allowBlank="1" showErrorMessage="1" errorTitle="Invalid count" error="Value must be between 0 and the current implemented total." sqref="W174" xr:uid="{00000000-0002-0000-0100-00006F000000}">
      <formula1>0</formula1>
      <formula2>C92</formula2>
    </dataValidation>
    <dataValidation type="whole" allowBlank="1" showErrorMessage="1" errorTitle="Invalid overall count" error="Overall count must be between 0 and the current implemented total." sqref="Q175" xr:uid="{00000000-0002-0000-0100-000070000000}">
      <formula1>0</formula1>
      <formula2>C16</formula2>
    </dataValidation>
    <dataValidation type="whole" allowBlank="1" showErrorMessage="1" errorTitle="Invalid count" error="Value must be between 0 and the current implemented total." sqref="S175" xr:uid="{00000000-0002-0000-0100-000071000000}">
      <formula1>0</formula1>
      <formula2>C90</formula2>
    </dataValidation>
    <dataValidation type="whole" allowBlank="1" showErrorMessage="1" errorTitle="Invalid count" error="Value must be between 0 and the current implemented total." sqref="U175" xr:uid="{00000000-0002-0000-0100-000072000000}">
      <formula1>0</formula1>
      <formula2>C91</formula2>
    </dataValidation>
    <dataValidation type="whole" allowBlank="1" showErrorMessage="1" errorTitle="Invalid count" error="Value must be between 0 and the current implemented total." sqref="W175" xr:uid="{00000000-0002-0000-0100-000073000000}">
      <formula1>0</formula1>
      <formula2>C92</formula2>
    </dataValidation>
    <dataValidation type="whole" allowBlank="1" showErrorMessage="1" errorTitle="Invalid overall count" error="Overall count must be between 0 and the current implemented total." sqref="Q176" xr:uid="{00000000-0002-0000-0100-000074000000}">
      <formula1>0</formula1>
      <formula2>C16</formula2>
    </dataValidation>
    <dataValidation type="whole" allowBlank="1" showErrorMessage="1" errorTitle="Invalid count" error="Value must be between 0 and the current implemented total." sqref="S176" xr:uid="{00000000-0002-0000-0100-000075000000}">
      <formula1>0</formula1>
      <formula2>C90</formula2>
    </dataValidation>
    <dataValidation type="whole" allowBlank="1" showErrorMessage="1" errorTitle="Invalid count" error="Value must be between 0 and the current implemented total." sqref="U176" xr:uid="{00000000-0002-0000-0100-000076000000}">
      <formula1>0</formula1>
      <formula2>C91</formula2>
    </dataValidation>
    <dataValidation type="whole" allowBlank="1" showErrorMessage="1" errorTitle="Invalid count" error="Value must be between 0 and the current implemented total." sqref="W176" xr:uid="{00000000-0002-0000-0100-000077000000}">
      <formula1>0</formula1>
      <formula2>C92</formula2>
    </dataValidation>
    <dataValidation type="whole" allowBlank="1" showErrorMessage="1" errorTitle="Invalid Asset Count" error="Value must be between 0 and the Total Asset Numbers above." sqref="Q189" xr:uid="{00000000-0002-0000-0100-000078000000}">
      <formula1>0</formula1>
      <formula2>$P185</formula2>
    </dataValidation>
    <dataValidation type="whole" allowBlank="1" showErrorMessage="1" errorTitle="Invalid Asset Count" error="Value must be between 0 and the Total Asset Numbers above." sqref="Q190" xr:uid="{00000000-0002-0000-0100-000079000000}">
      <formula1>0</formula1>
      <formula2>$P185</formula2>
    </dataValidation>
    <dataValidation type="whole" allowBlank="1" showErrorMessage="1" errorTitle="Invalid Asset Count" error="Value must be between 0 and the Total Asset Numbers above." sqref="Q191" xr:uid="{00000000-0002-0000-0100-00007A000000}">
      <formula1>0</formula1>
      <formula2>$P185</formula2>
    </dataValidation>
    <dataValidation type="whole" allowBlank="1" showErrorMessage="1" errorTitle="Invalid Asset Count" error="Value must be between 0 and the Total Asset Numbers above." sqref="Q192" xr:uid="{00000000-0002-0000-0100-00007B000000}">
      <formula1>0</formula1>
      <formula2>$P185</formula2>
    </dataValidation>
    <dataValidation type="whole" allowBlank="1" showErrorMessage="1" errorTitle="Invalid Asset Count" error="Value must be between 0 and the Total Asset Numbers above." sqref="Q193" xr:uid="{00000000-0002-0000-0100-00007C000000}">
      <formula1>0</formula1>
      <formula2>$P185</formula2>
    </dataValidation>
    <dataValidation type="whole" allowBlank="1" showErrorMessage="1" errorTitle="Invalid Asset Count" error="Value must be between 0 and the Total Asset Numbers above." sqref="Q194" xr:uid="{00000000-0002-0000-0100-00007D000000}">
      <formula1>0</formula1>
      <formula2>$P185</formula2>
    </dataValidation>
    <dataValidation type="whole" allowBlank="1" showErrorMessage="1" errorTitle="Invalid Asset Count" error="Value must be between 0 and the Total Asset Numbers above." sqref="Q195" xr:uid="{00000000-0002-0000-0100-00007E000000}">
      <formula1>0</formula1>
      <formula2>$P185</formula2>
    </dataValidation>
    <dataValidation type="whole" allowBlank="1" showErrorMessage="1" errorTitle="Invalid Asset Count" error="Value must be between 0 and the Total Asset Numbers above." sqref="Q196" xr:uid="{00000000-0002-0000-0100-00007F000000}">
      <formula1>0</formula1>
      <formula2>$P185</formula2>
    </dataValidation>
    <dataValidation type="whole" allowBlank="1" showErrorMessage="1" errorTitle="Invalid Asset Count" error="Value must be between 0 and the Total Asset Numbers above." sqref="Q197" xr:uid="{00000000-0002-0000-0100-000080000000}">
      <formula1>0</formula1>
      <formula2>$P185</formula2>
    </dataValidation>
    <dataValidation type="whole" allowBlank="1" showErrorMessage="1" errorTitle="Invalid Asset Count" error="Value must be between 0 and the Total Asset Numbers above." sqref="Q198" xr:uid="{00000000-0002-0000-0100-000081000000}">
      <formula1>0</formula1>
      <formula2>$P185</formula2>
    </dataValidation>
    <dataValidation type="whole" allowBlank="1" showErrorMessage="1" errorTitle="Invalid Asset Count" error="Value must be between 0 and the Total Asset Numbers above." sqref="Q199" xr:uid="{00000000-0002-0000-0100-000082000000}">
      <formula1>0</formula1>
      <formula2>$P185</formula2>
    </dataValidation>
    <dataValidation type="whole" allowBlank="1" showErrorMessage="1" errorTitle="Invalid Asset Count" error="Value must be between 0 and the Total Asset Numbers above." sqref="Q200" xr:uid="{00000000-0002-0000-0100-000083000000}">
      <formula1>0</formula1>
      <formula2>$P185</formula2>
    </dataValidation>
    <dataValidation type="whole" allowBlank="1" showErrorMessage="1" errorTitle="Invalid Asset Count" error="Value must be between 0 and the Total Asset Numbers above." sqref="Q201" xr:uid="{00000000-0002-0000-0100-000084000000}">
      <formula1>0</formula1>
      <formula2>$P185</formula2>
    </dataValidation>
    <dataValidation type="whole" allowBlank="1" showErrorMessage="1" errorTitle="Invalid Asset Count" error="Value must be between 0 and the Total Asset Numbers above." sqref="Q202" xr:uid="{00000000-0002-0000-0100-000085000000}">
      <formula1>0</formula1>
      <formula2>$P185</formula2>
    </dataValidation>
    <dataValidation type="whole" allowBlank="1" showErrorMessage="1" errorTitle="Invalid Asset Count" error="Value must be between 0 and the Total Asset Numbers above." sqref="Q203" xr:uid="{00000000-0002-0000-0100-000086000000}">
      <formula1>0</formula1>
      <formula2>$P185</formula2>
    </dataValidation>
    <dataValidation type="whole" allowBlank="1" showErrorMessage="1" errorTitle="Invalid Asset Count" error="Value must be between 0 and the Total Asset Numbers above." sqref="Q204" xr:uid="{00000000-0002-0000-0100-000087000000}">
      <formula1>0</formula1>
      <formula2>$P185</formula2>
    </dataValidation>
    <dataValidation type="whole" allowBlank="1" showErrorMessage="1" errorTitle="Invalid Asset Count" error="Value must be between 0 and the Total Asset Numbers above." sqref="Q205" xr:uid="{00000000-0002-0000-0100-000088000000}">
      <formula1>0</formula1>
      <formula2>$P185</formula2>
    </dataValidation>
    <dataValidation type="whole" allowBlank="1" showErrorMessage="1" errorTitle="Invalid Asset Count" error="Value must be between 0 and the Total Asset Numbers above." sqref="Q206" xr:uid="{00000000-0002-0000-0100-000089000000}">
      <formula1>0</formula1>
      <formula2>$P185</formula2>
    </dataValidation>
    <dataValidation type="whole" allowBlank="1" showErrorMessage="1" errorTitle="Invalid Asset Count" error="Value must be between 0 and the Total Asset Numbers above." sqref="Q207" xr:uid="{00000000-0002-0000-0100-00008A000000}">
      <formula1>0</formula1>
      <formula2>$P185</formula2>
    </dataValidation>
    <dataValidation type="whole" allowBlank="1" showErrorMessage="1" errorTitle="Invalid Asset Count" error="Value must be between 0 and the Total Asset Numbers above." sqref="Q208" xr:uid="{00000000-0002-0000-0100-00008B000000}">
      <formula1>0</formula1>
      <formula2>$P185</formula2>
    </dataValidation>
  </dataValidations>
  <hyperlinks>
    <hyperlink ref="B21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6"/>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22" si="0">IF(OR(H2="Implemented",H2="Compensated"),"Resolved",IF(OR(H2="Risk Accepted",H2="N/A"),"Excluded",IF(H2="Testing","Testing","Outstanding")))</f>
        <v>Outstanding</v>
      </c>
      <c r="N2" s="13" t="s">
        <v>21</v>
      </c>
    </row>
    <row r="3" spans="1:14" ht="60" customHeight="1" x14ac:dyDescent="0.35">
      <c r="A3" s="11" t="s">
        <v>25</v>
      </c>
      <c r="B3" s="1" t="s">
        <v>26</v>
      </c>
      <c r="C3" s="2" t="s">
        <v>27</v>
      </c>
      <c r="D3" s="3" t="s">
        <v>17</v>
      </c>
      <c r="E3" s="4" t="s">
        <v>18</v>
      </c>
      <c r="F3" s="4" t="s">
        <v>19</v>
      </c>
      <c r="G3" s="4" t="s">
        <v>20</v>
      </c>
      <c r="H3" s="4" t="s">
        <v>21</v>
      </c>
      <c r="I3" s="5" t="s">
        <v>21</v>
      </c>
      <c r="J3" s="1" t="s">
        <v>28</v>
      </c>
      <c r="K3" s="1" t="s">
        <v>29</v>
      </c>
      <c r="L3" s="1" t="s">
        <v>30</v>
      </c>
      <c r="M3" s="4" t="str">
        <f t="shared" si="0"/>
        <v>Outstanding</v>
      </c>
      <c r="N3" s="13" t="s">
        <v>21</v>
      </c>
    </row>
    <row r="4" spans="1:14" ht="60" customHeight="1" x14ac:dyDescent="0.35">
      <c r="A4" s="11" t="s">
        <v>31</v>
      </c>
      <c r="B4" s="1" t="s">
        <v>32</v>
      </c>
      <c r="C4" s="2" t="s">
        <v>27</v>
      </c>
      <c r="D4" s="3" t="s">
        <v>17</v>
      </c>
      <c r="E4" s="4" t="s">
        <v>18</v>
      </c>
      <c r="F4" s="4" t="s">
        <v>19</v>
      </c>
      <c r="G4" s="4" t="s">
        <v>20</v>
      </c>
      <c r="H4" s="4" t="s">
        <v>21</v>
      </c>
      <c r="I4" s="5" t="s">
        <v>21</v>
      </c>
      <c r="J4" s="1" t="s">
        <v>33</v>
      </c>
      <c r="K4" s="1" t="s">
        <v>34</v>
      </c>
      <c r="L4" s="1" t="s">
        <v>35</v>
      </c>
      <c r="M4" s="4" t="str">
        <f t="shared" si="0"/>
        <v>Outstanding</v>
      </c>
      <c r="N4" s="13" t="s">
        <v>21</v>
      </c>
    </row>
    <row r="5" spans="1:14" ht="60" customHeight="1" x14ac:dyDescent="0.35">
      <c r="A5" s="11" t="s">
        <v>36</v>
      </c>
      <c r="B5" s="1" t="s">
        <v>37</v>
      </c>
      <c r="C5" s="2" t="s">
        <v>27</v>
      </c>
      <c r="D5" s="3" t="s">
        <v>17</v>
      </c>
      <c r="E5" s="4" t="s">
        <v>18</v>
      </c>
      <c r="F5" s="4" t="s">
        <v>19</v>
      </c>
      <c r="G5" s="4" t="s">
        <v>20</v>
      </c>
      <c r="H5" s="4" t="s">
        <v>21</v>
      </c>
      <c r="I5" s="5" t="s">
        <v>21</v>
      </c>
      <c r="J5" s="1" t="s">
        <v>38</v>
      </c>
      <c r="K5" s="1" t="s">
        <v>39</v>
      </c>
      <c r="L5" s="1" t="s">
        <v>40</v>
      </c>
      <c r="M5" s="4" t="str">
        <f t="shared" si="0"/>
        <v>Outstanding</v>
      </c>
      <c r="N5" s="13" t="s">
        <v>21</v>
      </c>
    </row>
    <row r="6" spans="1:14" ht="60" customHeight="1" x14ac:dyDescent="0.35">
      <c r="A6" s="11" t="s">
        <v>41</v>
      </c>
      <c r="B6" s="1" t="s">
        <v>42</v>
      </c>
      <c r="C6" s="2" t="s">
        <v>27</v>
      </c>
      <c r="D6" s="3" t="s">
        <v>17</v>
      </c>
      <c r="E6" s="4" t="s">
        <v>18</v>
      </c>
      <c r="F6" s="4" t="s">
        <v>19</v>
      </c>
      <c r="G6" s="4" t="s">
        <v>20</v>
      </c>
      <c r="H6" s="4" t="s">
        <v>21</v>
      </c>
      <c r="I6" s="5" t="s">
        <v>21</v>
      </c>
      <c r="J6" s="1" t="s">
        <v>33</v>
      </c>
      <c r="K6" s="1" t="s">
        <v>43</v>
      </c>
      <c r="L6" s="1" t="s">
        <v>24</v>
      </c>
      <c r="M6" s="4" t="str">
        <f t="shared" si="0"/>
        <v>Outstanding</v>
      </c>
      <c r="N6" s="13" t="s">
        <v>21</v>
      </c>
    </row>
    <row r="7" spans="1:14" ht="60" customHeight="1" x14ac:dyDescent="0.35">
      <c r="A7" s="11" t="s">
        <v>44</v>
      </c>
      <c r="B7" s="1" t="s">
        <v>45</v>
      </c>
      <c r="C7" s="2" t="s">
        <v>16</v>
      </c>
      <c r="D7" s="3" t="s">
        <v>17</v>
      </c>
      <c r="E7" s="4" t="s">
        <v>18</v>
      </c>
      <c r="F7" s="4" t="s">
        <v>19</v>
      </c>
      <c r="G7" s="4" t="s">
        <v>20</v>
      </c>
      <c r="H7" s="4" t="s">
        <v>21</v>
      </c>
      <c r="I7" s="5" t="s">
        <v>21</v>
      </c>
      <c r="J7" s="1" t="s">
        <v>33</v>
      </c>
      <c r="K7" s="1" t="s">
        <v>46</v>
      </c>
      <c r="L7" s="1" t="s">
        <v>24</v>
      </c>
      <c r="M7" s="4" t="str">
        <f t="shared" si="0"/>
        <v>Outstanding</v>
      </c>
      <c r="N7" s="13" t="s">
        <v>21</v>
      </c>
    </row>
    <row r="8" spans="1:14" ht="60" customHeight="1" x14ac:dyDescent="0.35">
      <c r="A8" s="11" t="s">
        <v>47</v>
      </c>
      <c r="B8" s="1" t="s">
        <v>48</v>
      </c>
      <c r="C8" s="2" t="s">
        <v>27</v>
      </c>
      <c r="D8" s="3" t="s">
        <v>17</v>
      </c>
      <c r="E8" s="4" t="s">
        <v>18</v>
      </c>
      <c r="F8" s="4" t="s">
        <v>19</v>
      </c>
      <c r="G8" s="4" t="s">
        <v>20</v>
      </c>
      <c r="H8" s="4" t="s">
        <v>21</v>
      </c>
      <c r="I8" s="5" t="s">
        <v>21</v>
      </c>
      <c r="J8" s="1" t="s">
        <v>33</v>
      </c>
      <c r="K8" s="1" t="s">
        <v>49</v>
      </c>
      <c r="L8" s="1" t="s">
        <v>24</v>
      </c>
      <c r="M8" s="4" t="str">
        <f t="shared" si="0"/>
        <v>Outstanding</v>
      </c>
      <c r="N8" s="13" t="s">
        <v>21</v>
      </c>
    </row>
    <row r="9" spans="1:14" ht="60" customHeight="1" x14ac:dyDescent="0.35">
      <c r="A9" s="11" t="s">
        <v>50</v>
      </c>
      <c r="B9" s="1" t="s">
        <v>51</v>
      </c>
      <c r="C9" s="2" t="s">
        <v>16</v>
      </c>
      <c r="D9" s="3" t="s">
        <v>52</v>
      </c>
      <c r="E9" s="4" t="s">
        <v>18</v>
      </c>
      <c r="F9" s="4" t="s">
        <v>19</v>
      </c>
      <c r="G9" s="4" t="s">
        <v>20</v>
      </c>
      <c r="H9" s="4" t="s">
        <v>21</v>
      </c>
      <c r="I9" s="5" t="s">
        <v>21</v>
      </c>
      <c r="J9" s="1" t="s">
        <v>53</v>
      </c>
      <c r="K9" s="1" t="s">
        <v>54</v>
      </c>
      <c r="L9" s="1" t="s">
        <v>55</v>
      </c>
      <c r="M9" s="4" t="str">
        <f t="shared" si="0"/>
        <v>Outstanding</v>
      </c>
      <c r="N9" s="13" t="s">
        <v>21</v>
      </c>
    </row>
    <row r="10" spans="1:14" ht="60" customHeight="1" x14ac:dyDescent="0.35">
      <c r="A10" s="11" t="s">
        <v>56</v>
      </c>
      <c r="B10" s="1" t="s">
        <v>57</v>
      </c>
      <c r="C10" s="2" t="s">
        <v>27</v>
      </c>
      <c r="D10" s="3" t="s">
        <v>52</v>
      </c>
      <c r="E10" s="4" t="s">
        <v>18</v>
      </c>
      <c r="F10" s="4" t="s">
        <v>19</v>
      </c>
      <c r="G10" s="4" t="s">
        <v>20</v>
      </c>
      <c r="H10" s="4" t="s">
        <v>21</v>
      </c>
      <c r="I10" s="5" t="s">
        <v>21</v>
      </c>
      <c r="J10" s="1" t="s">
        <v>58</v>
      </c>
      <c r="K10" s="1" t="s">
        <v>59</v>
      </c>
      <c r="L10" s="1" t="s">
        <v>60</v>
      </c>
      <c r="M10" s="4" t="str">
        <f t="shared" si="0"/>
        <v>Outstanding</v>
      </c>
      <c r="N10" s="13" t="s">
        <v>21</v>
      </c>
    </row>
    <row r="11" spans="1:14" ht="60" customHeight="1" x14ac:dyDescent="0.35">
      <c r="A11" s="11" t="s">
        <v>61</v>
      </c>
      <c r="B11" s="1" t="s">
        <v>62</v>
      </c>
      <c r="C11" s="2" t="s">
        <v>16</v>
      </c>
      <c r="D11" s="3" t="s">
        <v>63</v>
      </c>
      <c r="E11" s="4" t="s">
        <v>18</v>
      </c>
      <c r="F11" s="4" t="s">
        <v>19</v>
      </c>
      <c r="G11" s="4" t="s">
        <v>20</v>
      </c>
      <c r="H11" s="4" t="s">
        <v>21</v>
      </c>
      <c r="I11" s="5" t="s">
        <v>21</v>
      </c>
      <c r="J11" s="1" t="s">
        <v>64</v>
      </c>
      <c r="K11" s="1" t="s">
        <v>65</v>
      </c>
      <c r="L11" s="1" t="s">
        <v>66</v>
      </c>
      <c r="M11" s="4" t="str">
        <f t="shared" si="0"/>
        <v>Outstanding</v>
      </c>
      <c r="N11" s="13" t="s">
        <v>21</v>
      </c>
    </row>
    <row r="12" spans="1:14" ht="60" customHeight="1" x14ac:dyDescent="0.35">
      <c r="A12" s="11" t="s">
        <v>67</v>
      </c>
      <c r="B12" s="1" t="s">
        <v>68</v>
      </c>
      <c r="C12" s="2" t="s">
        <v>27</v>
      </c>
      <c r="D12" s="3" t="s">
        <v>63</v>
      </c>
      <c r="E12" s="4" t="s">
        <v>18</v>
      </c>
      <c r="F12" s="4" t="s">
        <v>19</v>
      </c>
      <c r="G12" s="4" t="s">
        <v>20</v>
      </c>
      <c r="H12" s="4" t="s">
        <v>21</v>
      </c>
      <c r="I12" s="5" t="s">
        <v>21</v>
      </c>
      <c r="J12" s="1" t="s">
        <v>69</v>
      </c>
      <c r="K12" s="1" t="s">
        <v>70</v>
      </c>
      <c r="L12" s="1" t="s">
        <v>71</v>
      </c>
      <c r="M12" s="4" t="str">
        <f t="shared" si="0"/>
        <v>Outstanding</v>
      </c>
      <c r="N12" s="13" t="s">
        <v>21</v>
      </c>
    </row>
    <row r="13" spans="1:14" ht="60" customHeight="1" x14ac:dyDescent="0.35">
      <c r="A13" s="11" t="s">
        <v>72</v>
      </c>
      <c r="B13" s="1" t="s">
        <v>73</v>
      </c>
      <c r="C13" s="2" t="s">
        <v>27</v>
      </c>
      <c r="D13" s="3" t="s">
        <v>74</v>
      </c>
      <c r="E13" s="4" t="s">
        <v>18</v>
      </c>
      <c r="F13" s="4" t="s">
        <v>19</v>
      </c>
      <c r="G13" s="4" t="s">
        <v>20</v>
      </c>
      <c r="H13" s="4" t="s">
        <v>21</v>
      </c>
      <c r="I13" s="5" t="s">
        <v>21</v>
      </c>
      <c r="J13" s="1" t="s">
        <v>75</v>
      </c>
      <c r="K13" s="1" t="s">
        <v>76</v>
      </c>
      <c r="L13" s="1" t="s">
        <v>77</v>
      </c>
      <c r="M13" s="4" t="str">
        <f t="shared" si="0"/>
        <v>Outstanding</v>
      </c>
      <c r="N13" s="13" t="s">
        <v>21</v>
      </c>
    </row>
    <row r="14" spans="1:14" ht="60" customHeight="1" x14ac:dyDescent="0.35">
      <c r="A14" s="11" t="s">
        <v>78</v>
      </c>
      <c r="B14" s="1" t="s">
        <v>79</v>
      </c>
      <c r="C14" s="2" t="s">
        <v>27</v>
      </c>
      <c r="D14" s="3" t="s">
        <v>74</v>
      </c>
      <c r="E14" s="4" t="s">
        <v>18</v>
      </c>
      <c r="F14" s="4" t="s">
        <v>19</v>
      </c>
      <c r="G14" s="4" t="s">
        <v>20</v>
      </c>
      <c r="H14" s="4" t="s">
        <v>21</v>
      </c>
      <c r="I14" s="5" t="s">
        <v>21</v>
      </c>
      <c r="J14" s="1" t="s">
        <v>80</v>
      </c>
      <c r="K14" s="1" t="s">
        <v>81</v>
      </c>
      <c r="L14" s="1" t="s">
        <v>82</v>
      </c>
      <c r="M14" s="4" t="str">
        <f t="shared" si="0"/>
        <v>Outstanding</v>
      </c>
      <c r="N14" s="13" t="s">
        <v>21</v>
      </c>
    </row>
    <row r="15" spans="1:14" ht="60" customHeight="1" x14ac:dyDescent="0.35">
      <c r="A15" s="11" t="s">
        <v>83</v>
      </c>
      <c r="B15" s="1" t="s">
        <v>84</v>
      </c>
      <c r="C15" s="2" t="s">
        <v>16</v>
      </c>
      <c r="D15" s="3" t="s">
        <v>74</v>
      </c>
      <c r="E15" s="4" t="s">
        <v>18</v>
      </c>
      <c r="F15" s="4" t="s">
        <v>19</v>
      </c>
      <c r="G15" s="4" t="s">
        <v>20</v>
      </c>
      <c r="H15" s="4" t="s">
        <v>21</v>
      </c>
      <c r="I15" s="5" t="s">
        <v>21</v>
      </c>
      <c r="J15" s="1" t="s">
        <v>85</v>
      </c>
      <c r="K15" s="1" t="s">
        <v>65</v>
      </c>
      <c r="L15" s="1" t="s">
        <v>86</v>
      </c>
      <c r="M15" s="4" t="str">
        <f t="shared" si="0"/>
        <v>Outstanding</v>
      </c>
      <c r="N15" s="13" t="s">
        <v>21</v>
      </c>
    </row>
    <row r="16" spans="1:14" ht="60" customHeight="1" x14ac:dyDescent="0.35">
      <c r="A16" s="11" t="s">
        <v>87</v>
      </c>
      <c r="B16" s="1" t="s">
        <v>88</v>
      </c>
      <c r="C16" s="2" t="s">
        <v>27</v>
      </c>
      <c r="D16" s="3" t="s">
        <v>74</v>
      </c>
      <c r="E16" s="4" t="s">
        <v>18</v>
      </c>
      <c r="F16" s="4" t="s">
        <v>19</v>
      </c>
      <c r="G16" s="4" t="s">
        <v>20</v>
      </c>
      <c r="H16" s="4" t="s">
        <v>21</v>
      </c>
      <c r="I16" s="5" t="s">
        <v>21</v>
      </c>
      <c r="J16" s="1" t="s">
        <v>89</v>
      </c>
      <c r="K16" s="1" t="s">
        <v>90</v>
      </c>
      <c r="L16" s="1" t="s">
        <v>91</v>
      </c>
      <c r="M16" s="4" t="str">
        <f t="shared" si="0"/>
        <v>Outstanding</v>
      </c>
      <c r="N16" s="13" t="s">
        <v>21</v>
      </c>
    </row>
    <row r="17" spans="1:14" ht="60" customHeight="1" x14ac:dyDescent="0.35">
      <c r="A17" s="11" t="s">
        <v>92</v>
      </c>
      <c r="B17" s="1" t="s">
        <v>93</v>
      </c>
      <c r="C17" s="2" t="s">
        <v>27</v>
      </c>
      <c r="D17" s="3" t="s">
        <v>74</v>
      </c>
      <c r="E17" s="4" t="s">
        <v>18</v>
      </c>
      <c r="F17" s="4" t="s">
        <v>19</v>
      </c>
      <c r="G17" s="4" t="s">
        <v>20</v>
      </c>
      <c r="H17" s="4" t="s">
        <v>21</v>
      </c>
      <c r="I17" s="5" t="s">
        <v>21</v>
      </c>
      <c r="J17" s="1" t="s">
        <v>94</v>
      </c>
      <c r="K17" s="1" t="s">
        <v>95</v>
      </c>
      <c r="L17" s="1" t="s">
        <v>96</v>
      </c>
      <c r="M17" s="4" t="str">
        <f t="shared" si="0"/>
        <v>Outstanding</v>
      </c>
      <c r="N17" s="13" t="s">
        <v>21</v>
      </c>
    </row>
    <row r="18" spans="1:14" ht="60" customHeight="1" x14ac:dyDescent="0.35">
      <c r="A18" s="11" t="s">
        <v>97</v>
      </c>
      <c r="B18" s="1" t="s">
        <v>98</v>
      </c>
      <c r="C18" s="2" t="s">
        <v>16</v>
      </c>
      <c r="D18" s="3" t="s">
        <v>74</v>
      </c>
      <c r="E18" s="4" t="s">
        <v>18</v>
      </c>
      <c r="F18" s="4" t="s">
        <v>19</v>
      </c>
      <c r="G18" s="4" t="s">
        <v>20</v>
      </c>
      <c r="H18" s="4" t="s">
        <v>21</v>
      </c>
      <c r="I18" s="5" t="s">
        <v>21</v>
      </c>
      <c r="J18" s="1" t="s">
        <v>99</v>
      </c>
      <c r="K18" s="1" t="s">
        <v>100</v>
      </c>
      <c r="L18" s="1" t="s">
        <v>101</v>
      </c>
      <c r="M18" s="4" t="str">
        <f t="shared" si="0"/>
        <v>Outstanding</v>
      </c>
      <c r="N18" s="13" t="s">
        <v>21</v>
      </c>
    </row>
    <row r="19" spans="1:14" ht="60" customHeight="1" x14ac:dyDescent="0.35">
      <c r="A19" s="11" t="s">
        <v>102</v>
      </c>
      <c r="B19" s="1" t="s">
        <v>103</v>
      </c>
      <c r="C19" s="2" t="s">
        <v>27</v>
      </c>
      <c r="D19" s="3" t="s">
        <v>104</v>
      </c>
      <c r="E19" s="4" t="s">
        <v>18</v>
      </c>
      <c r="F19" s="4" t="s">
        <v>19</v>
      </c>
      <c r="G19" s="4" t="s">
        <v>20</v>
      </c>
      <c r="H19" s="4" t="s">
        <v>21</v>
      </c>
      <c r="I19" s="5" t="s">
        <v>21</v>
      </c>
      <c r="J19" s="1" t="s">
        <v>105</v>
      </c>
      <c r="K19" s="1" t="s">
        <v>106</v>
      </c>
      <c r="L19" s="1" t="s">
        <v>107</v>
      </c>
      <c r="M19" s="4" t="str">
        <f t="shared" si="0"/>
        <v>Outstanding</v>
      </c>
      <c r="N19" s="13" t="s">
        <v>21</v>
      </c>
    </row>
    <row r="20" spans="1:14" ht="60" customHeight="1" x14ac:dyDescent="0.35">
      <c r="A20" s="11" t="s">
        <v>108</v>
      </c>
      <c r="B20" s="1" t="s">
        <v>109</v>
      </c>
      <c r="C20" s="2" t="s">
        <v>16</v>
      </c>
      <c r="D20" s="3" t="s">
        <v>110</v>
      </c>
      <c r="E20" s="4" t="s">
        <v>18</v>
      </c>
      <c r="F20" s="4" t="s">
        <v>19</v>
      </c>
      <c r="G20" s="4" t="s">
        <v>20</v>
      </c>
      <c r="H20" s="4" t="s">
        <v>21</v>
      </c>
      <c r="I20" s="5" t="s">
        <v>21</v>
      </c>
      <c r="J20" s="1" t="s">
        <v>111</v>
      </c>
      <c r="K20" s="1" t="s">
        <v>112</v>
      </c>
      <c r="L20" s="1" t="s">
        <v>113</v>
      </c>
      <c r="M20" s="4" t="str">
        <f t="shared" si="0"/>
        <v>Outstanding</v>
      </c>
      <c r="N20" s="13" t="s">
        <v>21</v>
      </c>
    </row>
    <row r="21" spans="1:14" ht="60" customHeight="1" x14ac:dyDescent="0.35">
      <c r="A21" s="11" t="s">
        <v>114</v>
      </c>
      <c r="B21" s="1" t="s">
        <v>115</v>
      </c>
      <c r="C21" s="2" t="s">
        <v>27</v>
      </c>
      <c r="D21" s="3" t="s">
        <v>110</v>
      </c>
      <c r="E21" s="4" t="s">
        <v>18</v>
      </c>
      <c r="F21" s="4" t="s">
        <v>19</v>
      </c>
      <c r="G21" s="4" t="s">
        <v>20</v>
      </c>
      <c r="H21" s="4" t="s">
        <v>21</v>
      </c>
      <c r="I21" s="5" t="s">
        <v>21</v>
      </c>
      <c r="J21" s="1" t="s">
        <v>116</v>
      </c>
      <c r="K21" s="1" t="s">
        <v>117</v>
      </c>
      <c r="L21" s="1" t="s">
        <v>118</v>
      </c>
      <c r="M21" s="4" t="str">
        <f t="shared" si="0"/>
        <v>Outstanding</v>
      </c>
      <c r="N21" s="13" t="s">
        <v>21</v>
      </c>
    </row>
    <row r="22" spans="1:14" ht="60" customHeight="1" x14ac:dyDescent="0.35">
      <c r="A22" s="12" t="s">
        <v>119</v>
      </c>
      <c r="B22" s="6" t="s">
        <v>120</v>
      </c>
      <c r="C22" s="7" t="s">
        <v>27</v>
      </c>
      <c r="D22" s="8" t="s">
        <v>110</v>
      </c>
      <c r="E22" s="9" t="s">
        <v>18</v>
      </c>
      <c r="F22" s="9" t="s">
        <v>19</v>
      </c>
      <c r="G22" s="9" t="s">
        <v>20</v>
      </c>
      <c r="H22" s="9" t="s">
        <v>21</v>
      </c>
      <c r="I22" s="10" t="s">
        <v>21</v>
      </c>
      <c r="J22" s="6" t="s">
        <v>121</v>
      </c>
      <c r="K22" s="6" t="s">
        <v>122</v>
      </c>
      <c r="L22" s="6" t="s">
        <v>123</v>
      </c>
      <c r="M22" s="9" t="str">
        <f t="shared" si="0"/>
        <v>Outstanding</v>
      </c>
      <c r="N22" s="14" t="s">
        <v>21</v>
      </c>
    </row>
    <row r="26" spans="1:14" ht="32" customHeight="1" x14ac:dyDescent="0.35">
      <c r="A26" s="291" t="s">
        <v>124</v>
      </c>
      <c r="B26" s="291"/>
      <c r="C26" s="291"/>
      <c r="D26" s="291"/>
    </row>
  </sheetData>
  <mergeCells count="1">
    <mergeCell ref="A26:D26"/>
  </mergeCells>
  <conditionalFormatting sqref="C2:C22">
    <cfRule type="expression" dxfId="73" priority="14">
      <formula>LEFT($C2,7)="CAT III"</formula>
    </cfRule>
    <cfRule type="expression" dxfId="72" priority="15">
      <formula>LEFT($C2,6)="CAT II"</formula>
    </cfRule>
    <cfRule type="expression" dxfId="71" priority="16">
      <formula>LEFT($C2,5)="CAT I"</formula>
    </cfRule>
  </conditionalFormatting>
  <conditionalFormatting sqref="E2:E22">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F2:F22">
    <cfRule type="cellIs" dxfId="66" priority="5" operator="equal">
      <formula>"Low"</formula>
    </cfRule>
    <cfRule type="cellIs" dxfId="65" priority="6" operator="equal">
      <formula>"Medium"</formula>
    </cfRule>
    <cfRule type="cellIs" dxfId="64" priority="7" operator="equal">
      <formula>"High"</formula>
    </cfRule>
  </conditionalFormatting>
  <conditionalFormatting sqref="H2:H22">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E2:E22" xr:uid="{00000000-0002-0000-0200-000000000000}">
      <formula1>"Must,Should,Could,Won't,Unassigned"</formula1>
    </dataValidation>
    <dataValidation type="list" showErrorMessage="1" errorTitle="Invalid Value" error="Please select a value from the list: Low, Medium, High, Unassessed." sqref="F2:F22" xr:uid="{00000000-0002-0000-0200-000001000000}">
      <formula1>"Low,Medium,High,Unassessed"</formula1>
    </dataValidation>
    <dataValidation type="list" showErrorMessage="1" errorTitle="Invalid Value" error="Please select a value from the list: Phase1, Phase2, Phase3, Phase4, Phase5, Pending." sqref="G2:G2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22" xr:uid="{00000000-0002-0000-0200-000003000000}">
      <formula1>"Implemented,Testing,Failed,Compensated,Risk Accepted,N/A"</formula1>
    </dataValidation>
  </dataValidations>
  <hyperlinks>
    <hyperlink ref="A2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8" t="s">
        <v>282</v>
      </c>
      <c r="C2" s="308" t="s">
        <v>282</v>
      </c>
      <c r="D2" s="308" t="s">
        <v>282</v>
      </c>
      <c r="E2" s="308" t="s">
        <v>282</v>
      </c>
      <c r="F2" s="308" t="s">
        <v>282</v>
      </c>
      <c r="G2" s="308" t="s">
        <v>282</v>
      </c>
      <c r="H2" s="312" t="s">
        <v>283</v>
      </c>
      <c r="I2" s="312" t="s">
        <v>283</v>
      </c>
      <c r="J2" s="312" t="s">
        <v>283</v>
      </c>
      <c r="K2" s="312" t="s">
        <v>283</v>
      </c>
      <c r="L2" s="312" t="s">
        <v>283</v>
      </c>
      <c r="M2" s="311" t="s">
        <v>284</v>
      </c>
      <c r="N2" s="311" t="s">
        <v>284</v>
      </c>
      <c r="O2" s="313" t="s">
        <v>285</v>
      </c>
      <c r="P2" s="313" t="s">
        <v>285</v>
      </c>
      <c r="Q2" s="309" t="s">
        <v>12</v>
      </c>
      <c r="R2" s="309" t="s">
        <v>12</v>
      </c>
      <c r="S2" s="309" t="s">
        <v>12</v>
      </c>
      <c r="T2" s="310" t="s">
        <v>286</v>
      </c>
    </row>
    <row r="3" spans="2:20" ht="35" customHeight="1" x14ac:dyDescent="0.35">
      <c r="B3" s="73" t="s">
        <v>287</v>
      </c>
      <c r="C3" s="73" t="s">
        <v>288</v>
      </c>
      <c r="D3" s="73" t="s">
        <v>289</v>
      </c>
      <c r="E3" s="73" t="s">
        <v>290</v>
      </c>
      <c r="F3" s="73" t="s">
        <v>291</v>
      </c>
      <c r="G3" s="73" t="s">
        <v>10</v>
      </c>
      <c r="H3" s="74" t="s">
        <v>292</v>
      </c>
      <c r="I3" s="74" t="s">
        <v>293</v>
      </c>
      <c r="J3" s="74" t="s">
        <v>294</v>
      </c>
      <c r="K3" s="74" t="s">
        <v>295</v>
      </c>
      <c r="L3" s="74" t="s">
        <v>226</v>
      </c>
      <c r="M3" s="75" t="s">
        <v>296</v>
      </c>
      <c r="N3" s="75" t="s">
        <v>297</v>
      </c>
      <c r="O3" s="76" t="s">
        <v>298</v>
      </c>
      <c r="P3" s="76" t="s">
        <v>299</v>
      </c>
      <c r="Q3" s="77" t="s">
        <v>12</v>
      </c>
      <c r="R3" s="77" t="s">
        <v>300</v>
      </c>
      <c r="S3" s="77" t="s">
        <v>301</v>
      </c>
      <c r="T3" s="78" t="s">
        <v>302</v>
      </c>
    </row>
    <row r="4" spans="2:20" ht="60" customHeight="1" x14ac:dyDescent="0.35">
      <c r="B4" s="79" t="s">
        <v>303</v>
      </c>
      <c r="C4" s="79" t="s">
        <v>304</v>
      </c>
      <c r="D4" s="79" t="s">
        <v>305</v>
      </c>
      <c r="E4" s="79" t="s">
        <v>306</v>
      </c>
      <c r="F4" s="79" t="s">
        <v>307</v>
      </c>
      <c r="G4" s="79" t="s">
        <v>308</v>
      </c>
      <c r="H4" s="79" t="s">
        <v>309</v>
      </c>
      <c r="I4" s="79" t="s">
        <v>310</v>
      </c>
      <c r="J4" s="79" t="s">
        <v>311</v>
      </c>
      <c r="K4" s="79" t="s">
        <v>312</v>
      </c>
      <c r="L4" s="79" t="s">
        <v>313</v>
      </c>
      <c r="M4" s="79" t="s">
        <v>314</v>
      </c>
      <c r="N4" s="79" t="s">
        <v>315</v>
      </c>
      <c r="O4" s="79" t="s">
        <v>316</v>
      </c>
      <c r="P4" s="79" t="s">
        <v>317</v>
      </c>
      <c r="Q4" s="79" t="s">
        <v>318</v>
      </c>
      <c r="R4" s="79" t="s">
        <v>319</v>
      </c>
      <c r="S4" s="79" t="s">
        <v>320</v>
      </c>
      <c r="T4" s="79" t="s">
        <v>321</v>
      </c>
    </row>
    <row r="5" spans="2:20" ht="60" customHeight="1" x14ac:dyDescent="0.35">
      <c r="B5" s="41" t="s">
        <v>322</v>
      </c>
      <c r="C5" s="80"/>
      <c r="D5" s="81"/>
      <c r="E5" s="81" t="s">
        <v>21</v>
      </c>
      <c r="F5" s="81" t="str">
        <f>IF(E5&lt;&gt;"", IFERROR(VLOOKUP(E5, Dashboard!$B52:$F57, 5, FALSE), ""), "")</f>
        <v/>
      </c>
      <c r="G5" s="82"/>
      <c r="H5" s="69"/>
      <c r="I5" s="69"/>
      <c r="J5" s="82"/>
      <c r="K5" s="82"/>
      <c r="L5" s="43"/>
      <c r="M5" s="43"/>
      <c r="N5" s="82"/>
      <c r="O5" s="82"/>
      <c r="P5" s="43"/>
      <c r="Q5" s="43" t="s">
        <v>21</v>
      </c>
      <c r="R5" s="82"/>
      <c r="S5" s="69"/>
      <c r="T5" s="82"/>
    </row>
    <row r="6" spans="2:20" ht="60" customHeight="1" x14ac:dyDescent="0.35">
      <c r="B6" s="41" t="s">
        <v>323</v>
      </c>
      <c r="C6" s="80"/>
      <c r="D6" s="81"/>
      <c r="E6" s="81" t="s">
        <v>21</v>
      </c>
      <c r="F6" s="81" t="str">
        <f>IF(E6&lt;&gt;"", IFERROR(VLOOKUP(E6, Dashboard!$B52:$F57, 5, FALSE), ""), "")</f>
        <v/>
      </c>
      <c r="G6" s="82"/>
      <c r="H6" s="69"/>
      <c r="I6" s="69"/>
      <c r="J6" s="82"/>
      <c r="K6" s="82"/>
      <c r="L6" s="43"/>
      <c r="M6" s="43"/>
      <c r="N6" s="82"/>
      <c r="O6" s="82"/>
      <c r="P6" s="43"/>
      <c r="Q6" s="43" t="s">
        <v>21</v>
      </c>
      <c r="R6" s="82"/>
      <c r="S6" s="69"/>
      <c r="T6" s="82"/>
    </row>
    <row r="7" spans="2:20" ht="60" customHeight="1" x14ac:dyDescent="0.35">
      <c r="B7" s="41" t="s">
        <v>324</v>
      </c>
      <c r="C7" s="80"/>
      <c r="D7" s="81"/>
      <c r="E7" s="81" t="s">
        <v>21</v>
      </c>
      <c r="F7" s="81" t="str">
        <f>IF(E7&lt;&gt;"", IFERROR(VLOOKUP(E7, Dashboard!$B52:$F57, 5, FALSE), ""), "")</f>
        <v/>
      </c>
      <c r="G7" s="82"/>
      <c r="H7" s="69"/>
      <c r="I7" s="69"/>
      <c r="J7" s="82"/>
      <c r="K7" s="82"/>
      <c r="L7" s="43"/>
      <c r="M7" s="43"/>
      <c r="N7" s="82"/>
      <c r="O7" s="82"/>
      <c r="P7" s="43"/>
      <c r="Q7" s="43" t="s">
        <v>21</v>
      </c>
      <c r="R7" s="82"/>
      <c r="S7" s="69"/>
      <c r="T7" s="82"/>
    </row>
    <row r="8" spans="2:20" ht="60" customHeight="1" x14ac:dyDescent="0.35">
      <c r="B8" s="41" t="s">
        <v>325</v>
      </c>
      <c r="C8" s="80"/>
      <c r="D8" s="81"/>
      <c r="E8" s="81" t="s">
        <v>21</v>
      </c>
      <c r="F8" s="81" t="str">
        <f>IF(E8&lt;&gt;"", IFERROR(VLOOKUP(E8, Dashboard!$B52:$F57, 5, FALSE), ""), "")</f>
        <v/>
      </c>
      <c r="G8" s="82"/>
      <c r="H8" s="69"/>
      <c r="I8" s="69"/>
      <c r="J8" s="82"/>
      <c r="K8" s="82"/>
      <c r="L8" s="43"/>
      <c r="M8" s="43"/>
      <c r="N8" s="82"/>
      <c r="O8" s="82"/>
      <c r="P8" s="43"/>
      <c r="Q8" s="43" t="s">
        <v>21</v>
      </c>
      <c r="R8" s="82"/>
      <c r="S8" s="69"/>
      <c r="T8" s="82"/>
    </row>
    <row r="9" spans="2:20" ht="60" customHeight="1" x14ac:dyDescent="0.35">
      <c r="B9" s="41" t="s">
        <v>326</v>
      </c>
      <c r="C9" s="80"/>
      <c r="D9" s="81"/>
      <c r="E9" s="81" t="s">
        <v>21</v>
      </c>
      <c r="F9" s="81" t="str">
        <f>IF(E9&lt;&gt;"", IFERROR(VLOOKUP(E9, Dashboard!$B52:$F57, 5, FALSE), ""), "")</f>
        <v/>
      </c>
      <c r="G9" s="82"/>
      <c r="H9" s="69"/>
      <c r="I9" s="69"/>
      <c r="J9" s="82"/>
      <c r="K9" s="82"/>
      <c r="L9" s="43"/>
      <c r="M9" s="43"/>
      <c r="N9" s="82"/>
      <c r="O9" s="82"/>
      <c r="P9" s="43"/>
      <c r="Q9" s="43" t="s">
        <v>21</v>
      </c>
      <c r="R9" s="82"/>
      <c r="S9" s="69"/>
      <c r="T9" s="82"/>
    </row>
    <row r="10" spans="2:20" ht="60" customHeight="1" x14ac:dyDescent="0.35">
      <c r="B10" s="41" t="s">
        <v>327</v>
      </c>
      <c r="C10" s="80"/>
      <c r="D10" s="81"/>
      <c r="E10" s="81" t="s">
        <v>21</v>
      </c>
      <c r="F10" s="81" t="str">
        <f>IF(E10&lt;&gt;"", IFERROR(VLOOKUP(E10, Dashboard!$B52:$F57, 5, FALSE), ""), "")</f>
        <v/>
      </c>
      <c r="G10" s="82"/>
      <c r="H10" s="69"/>
      <c r="I10" s="69"/>
      <c r="J10" s="82"/>
      <c r="K10" s="82"/>
      <c r="L10" s="43"/>
      <c r="M10" s="43"/>
      <c r="N10" s="82"/>
      <c r="O10" s="82"/>
      <c r="P10" s="43"/>
      <c r="Q10" s="43" t="s">
        <v>21</v>
      </c>
      <c r="R10" s="82"/>
      <c r="S10" s="69"/>
      <c r="T10" s="82"/>
    </row>
    <row r="11" spans="2:20" ht="60" customHeight="1" x14ac:dyDescent="0.35">
      <c r="B11" s="41" t="s">
        <v>328</v>
      </c>
      <c r="C11" s="80"/>
      <c r="D11" s="81"/>
      <c r="E11" s="81" t="s">
        <v>21</v>
      </c>
      <c r="F11" s="81" t="str">
        <f>IF(E11&lt;&gt;"", IFERROR(VLOOKUP(E11, Dashboard!$B52:$F57, 5, FALSE), ""), "")</f>
        <v/>
      </c>
      <c r="G11" s="82"/>
      <c r="H11" s="69"/>
      <c r="I11" s="69"/>
      <c r="J11" s="82"/>
      <c r="K11" s="82"/>
      <c r="L11" s="43"/>
      <c r="M11" s="43"/>
      <c r="N11" s="82"/>
      <c r="O11" s="82"/>
      <c r="P11" s="43"/>
      <c r="Q11" s="43" t="s">
        <v>21</v>
      </c>
      <c r="R11" s="82"/>
      <c r="S11" s="69"/>
      <c r="T11" s="82"/>
    </row>
    <row r="12" spans="2:20" ht="60" customHeight="1" x14ac:dyDescent="0.35">
      <c r="B12" s="41" t="s">
        <v>329</v>
      </c>
      <c r="C12" s="80"/>
      <c r="D12" s="81"/>
      <c r="E12" s="81" t="s">
        <v>21</v>
      </c>
      <c r="F12" s="81" t="str">
        <f>IF(E12&lt;&gt;"", IFERROR(VLOOKUP(E12, Dashboard!$B52:$F57, 5, FALSE), ""), "")</f>
        <v/>
      </c>
      <c r="G12" s="82"/>
      <c r="H12" s="69"/>
      <c r="I12" s="69"/>
      <c r="J12" s="82"/>
      <c r="K12" s="82"/>
      <c r="L12" s="43"/>
      <c r="M12" s="43"/>
      <c r="N12" s="82"/>
      <c r="O12" s="82"/>
      <c r="P12" s="43"/>
      <c r="Q12" s="43" t="s">
        <v>21</v>
      </c>
      <c r="R12" s="82"/>
      <c r="S12" s="69"/>
      <c r="T12" s="82"/>
    </row>
    <row r="13" spans="2:20" ht="60" customHeight="1" x14ac:dyDescent="0.35">
      <c r="B13" s="41" t="s">
        <v>330</v>
      </c>
      <c r="C13" s="80"/>
      <c r="D13" s="81"/>
      <c r="E13" s="81" t="s">
        <v>21</v>
      </c>
      <c r="F13" s="81" t="str">
        <f>IF(E13&lt;&gt;"", IFERROR(VLOOKUP(E13, Dashboard!$B52:$F57, 5, FALSE), ""), "")</f>
        <v/>
      </c>
      <c r="G13" s="82"/>
      <c r="H13" s="69"/>
      <c r="I13" s="69"/>
      <c r="J13" s="82"/>
      <c r="K13" s="82"/>
      <c r="L13" s="43"/>
      <c r="M13" s="43"/>
      <c r="N13" s="82"/>
      <c r="O13" s="82"/>
      <c r="P13" s="43"/>
      <c r="Q13" s="43" t="s">
        <v>21</v>
      </c>
      <c r="R13" s="82"/>
      <c r="S13" s="69"/>
      <c r="T13" s="82"/>
    </row>
    <row r="14" spans="2:20" ht="60" customHeight="1" x14ac:dyDescent="0.35">
      <c r="B14" s="41" t="s">
        <v>331</v>
      </c>
      <c r="C14" s="80"/>
      <c r="D14" s="81"/>
      <c r="E14" s="81" t="s">
        <v>21</v>
      </c>
      <c r="F14" s="81" t="str">
        <f>IF(E14&lt;&gt;"", IFERROR(VLOOKUP(E14, Dashboard!$B52:$F57, 5, FALSE), ""), "")</f>
        <v/>
      </c>
      <c r="G14" s="82"/>
      <c r="H14" s="69"/>
      <c r="I14" s="69"/>
      <c r="J14" s="82"/>
      <c r="K14" s="82"/>
      <c r="L14" s="43"/>
      <c r="M14" s="43"/>
      <c r="N14" s="82"/>
      <c r="O14" s="82"/>
      <c r="P14" s="43"/>
      <c r="Q14" s="43" t="s">
        <v>21</v>
      </c>
      <c r="R14" s="82"/>
      <c r="S14" s="69"/>
      <c r="T14" s="82"/>
    </row>
    <row r="15" spans="2:20" ht="60" customHeight="1" x14ac:dyDescent="0.35">
      <c r="B15" s="41" t="s">
        <v>332</v>
      </c>
      <c r="C15" s="80"/>
      <c r="D15" s="81"/>
      <c r="E15" s="81" t="s">
        <v>21</v>
      </c>
      <c r="F15" s="81" t="str">
        <f>IF(E15&lt;&gt;"", IFERROR(VLOOKUP(E15, Dashboard!$B52:$F57, 5, FALSE), ""), "")</f>
        <v/>
      </c>
      <c r="G15" s="82"/>
      <c r="H15" s="69"/>
      <c r="I15" s="69"/>
      <c r="J15" s="82"/>
      <c r="K15" s="82"/>
      <c r="L15" s="43"/>
      <c r="M15" s="43"/>
      <c r="N15" s="82"/>
      <c r="O15" s="82"/>
      <c r="P15" s="43"/>
      <c r="Q15" s="43" t="s">
        <v>21</v>
      </c>
      <c r="R15" s="82"/>
      <c r="S15" s="69"/>
      <c r="T15" s="82"/>
    </row>
    <row r="16" spans="2:20" ht="60" customHeight="1" x14ac:dyDescent="0.35">
      <c r="B16" s="41" t="s">
        <v>333</v>
      </c>
      <c r="C16" s="80"/>
      <c r="D16" s="81"/>
      <c r="E16" s="81" t="s">
        <v>21</v>
      </c>
      <c r="F16" s="81" t="str">
        <f>IF(E16&lt;&gt;"", IFERROR(VLOOKUP(E16, Dashboard!$B52:$F57, 5, FALSE), ""), "")</f>
        <v/>
      </c>
      <c r="G16" s="82"/>
      <c r="H16" s="69"/>
      <c r="I16" s="69"/>
      <c r="J16" s="82"/>
      <c r="K16" s="82"/>
      <c r="L16" s="43"/>
      <c r="M16" s="43"/>
      <c r="N16" s="82"/>
      <c r="O16" s="82"/>
      <c r="P16" s="43"/>
      <c r="Q16" s="43" t="s">
        <v>21</v>
      </c>
      <c r="R16" s="82"/>
      <c r="S16" s="69"/>
      <c r="T16" s="82"/>
    </row>
    <row r="17" spans="2:20" ht="60" customHeight="1" x14ac:dyDescent="0.35">
      <c r="B17" s="41" t="s">
        <v>334</v>
      </c>
      <c r="C17" s="80"/>
      <c r="D17" s="81"/>
      <c r="E17" s="81" t="s">
        <v>21</v>
      </c>
      <c r="F17" s="81" t="str">
        <f>IF(E17&lt;&gt;"", IFERROR(VLOOKUP(E17, Dashboard!$B52:$F57, 5, FALSE), ""), "")</f>
        <v/>
      </c>
      <c r="G17" s="82"/>
      <c r="H17" s="69"/>
      <c r="I17" s="69"/>
      <c r="J17" s="82"/>
      <c r="K17" s="82"/>
      <c r="L17" s="43"/>
      <c r="M17" s="43"/>
      <c r="N17" s="82"/>
      <c r="O17" s="82"/>
      <c r="P17" s="43"/>
      <c r="Q17" s="43" t="s">
        <v>21</v>
      </c>
      <c r="R17" s="82"/>
      <c r="S17" s="69"/>
      <c r="T17" s="82"/>
    </row>
    <row r="18" spans="2:20" ht="60" customHeight="1" x14ac:dyDescent="0.35">
      <c r="B18" s="41" t="s">
        <v>335</v>
      </c>
      <c r="C18" s="80"/>
      <c r="D18" s="81"/>
      <c r="E18" s="81" t="s">
        <v>21</v>
      </c>
      <c r="F18" s="81" t="str">
        <f>IF(E18&lt;&gt;"", IFERROR(VLOOKUP(E18, Dashboard!$B52:$F57, 5, FALSE), ""), "")</f>
        <v/>
      </c>
      <c r="G18" s="82"/>
      <c r="H18" s="69"/>
      <c r="I18" s="69"/>
      <c r="J18" s="82"/>
      <c r="K18" s="82"/>
      <c r="L18" s="43"/>
      <c r="M18" s="43"/>
      <c r="N18" s="82"/>
      <c r="O18" s="82"/>
      <c r="P18" s="43"/>
      <c r="Q18" s="43" t="s">
        <v>21</v>
      </c>
      <c r="R18" s="82"/>
      <c r="S18" s="69"/>
      <c r="T18" s="82"/>
    </row>
    <row r="19" spans="2:20" ht="60" customHeight="1" x14ac:dyDescent="0.35">
      <c r="B19" s="41" t="s">
        <v>336</v>
      </c>
      <c r="C19" s="80"/>
      <c r="D19" s="81"/>
      <c r="E19" s="81" t="s">
        <v>21</v>
      </c>
      <c r="F19" s="81" t="str">
        <f>IF(E19&lt;&gt;"", IFERROR(VLOOKUP(E19, Dashboard!$B52:$F57, 5, FALSE), ""), "")</f>
        <v/>
      </c>
      <c r="G19" s="82"/>
      <c r="H19" s="69"/>
      <c r="I19" s="69"/>
      <c r="J19" s="82"/>
      <c r="K19" s="82"/>
      <c r="L19" s="43"/>
      <c r="M19" s="43"/>
      <c r="N19" s="82"/>
      <c r="O19" s="82"/>
      <c r="P19" s="43"/>
      <c r="Q19" s="43" t="s">
        <v>21</v>
      </c>
      <c r="R19" s="82"/>
      <c r="S19" s="69"/>
      <c r="T19" s="82"/>
    </row>
    <row r="20" spans="2:20" ht="60" customHeight="1" x14ac:dyDescent="0.35">
      <c r="B20" s="41" t="s">
        <v>337</v>
      </c>
      <c r="C20" s="80"/>
      <c r="D20" s="81"/>
      <c r="E20" s="81" t="s">
        <v>21</v>
      </c>
      <c r="F20" s="81" t="str">
        <f>IF(E20&lt;&gt;"", IFERROR(VLOOKUP(E20, Dashboard!$B52:$F57, 5, FALSE), ""), "")</f>
        <v/>
      </c>
      <c r="G20" s="82"/>
      <c r="H20" s="69"/>
      <c r="I20" s="69"/>
      <c r="J20" s="82"/>
      <c r="K20" s="82"/>
      <c r="L20" s="43"/>
      <c r="M20" s="43"/>
      <c r="N20" s="82"/>
      <c r="O20" s="82"/>
      <c r="P20" s="43"/>
      <c r="Q20" s="43" t="s">
        <v>21</v>
      </c>
      <c r="R20" s="82"/>
      <c r="S20" s="69"/>
      <c r="T20" s="82"/>
    </row>
    <row r="21" spans="2:20" ht="60" customHeight="1" x14ac:dyDescent="0.35">
      <c r="B21" s="41" t="s">
        <v>338</v>
      </c>
      <c r="C21" s="80"/>
      <c r="D21" s="81"/>
      <c r="E21" s="81" t="s">
        <v>21</v>
      </c>
      <c r="F21" s="81" t="str">
        <f>IF(E21&lt;&gt;"", IFERROR(VLOOKUP(E21, Dashboard!$B52:$F57, 5, FALSE), ""), "")</f>
        <v/>
      </c>
      <c r="G21" s="82"/>
      <c r="H21" s="69"/>
      <c r="I21" s="69"/>
      <c r="J21" s="82"/>
      <c r="K21" s="82"/>
      <c r="L21" s="43"/>
      <c r="M21" s="43"/>
      <c r="N21" s="82"/>
      <c r="O21" s="82"/>
      <c r="P21" s="43"/>
      <c r="Q21" s="43" t="s">
        <v>21</v>
      </c>
      <c r="R21" s="82"/>
      <c r="S21" s="69"/>
      <c r="T21" s="82"/>
    </row>
    <row r="22" spans="2:20" ht="60" customHeight="1" x14ac:dyDescent="0.35">
      <c r="B22" s="41" t="s">
        <v>339</v>
      </c>
      <c r="C22" s="80"/>
      <c r="D22" s="81"/>
      <c r="E22" s="81" t="s">
        <v>21</v>
      </c>
      <c r="F22" s="81" t="str">
        <f>IF(E22&lt;&gt;"", IFERROR(VLOOKUP(E22, Dashboard!$B52:$F57, 5, FALSE), ""), "")</f>
        <v/>
      </c>
      <c r="G22" s="82"/>
      <c r="H22" s="69"/>
      <c r="I22" s="69"/>
      <c r="J22" s="82"/>
      <c r="K22" s="82"/>
      <c r="L22" s="43"/>
      <c r="M22" s="43"/>
      <c r="N22" s="82"/>
      <c r="O22" s="82"/>
      <c r="P22" s="43"/>
      <c r="Q22" s="43" t="s">
        <v>21</v>
      </c>
      <c r="R22" s="82"/>
      <c r="S22" s="69"/>
      <c r="T22" s="82"/>
    </row>
    <row r="23" spans="2:20" ht="60" customHeight="1" x14ac:dyDescent="0.35">
      <c r="B23" s="41" t="s">
        <v>340</v>
      </c>
      <c r="C23" s="80"/>
      <c r="D23" s="81"/>
      <c r="E23" s="81" t="s">
        <v>21</v>
      </c>
      <c r="F23" s="81" t="str">
        <f>IF(E23&lt;&gt;"", IFERROR(VLOOKUP(E23, Dashboard!$B52:$F57, 5, FALSE), ""), "")</f>
        <v/>
      </c>
      <c r="G23" s="82"/>
      <c r="H23" s="69"/>
      <c r="I23" s="69"/>
      <c r="J23" s="82"/>
      <c r="K23" s="82"/>
      <c r="L23" s="43"/>
      <c r="M23" s="43"/>
      <c r="N23" s="82"/>
      <c r="O23" s="82"/>
      <c r="P23" s="43"/>
      <c r="Q23" s="43" t="s">
        <v>21</v>
      </c>
      <c r="R23" s="82"/>
      <c r="S23" s="69"/>
      <c r="T23" s="82"/>
    </row>
    <row r="24" spans="2:20" ht="60" customHeight="1" x14ac:dyDescent="0.35">
      <c r="B24" s="41" t="s">
        <v>341</v>
      </c>
      <c r="C24" s="80"/>
      <c r="D24" s="81"/>
      <c r="E24" s="81" t="s">
        <v>21</v>
      </c>
      <c r="F24" s="81" t="str">
        <f>IF(E24&lt;&gt;"", IFERROR(VLOOKUP(E24, Dashboard!$B52:$F57, 5, FALSE), ""), "")</f>
        <v/>
      </c>
      <c r="G24" s="82"/>
      <c r="H24" s="69"/>
      <c r="I24" s="69"/>
      <c r="J24" s="82"/>
      <c r="K24" s="82"/>
      <c r="L24" s="43"/>
      <c r="M24" s="43"/>
      <c r="N24" s="82"/>
      <c r="O24" s="82"/>
      <c r="P24" s="43"/>
      <c r="Q24" s="43" t="s">
        <v>21</v>
      </c>
      <c r="R24" s="82"/>
      <c r="S24" s="69"/>
      <c r="T24" s="82"/>
    </row>
    <row r="25" spans="2:20" ht="60" customHeight="1" x14ac:dyDescent="0.35">
      <c r="B25" s="41" t="s">
        <v>342</v>
      </c>
      <c r="C25" s="80"/>
      <c r="D25" s="81"/>
      <c r="E25" s="81" t="s">
        <v>21</v>
      </c>
      <c r="F25" s="81" t="str">
        <f>IF(E25&lt;&gt;"", IFERROR(VLOOKUP(E25, Dashboard!$B52:$F57, 5, FALSE), ""), "")</f>
        <v/>
      </c>
      <c r="G25" s="82"/>
      <c r="H25" s="69"/>
      <c r="I25" s="69"/>
      <c r="J25" s="82"/>
      <c r="K25" s="82"/>
      <c r="L25" s="43"/>
      <c r="M25" s="43"/>
      <c r="N25" s="82"/>
      <c r="O25" s="82"/>
      <c r="P25" s="43"/>
      <c r="Q25" s="43" t="s">
        <v>21</v>
      </c>
      <c r="R25" s="82"/>
      <c r="S25" s="69"/>
      <c r="T25" s="82"/>
    </row>
    <row r="26" spans="2:20" ht="60" customHeight="1" x14ac:dyDescent="0.35">
      <c r="B26" s="41" t="s">
        <v>343</v>
      </c>
      <c r="C26" s="80"/>
      <c r="D26" s="81"/>
      <c r="E26" s="81" t="s">
        <v>21</v>
      </c>
      <c r="F26" s="81" t="str">
        <f>IF(E26&lt;&gt;"", IFERROR(VLOOKUP(E26, Dashboard!$B52:$F57, 5, FALSE), ""), "")</f>
        <v/>
      </c>
      <c r="G26" s="82"/>
      <c r="H26" s="69"/>
      <c r="I26" s="69"/>
      <c r="J26" s="82"/>
      <c r="K26" s="82"/>
      <c r="L26" s="43"/>
      <c r="M26" s="43"/>
      <c r="N26" s="82"/>
      <c r="O26" s="82"/>
      <c r="P26" s="43"/>
      <c r="Q26" s="43" t="s">
        <v>21</v>
      </c>
      <c r="R26" s="82"/>
      <c r="S26" s="69"/>
      <c r="T26" s="82"/>
    </row>
    <row r="27" spans="2:20" ht="60" customHeight="1" x14ac:dyDescent="0.35">
      <c r="B27" s="41" t="s">
        <v>344</v>
      </c>
      <c r="C27" s="80"/>
      <c r="D27" s="81"/>
      <c r="E27" s="81" t="s">
        <v>21</v>
      </c>
      <c r="F27" s="81" t="str">
        <f>IF(E27&lt;&gt;"", IFERROR(VLOOKUP(E27, Dashboard!$B52:$F57, 5, FALSE), ""), "")</f>
        <v/>
      </c>
      <c r="G27" s="82"/>
      <c r="H27" s="69"/>
      <c r="I27" s="69"/>
      <c r="J27" s="82"/>
      <c r="K27" s="82"/>
      <c r="L27" s="43"/>
      <c r="M27" s="43"/>
      <c r="N27" s="82"/>
      <c r="O27" s="82"/>
      <c r="P27" s="43"/>
      <c r="Q27" s="43" t="s">
        <v>21</v>
      </c>
      <c r="R27" s="82"/>
      <c r="S27" s="69"/>
      <c r="T27" s="82"/>
    </row>
    <row r="28" spans="2:20" ht="60" customHeight="1" x14ac:dyDescent="0.35">
      <c r="B28" s="41" t="s">
        <v>345</v>
      </c>
      <c r="C28" s="80"/>
      <c r="D28" s="81"/>
      <c r="E28" s="81" t="s">
        <v>21</v>
      </c>
      <c r="F28" s="81" t="str">
        <f>IF(E28&lt;&gt;"", IFERROR(VLOOKUP(E28, Dashboard!$B52:$F57, 5, FALSE), ""), "")</f>
        <v/>
      </c>
      <c r="G28" s="82"/>
      <c r="H28" s="69"/>
      <c r="I28" s="69"/>
      <c r="J28" s="82"/>
      <c r="K28" s="82"/>
      <c r="L28" s="43"/>
      <c r="M28" s="43"/>
      <c r="N28" s="82"/>
      <c r="O28" s="82"/>
      <c r="P28" s="43"/>
      <c r="Q28" s="43" t="s">
        <v>21</v>
      </c>
      <c r="R28" s="82"/>
      <c r="S28" s="69"/>
      <c r="T28" s="82"/>
    </row>
    <row r="29" spans="2:20" ht="60" customHeight="1" x14ac:dyDescent="0.35">
      <c r="B29" s="41" t="s">
        <v>346</v>
      </c>
      <c r="C29" s="80"/>
      <c r="D29" s="81"/>
      <c r="E29" s="81" t="s">
        <v>21</v>
      </c>
      <c r="F29" s="81" t="str">
        <f>IF(E29&lt;&gt;"", IFERROR(VLOOKUP(E29, Dashboard!$B52:$F57, 5, FALSE), ""), "")</f>
        <v/>
      </c>
      <c r="G29" s="82"/>
      <c r="H29" s="69"/>
      <c r="I29" s="69"/>
      <c r="J29" s="82"/>
      <c r="K29" s="82"/>
      <c r="L29" s="43"/>
      <c r="M29" s="43"/>
      <c r="N29" s="82"/>
      <c r="O29" s="82"/>
      <c r="P29" s="43"/>
      <c r="Q29" s="43" t="s">
        <v>21</v>
      </c>
      <c r="R29" s="82"/>
      <c r="S29" s="69"/>
      <c r="T29" s="82"/>
    </row>
    <row r="30" spans="2:20" ht="60" customHeight="1" x14ac:dyDescent="0.35">
      <c r="B30" s="41" t="s">
        <v>347</v>
      </c>
      <c r="C30" s="80"/>
      <c r="D30" s="81"/>
      <c r="E30" s="81" t="s">
        <v>21</v>
      </c>
      <c r="F30" s="81" t="str">
        <f>IF(E30&lt;&gt;"", IFERROR(VLOOKUP(E30, Dashboard!$B52:$F57, 5, FALSE), ""), "")</f>
        <v/>
      </c>
      <c r="G30" s="82"/>
      <c r="H30" s="69"/>
      <c r="I30" s="69"/>
      <c r="J30" s="82"/>
      <c r="K30" s="82"/>
      <c r="L30" s="43"/>
      <c r="M30" s="43"/>
      <c r="N30" s="82"/>
      <c r="O30" s="82"/>
      <c r="P30" s="43"/>
      <c r="Q30" s="43" t="s">
        <v>21</v>
      </c>
      <c r="R30" s="82"/>
      <c r="S30" s="69"/>
      <c r="T30" s="82"/>
    </row>
    <row r="31" spans="2:20" ht="60" customHeight="1" x14ac:dyDescent="0.35">
      <c r="B31" s="41" t="s">
        <v>348</v>
      </c>
      <c r="C31" s="80"/>
      <c r="D31" s="81"/>
      <c r="E31" s="81" t="s">
        <v>21</v>
      </c>
      <c r="F31" s="81" t="str">
        <f>IF(E31&lt;&gt;"", IFERROR(VLOOKUP(E31, Dashboard!$B52:$F57, 5, FALSE), ""), "")</f>
        <v/>
      </c>
      <c r="G31" s="82"/>
      <c r="H31" s="69"/>
      <c r="I31" s="69"/>
      <c r="J31" s="82"/>
      <c r="K31" s="82"/>
      <c r="L31" s="43"/>
      <c r="M31" s="43"/>
      <c r="N31" s="82"/>
      <c r="O31" s="82"/>
      <c r="P31" s="43"/>
      <c r="Q31" s="43" t="s">
        <v>21</v>
      </c>
      <c r="R31" s="82"/>
      <c r="S31" s="69"/>
      <c r="T31" s="82"/>
    </row>
    <row r="32" spans="2:20" ht="60" customHeight="1" x14ac:dyDescent="0.35">
      <c r="B32" s="41" t="s">
        <v>349</v>
      </c>
      <c r="C32" s="80"/>
      <c r="D32" s="81"/>
      <c r="E32" s="81" t="s">
        <v>21</v>
      </c>
      <c r="F32" s="81" t="str">
        <f>IF(E32&lt;&gt;"", IFERROR(VLOOKUP(E32, Dashboard!$B52:$F57, 5, FALSE), ""), "")</f>
        <v/>
      </c>
      <c r="G32" s="82"/>
      <c r="H32" s="69"/>
      <c r="I32" s="69"/>
      <c r="J32" s="82"/>
      <c r="K32" s="82"/>
      <c r="L32" s="43"/>
      <c r="M32" s="43"/>
      <c r="N32" s="82"/>
      <c r="O32" s="82"/>
      <c r="P32" s="43"/>
      <c r="Q32" s="43" t="s">
        <v>21</v>
      </c>
      <c r="R32" s="82"/>
      <c r="S32" s="69"/>
      <c r="T32" s="82"/>
    </row>
    <row r="33" spans="2:20" ht="60" customHeight="1" x14ac:dyDescent="0.35">
      <c r="B33" s="41" t="s">
        <v>350</v>
      </c>
      <c r="C33" s="80"/>
      <c r="D33" s="81"/>
      <c r="E33" s="81" t="s">
        <v>21</v>
      </c>
      <c r="F33" s="81" t="str">
        <f>IF(E33&lt;&gt;"", IFERROR(VLOOKUP(E33, Dashboard!$B52:$F57, 5, FALSE), ""), "")</f>
        <v/>
      </c>
      <c r="G33" s="82"/>
      <c r="H33" s="69"/>
      <c r="I33" s="69"/>
      <c r="J33" s="82"/>
      <c r="K33" s="82"/>
      <c r="L33" s="43"/>
      <c r="M33" s="43"/>
      <c r="N33" s="82"/>
      <c r="O33" s="82"/>
      <c r="P33" s="43"/>
      <c r="Q33" s="43" t="s">
        <v>21</v>
      </c>
      <c r="R33" s="82"/>
      <c r="S33" s="69"/>
      <c r="T33" s="82"/>
    </row>
    <row r="34" spans="2:20" ht="60" customHeight="1" x14ac:dyDescent="0.35">
      <c r="B34" s="41" t="s">
        <v>351</v>
      </c>
      <c r="C34" s="80"/>
      <c r="D34" s="81"/>
      <c r="E34" s="81" t="s">
        <v>21</v>
      </c>
      <c r="F34" s="81" t="str">
        <f>IF(E34&lt;&gt;"", IFERROR(VLOOKUP(E34, Dashboard!$B52:$F57, 5, FALSE), ""), "")</f>
        <v/>
      </c>
      <c r="G34" s="82"/>
      <c r="H34" s="69"/>
      <c r="I34" s="69"/>
      <c r="J34" s="82"/>
      <c r="K34" s="82"/>
      <c r="L34" s="43"/>
      <c r="M34" s="43"/>
      <c r="N34" s="82"/>
      <c r="O34" s="82"/>
      <c r="P34" s="43"/>
      <c r="Q34" s="43" t="s">
        <v>21</v>
      </c>
      <c r="R34" s="82"/>
      <c r="S34" s="69"/>
      <c r="T34" s="82"/>
    </row>
    <row r="35" spans="2:20" ht="60" customHeight="1" x14ac:dyDescent="0.35">
      <c r="B35" s="41" t="s">
        <v>352</v>
      </c>
      <c r="C35" s="80"/>
      <c r="D35" s="81"/>
      <c r="E35" s="81" t="s">
        <v>21</v>
      </c>
      <c r="F35" s="81" t="str">
        <f>IF(E35&lt;&gt;"", IFERROR(VLOOKUP(E35, Dashboard!$B52:$F57, 5, FALSE), ""), "")</f>
        <v/>
      </c>
      <c r="G35" s="82"/>
      <c r="H35" s="69"/>
      <c r="I35" s="69"/>
      <c r="J35" s="82"/>
      <c r="K35" s="82"/>
      <c r="L35" s="43"/>
      <c r="M35" s="43"/>
      <c r="N35" s="82"/>
      <c r="O35" s="82"/>
      <c r="P35" s="43"/>
      <c r="Q35" s="43" t="s">
        <v>21</v>
      </c>
      <c r="R35" s="82"/>
      <c r="S35" s="69"/>
      <c r="T35" s="82"/>
    </row>
    <row r="36" spans="2:20" ht="60" customHeight="1" x14ac:dyDescent="0.35">
      <c r="B36" s="41" t="s">
        <v>353</v>
      </c>
      <c r="C36" s="80"/>
      <c r="D36" s="81"/>
      <c r="E36" s="81" t="s">
        <v>21</v>
      </c>
      <c r="F36" s="81" t="str">
        <f>IF(E36&lt;&gt;"", IFERROR(VLOOKUP(E36, Dashboard!$B52:$F57, 5, FALSE), ""), "")</f>
        <v/>
      </c>
      <c r="G36" s="82"/>
      <c r="H36" s="69"/>
      <c r="I36" s="69"/>
      <c r="J36" s="82"/>
      <c r="K36" s="82"/>
      <c r="L36" s="43"/>
      <c r="M36" s="43"/>
      <c r="N36" s="82"/>
      <c r="O36" s="82"/>
      <c r="P36" s="43"/>
      <c r="Q36" s="43" t="s">
        <v>21</v>
      </c>
      <c r="R36" s="82"/>
      <c r="S36" s="69"/>
      <c r="T36" s="82"/>
    </row>
    <row r="37" spans="2:20" ht="60" customHeight="1" x14ac:dyDescent="0.35">
      <c r="B37" s="41" t="s">
        <v>354</v>
      </c>
      <c r="C37" s="80"/>
      <c r="D37" s="81"/>
      <c r="E37" s="81" t="s">
        <v>21</v>
      </c>
      <c r="F37" s="81" t="str">
        <f>IF(E37&lt;&gt;"", IFERROR(VLOOKUP(E37, Dashboard!$B52:$F57, 5, FALSE), ""), "")</f>
        <v/>
      </c>
      <c r="G37" s="82"/>
      <c r="H37" s="69"/>
      <c r="I37" s="69"/>
      <c r="J37" s="82"/>
      <c r="K37" s="82"/>
      <c r="L37" s="43"/>
      <c r="M37" s="43"/>
      <c r="N37" s="82"/>
      <c r="O37" s="82"/>
      <c r="P37" s="43"/>
      <c r="Q37" s="43" t="s">
        <v>21</v>
      </c>
      <c r="R37" s="82"/>
      <c r="S37" s="69"/>
      <c r="T37" s="82"/>
    </row>
    <row r="38" spans="2:20" ht="60" customHeight="1" x14ac:dyDescent="0.35">
      <c r="B38" s="41" t="s">
        <v>355</v>
      </c>
      <c r="C38" s="80"/>
      <c r="D38" s="81"/>
      <c r="E38" s="81" t="s">
        <v>21</v>
      </c>
      <c r="F38" s="81" t="str">
        <f>IF(E38&lt;&gt;"", IFERROR(VLOOKUP(E38, Dashboard!$B52:$F57, 5, FALSE), ""), "")</f>
        <v/>
      </c>
      <c r="G38" s="82"/>
      <c r="H38" s="69"/>
      <c r="I38" s="69"/>
      <c r="J38" s="82"/>
      <c r="K38" s="82"/>
      <c r="L38" s="43"/>
      <c r="M38" s="43"/>
      <c r="N38" s="82"/>
      <c r="O38" s="82"/>
      <c r="P38" s="43"/>
      <c r="Q38" s="43" t="s">
        <v>21</v>
      </c>
      <c r="R38" s="82"/>
      <c r="S38" s="69"/>
      <c r="T38" s="82"/>
    </row>
    <row r="39" spans="2:20" ht="60" customHeight="1" x14ac:dyDescent="0.35">
      <c r="B39" s="41" t="s">
        <v>356</v>
      </c>
      <c r="C39" s="80"/>
      <c r="D39" s="81"/>
      <c r="E39" s="81" t="s">
        <v>21</v>
      </c>
      <c r="F39" s="81" t="str">
        <f>IF(E39&lt;&gt;"", IFERROR(VLOOKUP(E39, Dashboard!$B52:$F57, 5, FALSE), ""), "")</f>
        <v/>
      </c>
      <c r="G39" s="82"/>
      <c r="H39" s="69"/>
      <c r="I39" s="69"/>
      <c r="J39" s="82"/>
      <c r="K39" s="82"/>
      <c r="L39" s="43"/>
      <c r="M39" s="43"/>
      <c r="N39" s="82"/>
      <c r="O39" s="82"/>
      <c r="P39" s="43"/>
      <c r="Q39" s="43" t="s">
        <v>21</v>
      </c>
      <c r="R39" s="82"/>
      <c r="S39" s="69"/>
      <c r="T39" s="82"/>
    </row>
    <row r="40" spans="2:20" ht="60" customHeight="1" x14ac:dyDescent="0.35">
      <c r="B40" s="41" t="s">
        <v>357</v>
      </c>
      <c r="C40" s="80"/>
      <c r="D40" s="81"/>
      <c r="E40" s="81" t="s">
        <v>21</v>
      </c>
      <c r="F40" s="81" t="str">
        <f>IF(E40&lt;&gt;"", IFERROR(VLOOKUP(E40, Dashboard!$B52:$F57, 5, FALSE), ""), "")</f>
        <v/>
      </c>
      <c r="G40" s="82"/>
      <c r="H40" s="69"/>
      <c r="I40" s="69"/>
      <c r="J40" s="82"/>
      <c r="K40" s="82"/>
      <c r="L40" s="43"/>
      <c r="M40" s="43"/>
      <c r="N40" s="82"/>
      <c r="O40" s="82"/>
      <c r="P40" s="43"/>
      <c r="Q40" s="43" t="s">
        <v>21</v>
      </c>
      <c r="R40" s="82"/>
      <c r="S40" s="69"/>
      <c r="T40" s="82"/>
    </row>
    <row r="41" spans="2:20" ht="60" customHeight="1" x14ac:dyDescent="0.35">
      <c r="B41" s="41" t="s">
        <v>358</v>
      </c>
      <c r="C41" s="80"/>
      <c r="D41" s="81"/>
      <c r="E41" s="81" t="s">
        <v>21</v>
      </c>
      <c r="F41" s="81" t="str">
        <f>IF(E41&lt;&gt;"", IFERROR(VLOOKUP(E41, Dashboard!$B52:$F57, 5, FALSE), ""), "")</f>
        <v/>
      </c>
      <c r="G41" s="82"/>
      <c r="H41" s="69"/>
      <c r="I41" s="69"/>
      <c r="J41" s="82"/>
      <c r="K41" s="82"/>
      <c r="L41" s="43"/>
      <c r="M41" s="43"/>
      <c r="N41" s="82"/>
      <c r="O41" s="82"/>
      <c r="P41" s="43"/>
      <c r="Q41" s="43" t="s">
        <v>21</v>
      </c>
      <c r="R41" s="82"/>
      <c r="S41" s="69"/>
      <c r="T41" s="82"/>
    </row>
    <row r="42" spans="2:20" ht="60" customHeight="1" x14ac:dyDescent="0.35">
      <c r="B42" s="41" t="s">
        <v>359</v>
      </c>
      <c r="C42" s="80"/>
      <c r="D42" s="81"/>
      <c r="E42" s="81" t="s">
        <v>21</v>
      </c>
      <c r="F42" s="81" t="str">
        <f>IF(E42&lt;&gt;"", IFERROR(VLOOKUP(E42, Dashboard!$B52:$F57, 5, FALSE), ""), "")</f>
        <v/>
      </c>
      <c r="G42" s="82"/>
      <c r="H42" s="69"/>
      <c r="I42" s="69"/>
      <c r="J42" s="82"/>
      <c r="K42" s="82"/>
      <c r="L42" s="43"/>
      <c r="M42" s="43"/>
      <c r="N42" s="82"/>
      <c r="O42" s="82"/>
      <c r="P42" s="43"/>
      <c r="Q42" s="43" t="s">
        <v>21</v>
      </c>
      <c r="R42" s="82"/>
      <c r="S42" s="69"/>
      <c r="T42" s="82"/>
    </row>
    <row r="43" spans="2:20" ht="60" customHeight="1" x14ac:dyDescent="0.35">
      <c r="B43" s="41" t="s">
        <v>360</v>
      </c>
      <c r="C43" s="80"/>
      <c r="D43" s="81"/>
      <c r="E43" s="81" t="s">
        <v>21</v>
      </c>
      <c r="F43" s="81" t="str">
        <f>IF(E43&lt;&gt;"", IFERROR(VLOOKUP(E43, Dashboard!$B52:$F57, 5, FALSE), ""), "")</f>
        <v/>
      </c>
      <c r="G43" s="82"/>
      <c r="H43" s="69"/>
      <c r="I43" s="69"/>
      <c r="J43" s="82"/>
      <c r="K43" s="82"/>
      <c r="L43" s="43"/>
      <c r="M43" s="43"/>
      <c r="N43" s="82"/>
      <c r="O43" s="82"/>
      <c r="P43" s="43"/>
      <c r="Q43" s="43" t="s">
        <v>21</v>
      </c>
      <c r="R43" s="82"/>
      <c r="S43" s="69"/>
      <c r="T43" s="82"/>
    </row>
    <row r="44" spans="2:20" ht="60" customHeight="1" x14ac:dyDescent="0.35">
      <c r="B44" s="41" t="s">
        <v>361</v>
      </c>
      <c r="C44" s="80"/>
      <c r="D44" s="81"/>
      <c r="E44" s="81" t="s">
        <v>21</v>
      </c>
      <c r="F44" s="81" t="str">
        <f>IF(E44&lt;&gt;"", IFERROR(VLOOKUP(E44, Dashboard!$B52:$F57, 5, FALSE), ""), "")</f>
        <v/>
      </c>
      <c r="G44" s="82"/>
      <c r="H44" s="69"/>
      <c r="I44" s="69"/>
      <c r="J44" s="82"/>
      <c r="K44" s="82"/>
      <c r="L44" s="43"/>
      <c r="M44" s="43"/>
      <c r="N44" s="82"/>
      <c r="O44" s="82"/>
      <c r="P44" s="43"/>
      <c r="Q44" s="43" t="s">
        <v>21</v>
      </c>
      <c r="R44" s="82"/>
      <c r="S44" s="69"/>
      <c r="T44" s="82"/>
    </row>
    <row r="45" spans="2:20" ht="60" customHeight="1" x14ac:dyDescent="0.35">
      <c r="B45" s="41" t="s">
        <v>362</v>
      </c>
      <c r="C45" s="80"/>
      <c r="D45" s="81"/>
      <c r="E45" s="81" t="s">
        <v>21</v>
      </c>
      <c r="F45" s="81" t="str">
        <f>IF(E45&lt;&gt;"", IFERROR(VLOOKUP(E45, Dashboard!$B52:$F57, 5, FALSE), ""), "")</f>
        <v/>
      </c>
      <c r="G45" s="82"/>
      <c r="H45" s="69"/>
      <c r="I45" s="69"/>
      <c r="J45" s="82"/>
      <c r="K45" s="82"/>
      <c r="L45" s="43"/>
      <c r="M45" s="43"/>
      <c r="N45" s="82"/>
      <c r="O45" s="82"/>
      <c r="P45" s="43"/>
      <c r="Q45" s="43" t="s">
        <v>21</v>
      </c>
      <c r="R45" s="82"/>
      <c r="S45" s="69"/>
      <c r="T45" s="82"/>
    </row>
    <row r="46" spans="2:20" ht="60" customHeight="1" x14ac:dyDescent="0.35">
      <c r="B46" s="41" t="s">
        <v>363</v>
      </c>
      <c r="C46" s="80"/>
      <c r="D46" s="81"/>
      <c r="E46" s="81" t="s">
        <v>21</v>
      </c>
      <c r="F46" s="81" t="str">
        <f>IF(E46&lt;&gt;"", IFERROR(VLOOKUP(E46, Dashboard!$B52:$F57, 5, FALSE), ""), "")</f>
        <v/>
      </c>
      <c r="G46" s="82"/>
      <c r="H46" s="69"/>
      <c r="I46" s="69"/>
      <c r="J46" s="82"/>
      <c r="K46" s="82"/>
      <c r="L46" s="43"/>
      <c r="M46" s="43"/>
      <c r="N46" s="82"/>
      <c r="O46" s="82"/>
      <c r="P46" s="43"/>
      <c r="Q46" s="43" t="s">
        <v>21</v>
      </c>
      <c r="R46" s="82"/>
      <c r="S46" s="69"/>
      <c r="T46" s="82"/>
    </row>
    <row r="47" spans="2:20" ht="60" customHeight="1" x14ac:dyDescent="0.35">
      <c r="B47" s="41" t="s">
        <v>364</v>
      </c>
      <c r="C47" s="80"/>
      <c r="D47" s="81"/>
      <c r="E47" s="81" t="s">
        <v>21</v>
      </c>
      <c r="F47" s="81" t="str">
        <f>IF(E47&lt;&gt;"", IFERROR(VLOOKUP(E47, Dashboard!$B52:$F57, 5, FALSE), ""), "")</f>
        <v/>
      </c>
      <c r="G47" s="82"/>
      <c r="H47" s="69"/>
      <c r="I47" s="69"/>
      <c r="J47" s="82"/>
      <c r="K47" s="82"/>
      <c r="L47" s="43"/>
      <c r="M47" s="43"/>
      <c r="N47" s="82"/>
      <c r="O47" s="82"/>
      <c r="P47" s="43"/>
      <c r="Q47" s="43" t="s">
        <v>21</v>
      </c>
      <c r="R47" s="82"/>
      <c r="S47" s="69"/>
      <c r="T47" s="82"/>
    </row>
    <row r="48" spans="2:20" ht="60" customHeight="1" x14ac:dyDescent="0.35">
      <c r="B48" s="41" t="s">
        <v>365</v>
      </c>
      <c r="C48" s="80"/>
      <c r="D48" s="81"/>
      <c r="E48" s="81" t="s">
        <v>21</v>
      </c>
      <c r="F48" s="81" t="str">
        <f>IF(E48&lt;&gt;"", IFERROR(VLOOKUP(E48, Dashboard!$B52:$F57, 5, FALSE), ""), "")</f>
        <v/>
      </c>
      <c r="G48" s="82"/>
      <c r="H48" s="69"/>
      <c r="I48" s="69"/>
      <c r="J48" s="82"/>
      <c r="K48" s="82"/>
      <c r="L48" s="43"/>
      <c r="M48" s="43"/>
      <c r="N48" s="82"/>
      <c r="O48" s="82"/>
      <c r="P48" s="43"/>
      <c r="Q48" s="43" t="s">
        <v>21</v>
      </c>
      <c r="R48" s="82"/>
      <c r="S48" s="69"/>
      <c r="T48" s="82"/>
    </row>
    <row r="49" spans="2:20" ht="60" customHeight="1" x14ac:dyDescent="0.35">
      <c r="B49" s="41" t="s">
        <v>366</v>
      </c>
      <c r="C49" s="80"/>
      <c r="D49" s="81"/>
      <c r="E49" s="81" t="s">
        <v>21</v>
      </c>
      <c r="F49" s="81" t="str">
        <f>IF(E49&lt;&gt;"", IFERROR(VLOOKUP(E49, Dashboard!$B52:$F57, 5, FALSE), ""), "")</f>
        <v/>
      </c>
      <c r="G49" s="82"/>
      <c r="H49" s="69"/>
      <c r="I49" s="69"/>
      <c r="J49" s="82"/>
      <c r="K49" s="82"/>
      <c r="L49" s="43"/>
      <c r="M49" s="43"/>
      <c r="N49" s="82"/>
      <c r="O49" s="82"/>
      <c r="P49" s="43"/>
      <c r="Q49" s="43" t="s">
        <v>21</v>
      </c>
      <c r="R49" s="82"/>
      <c r="S49" s="69"/>
      <c r="T49" s="82"/>
    </row>
    <row r="50" spans="2:20" ht="60" customHeight="1" x14ac:dyDescent="0.35">
      <c r="B50" s="41" t="s">
        <v>367</v>
      </c>
      <c r="C50" s="80"/>
      <c r="D50" s="81"/>
      <c r="E50" s="81" t="s">
        <v>21</v>
      </c>
      <c r="F50" s="81" t="str">
        <f>IF(E50&lt;&gt;"", IFERROR(VLOOKUP(E50, Dashboard!$B52:$F57, 5, FALSE), ""), "")</f>
        <v/>
      </c>
      <c r="G50" s="82"/>
      <c r="H50" s="69"/>
      <c r="I50" s="69"/>
      <c r="J50" s="82"/>
      <c r="K50" s="82"/>
      <c r="L50" s="43"/>
      <c r="M50" s="43"/>
      <c r="N50" s="82"/>
      <c r="O50" s="82"/>
      <c r="P50" s="43"/>
      <c r="Q50" s="43" t="s">
        <v>21</v>
      </c>
      <c r="R50" s="82"/>
      <c r="S50" s="69"/>
      <c r="T50" s="82"/>
    </row>
    <row r="51" spans="2:20" ht="60" customHeight="1" x14ac:dyDescent="0.35">
      <c r="B51" s="41" t="s">
        <v>368</v>
      </c>
      <c r="C51" s="80"/>
      <c r="D51" s="81"/>
      <c r="E51" s="81" t="s">
        <v>21</v>
      </c>
      <c r="F51" s="81" t="str">
        <f>IF(E51&lt;&gt;"", IFERROR(VLOOKUP(E51, Dashboard!$B52:$F57, 5, FALSE), ""), "")</f>
        <v/>
      </c>
      <c r="G51" s="82"/>
      <c r="H51" s="69"/>
      <c r="I51" s="69"/>
      <c r="J51" s="82"/>
      <c r="K51" s="82"/>
      <c r="L51" s="43"/>
      <c r="M51" s="43"/>
      <c r="N51" s="82"/>
      <c r="O51" s="82"/>
      <c r="P51" s="43"/>
      <c r="Q51" s="43" t="s">
        <v>21</v>
      </c>
      <c r="R51" s="82"/>
      <c r="S51" s="69"/>
      <c r="T51" s="82"/>
    </row>
    <row r="52" spans="2:20" ht="60" customHeight="1" x14ac:dyDescent="0.35">
      <c r="B52" s="41" t="s">
        <v>369</v>
      </c>
      <c r="C52" s="80"/>
      <c r="D52" s="81"/>
      <c r="E52" s="81" t="s">
        <v>21</v>
      </c>
      <c r="F52" s="81" t="str">
        <f>IF(E52&lt;&gt;"", IFERROR(VLOOKUP(E52, Dashboard!$B52:$F57, 5, FALSE), ""), "")</f>
        <v/>
      </c>
      <c r="G52" s="82"/>
      <c r="H52" s="69"/>
      <c r="I52" s="69"/>
      <c r="J52" s="82"/>
      <c r="K52" s="82"/>
      <c r="L52" s="43"/>
      <c r="M52" s="43"/>
      <c r="N52" s="82"/>
      <c r="O52" s="82"/>
      <c r="P52" s="43"/>
      <c r="Q52" s="43" t="s">
        <v>21</v>
      </c>
      <c r="R52" s="82"/>
      <c r="S52" s="69"/>
      <c r="T52" s="82"/>
    </row>
    <row r="53" spans="2:20" ht="60" customHeight="1" x14ac:dyDescent="0.35">
      <c r="B53" s="41" t="s">
        <v>370</v>
      </c>
      <c r="C53" s="80"/>
      <c r="D53" s="81"/>
      <c r="E53" s="81" t="s">
        <v>21</v>
      </c>
      <c r="F53" s="81" t="str">
        <f>IF(E53&lt;&gt;"", IFERROR(VLOOKUP(E53, Dashboard!$B52:$F57, 5, FALSE), ""), "")</f>
        <v/>
      </c>
      <c r="G53" s="82"/>
      <c r="H53" s="69"/>
      <c r="I53" s="69"/>
      <c r="J53" s="82"/>
      <c r="K53" s="82"/>
      <c r="L53" s="43"/>
      <c r="M53" s="43"/>
      <c r="N53" s="82"/>
      <c r="O53" s="82"/>
      <c r="P53" s="43"/>
      <c r="Q53" s="43" t="s">
        <v>21</v>
      </c>
      <c r="R53" s="82"/>
      <c r="S53" s="69"/>
      <c r="T53" s="82"/>
    </row>
    <row r="54" spans="2:20" ht="60" customHeight="1" x14ac:dyDescent="0.35">
      <c r="B54" s="41" t="s">
        <v>371</v>
      </c>
      <c r="C54" s="80"/>
      <c r="D54" s="81"/>
      <c r="E54" s="81" t="s">
        <v>21</v>
      </c>
      <c r="F54" s="81" t="str">
        <f>IF(E54&lt;&gt;"", IFERROR(VLOOKUP(E54, Dashboard!$B52:$F57,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91" t="s">
        <v>124</v>
      </c>
      <c r="C58" s="291"/>
      <c r="D58" s="291"/>
      <c r="E58" s="291"/>
      <c r="F58" s="291"/>
      <c r="G58" s="29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372</v>
      </c>
      <c r="B1" s="107" t="s">
        <v>0</v>
      </c>
      <c r="C1" s="107" t="s">
        <v>373</v>
      </c>
      <c r="D1" s="107" t="s">
        <v>10</v>
      </c>
      <c r="E1" s="107" t="s">
        <v>374</v>
      </c>
      <c r="F1" s="107" t="s">
        <v>375</v>
      </c>
      <c r="G1" s="107" t="s">
        <v>376</v>
      </c>
      <c r="H1" s="107" t="s">
        <v>377</v>
      </c>
      <c r="I1" s="107" t="s">
        <v>378</v>
      </c>
      <c r="J1" s="107" t="s">
        <v>379</v>
      </c>
      <c r="K1" s="107" t="s">
        <v>380</v>
      </c>
      <c r="L1" s="107" t="s">
        <v>381</v>
      </c>
      <c r="M1" s="107" t="s">
        <v>382</v>
      </c>
      <c r="N1" s="107" t="s">
        <v>383</v>
      </c>
      <c r="O1" s="107" t="s">
        <v>384</v>
      </c>
      <c r="P1" s="107" t="s">
        <v>385</v>
      </c>
      <c r="Q1" s="107" t="s">
        <v>386</v>
      </c>
      <c r="R1" s="107" t="s">
        <v>387</v>
      </c>
      <c r="S1" s="107" t="s">
        <v>388</v>
      </c>
      <c r="T1" s="107" t="s">
        <v>389</v>
      </c>
      <c r="U1" s="107" t="s">
        <v>390</v>
      </c>
      <c r="V1" s="107" t="s">
        <v>391</v>
      </c>
      <c r="W1" s="107" t="s">
        <v>392</v>
      </c>
      <c r="X1" s="107" t="s">
        <v>393</v>
      </c>
      <c r="Y1" s="107" t="s">
        <v>394</v>
      </c>
      <c r="Z1" s="107" t="s">
        <v>395</v>
      </c>
      <c r="AA1" s="107" t="s">
        <v>396</v>
      </c>
      <c r="AB1" s="107" t="s">
        <v>397</v>
      </c>
      <c r="AC1" s="107" t="s">
        <v>398</v>
      </c>
      <c r="AD1" s="107" t="s">
        <v>399</v>
      </c>
      <c r="AE1" s="107" t="s">
        <v>400</v>
      </c>
      <c r="AF1" s="107" t="s">
        <v>401</v>
      </c>
      <c r="AG1" s="107" t="s">
        <v>402</v>
      </c>
      <c r="AH1" s="107" t="s">
        <v>403</v>
      </c>
      <c r="AI1" s="107" t="s">
        <v>404</v>
      </c>
      <c r="AJ1" s="107" t="s">
        <v>405</v>
      </c>
      <c r="AK1" s="107" t="s">
        <v>406</v>
      </c>
      <c r="AL1" s="107" t="s">
        <v>407</v>
      </c>
      <c r="AM1" s="107" t="s">
        <v>408</v>
      </c>
      <c r="AN1" s="107" t="s">
        <v>409</v>
      </c>
      <c r="AO1" s="107" t="s">
        <v>410</v>
      </c>
      <c r="AP1" s="107" t="s">
        <v>411</v>
      </c>
      <c r="AQ1" s="107" t="s">
        <v>412</v>
      </c>
      <c r="AR1" s="107" t="s">
        <v>413</v>
      </c>
      <c r="AS1" s="107" t="s">
        <v>414</v>
      </c>
      <c r="AT1" s="107" t="s">
        <v>415</v>
      </c>
      <c r="AU1" s="107" t="s">
        <v>416</v>
      </c>
      <c r="AV1" s="107" t="s">
        <v>417</v>
      </c>
      <c r="AW1" s="108" t="s">
        <v>418</v>
      </c>
    </row>
    <row r="2" spans="1:49" ht="60" customHeight="1" outlineLevel="1" x14ac:dyDescent="0.35">
      <c r="A2" s="100" t="s">
        <v>419</v>
      </c>
      <c r="B2" s="83">
        <v>1</v>
      </c>
      <c r="C2" s="85" t="s">
        <v>21</v>
      </c>
      <c r="D2" s="87" t="s">
        <v>420</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419</v>
      </c>
      <c r="B3" s="84" t="s">
        <v>421</v>
      </c>
      <c r="C3" s="86" t="s">
        <v>422</v>
      </c>
      <c r="D3" s="88" t="s">
        <v>423</v>
      </c>
      <c r="E3" s="88" t="s">
        <v>424</v>
      </c>
      <c r="F3" s="89" t="s">
        <v>425</v>
      </c>
      <c r="G3" s="89" t="s">
        <v>426</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419</v>
      </c>
      <c r="B4" s="84" t="s">
        <v>427</v>
      </c>
      <c r="C4" s="86" t="s">
        <v>428</v>
      </c>
      <c r="D4" s="88" t="s">
        <v>429</v>
      </c>
      <c r="E4" s="88" t="s">
        <v>430</v>
      </c>
      <c r="F4" s="89" t="s">
        <v>425</v>
      </c>
      <c r="G4" s="89" t="s">
        <v>431</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419</v>
      </c>
      <c r="B5" s="84" t="s">
        <v>432</v>
      </c>
      <c r="C5" s="86" t="s">
        <v>433</v>
      </c>
      <c r="D5" s="88" t="s">
        <v>434</v>
      </c>
      <c r="E5" s="88" t="s">
        <v>435</v>
      </c>
      <c r="F5" s="89" t="s">
        <v>425</v>
      </c>
      <c r="G5" s="89" t="s">
        <v>436</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419</v>
      </c>
      <c r="B6" s="84" t="s">
        <v>437</v>
      </c>
      <c r="C6" s="86" t="s">
        <v>438</v>
      </c>
      <c r="D6" s="88" t="s">
        <v>439</v>
      </c>
      <c r="E6" s="88" t="s">
        <v>440</v>
      </c>
      <c r="F6" s="89" t="s">
        <v>425</v>
      </c>
      <c r="G6" s="89" t="s">
        <v>426</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419</v>
      </c>
      <c r="B7" s="84" t="s">
        <v>441</v>
      </c>
      <c r="C7" s="86" t="s">
        <v>442</v>
      </c>
      <c r="D7" s="88" t="s">
        <v>443</v>
      </c>
      <c r="E7" s="88" t="s">
        <v>444</v>
      </c>
      <c r="F7" s="89" t="s">
        <v>425</v>
      </c>
      <c r="G7" s="89" t="s">
        <v>436</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445</v>
      </c>
      <c r="B8" s="83">
        <v>2</v>
      </c>
      <c r="C8" s="85" t="s">
        <v>21</v>
      </c>
      <c r="D8" s="87" t="s">
        <v>446</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445</v>
      </c>
      <c r="B9" s="84" t="s">
        <v>447</v>
      </c>
      <c r="C9" s="86" t="s">
        <v>448</v>
      </c>
      <c r="D9" s="88" t="s">
        <v>449</v>
      </c>
      <c r="E9" s="88" t="s">
        <v>450</v>
      </c>
      <c r="F9" s="89" t="s">
        <v>451</v>
      </c>
      <c r="G9" s="89" t="s">
        <v>426</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445</v>
      </c>
      <c r="B10" s="84" t="s">
        <v>452</v>
      </c>
      <c r="C10" s="86" t="s">
        <v>453</v>
      </c>
      <c r="D10" s="88" t="s">
        <v>454</v>
      </c>
      <c r="E10" s="88" t="s">
        <v>455</v>
      </c>
      <c r="F10" s="89" t="s">
        <v>451</v>
      </c>
      <c r="G10" s="89" t="s">
        <v>426</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445</v>
      </c>
      <c r="B11" s="84" t="s">
        <v>456</v>
      </c>
      <c r="C11" s="86" t="s">
        <v>457</v>
      </c>
      <c r="D11" s="88" t="s">
        <v>458</v>
      </c>
      <c r="E11" s="88" t="s">
        <v>459</v>
      </c>
      <c r="F11" s="89" t="s">
        <v>451</v>
      </c>
      <c r="G11" s="89" t="s">
        <v>431</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445</v>
      </c>
      <c r="B12" s="84" t="s">
        <v>460</v>
      </c>
      <c r="C12" s="86" t="s">
        <v>461</v>
      </c>
      <c r="D12" s="88" t="s">
        <v>462</v>
      </c>
      <c r="E12" s="88" t="s">
        <v>463</v>
      </c>
      <c r="F12" s="89" t="s">
        <v>451</v>
      </c>
      <c r="G12" s="89" t="s">
        <v>436</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445</v>
      </c>
      <c r="B13" s="84" t="s">
        <v>464</v>
      </c>
      <c r="C13" s="86" t="s">
        <v>465</v>
      </c>
      <c r="D13" s="88" t="s">
        <v>466</v>
      </c>
      <c r="E13" s="88" t="s">
        <v>467</v>
      </c>
      <c r="F13" s="89" t="s">
        <v>451</v>
      </c>
      <c r="G13" s="89" t="s">
        <v>468</v>
      </c>
      <c r="H13" s="89">
        <v>2</v>
      </c>
      <c r="I13" s="91" t="str">
        <f>IF(COUNTIF(J13:AW13,"&lt;&gt;")=0,"",SUMPRODUCT(((Recommendations[ImplStatus]="Implemented")+(Recommendations[ImplStatus]="Compensated"))*ISNUMBER(MATCH(Recommendations[Id],J13:AW13,0)))/COUNTIF(J13:AW13,"&lt;&gt;"))</f>
        <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445</v>
      </c>
      <c r="B14" s="84" t="s">
        <v>469</v>
      </c>
      <c r="C14" s="86" t="s">
        <v>470</v>
      </c>
      <c r="D14" s="88" t="s">
        <v>471</v>
      </c>
      <c r="E14" s="88" t="s">
        <v>472</v>
      </c>
      <c r="F14" s="89" t="s">
        <v>451</v>
      </c>
      <c r="G14" s="89" t="s">
        <v>468</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445</v>
      </c>
      <c r="B15" s="84" t="s">
        <v>473</v>
      </c>
      <c r="C15" s="86" t="s">
        <v>474</v>
      </c>
      <c r="D15" s="88" t="s">
        <v>475</v>
      </c>
      <c r="E15" s="88" t="s">
        <v>476</v>
      </c>
      <c r="F15" s="89" t="s">
        <v>451</v>
      </c>
      <c r="G15" s="89" t="s">
        <v>468</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477</v>
      </c>
      <c r="B16" s="83">
        <v>3</v>
      </c>
      <c r="C16" s="85" t="s">
        <v>21</v>
      </c>
      <c r="D16" s="87" t="s">
        <v>478</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477</v>
      </c>
      <c r="B17" s="84" t="s">
        <v>479</v>
      </c>
      <c r="C17" s="86" t="s">
        <v>480</v>
      </c>
      <c r="D17" s="88" t="s">
        <v>481</v>
      </c>
      <c r="E17" s="88" t="s">
        <v>482</v>
      </c>
      <c r="F17" s="89" t="s">
        <v>483</v>
      </c>
      <c r="G17" s="89" t="s">
        <v>484</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477</v>
      </c>
      <c r="B18" s="84" t="s">
        <v>485</v>
      </c>
      <c r="C18" s="86" t="s">
        <v>486</v>
      </c>
      <c r="D18" s="88" t="s">
        <v>487</v>
      </c>
      <c r="E18" s="88" t="s">
        <v>488</v>
      </c>
      <c r="F18" s="89" t="s">
        <v>483</v>
      </c>
      <c r="G18" s="89" t="s">
        <v>426</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477</v>
      </c>
      <c r="B19" s="84" t="s">
        <v>489</v>
      </c>
      <c r="C19" s="86" t="s">
        <v>490</v>
      </c>
      <c r="D19" s="88" t="s">
        <v>491</v>
      </c>
      <c r="E19" s="88" t="s">
        <v>492</v>
      </c>
      <c r="F19" s="89" t="s">
        <v>483</v>
      </c>
      <c r="G19" s="89" t="s">
        <v>468</v>
      </c>
      <c r="H19" s="89">
        <v>1</v>
      </c>
      <c r="I19" s="91" t="str">
        <f>IF(COUNTIF(J19:AW19,"&lt;&gt;")=0,"",SUMPRODUCT(((Recommendations[ImplStatus]="Implemented")+(Recommendations[ImplStatus]="Compensated"))*ISNUMBER(MATCH(Recommendations[Id],J19:AW19,0)))/COUNTIF(J19:AW19,"&lt;&gt;"))</f>
        <v/>
      </c>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477</v>
      </c>
      <c r="B20" s="84" t="s">
        <v>493</v>
      </c>
      <c r="C20" s="86" t="s">
        <v>494</v>
      </c>
      <c r="D20" s="88" t="s">
        <v>495</v>
      </c>
      <c r="E20" s="88" t="s">
        <v>496</v>
      </c>
      <c r="F20" s="89" t="s">
        <v>483</v>
      </c>
      <c r="G20" s="89" t="s">
        <v>468</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477</v>
      </c>
      <c r="B21" s="84" t="s">
        <v>497</v>
      </c>
      <c r="C21" s="86" t="s">
        <v>498</v>
      </c>
      <c r="D21" s="88" t="s">
        <v>499</v>
      </c>
      <c r="E21" s="88" t="s">
        <v>500</v>
      </c>
      <c r="F21" s="89" t="s">
        <v>483</v>
      </c>
      <c r="G21" s="89" t="s">
        <v>468</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477</v>
      </c>
      <c r="B22" s="84" t="s">
        <v>501</v>
      </c>
      <c r="C22" s="86" t="s">
        <v>502</v>
      </c>
      <c r="D22" s="88" t="s">
        <v>503</v>
      </c>
      <c r="E22" s="88" t="s">
        <v>504</v>
      </c>
      <c r="F22" s="89" t="s">
        <v>483</v>
      </c>
      <c r="G22" s="89" t="s">
        <v>468</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477</v>
      </c>
      <c r="B23" s="84" t="s">
        <v>505</v>
      </c>
      <c r="C23" s="86" t="s">
        <v>506</v>
      </c>
      <c r="D23" s="88" t="s">
        <v>507</v>
      </c>
      <c r="E23" s="88" t="s">
        <v>508</v>
      </c>
      <c r="F23" s="89" t="s">
        <v>483</v>
      </c>
      <c r="G23" s="89" t="s">
        <v>426</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477</v>
      </c>
      <c r="B24" s="84" t="s">
        <v>509</v>
      </c>
      <c r="C24" s="86" t="s">
        <v>510</v>
      </c>
      <c r="D24" s="88" t="s">
        <v>511</v>
      </c>
      <c r="E24" s="88" t="s">
        <v>512</v>
      </c>
      <c r="F24" s="89" t="s">
        <v>483</v>
      </c>
      <c r="G24" s="89" t="s">
        <v>426</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477</v>
      </c>
      <c r="B25" s="84" t="s">
        <v>513</v>
      </c>
      <c r="C25" s="86" t="s">
        <v>514</v>
      </c>
      <c r="D25" s="88" t="s">
        <v>515</v>
      </c>
      <c r="E25" s="88" t="s">
        <v>516</v>
      </c>
      <c r="F25" s="89" t="s">
        <v>483</v>
      </c>
      <c r="G25" s="89" t="s">
        <v>468</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477</v>
      </c>
      <c r="B26" s="84" t="s">
        <v>517</v>
      </c>
      <c r="C26" s="86" t="s">
        <v>518</v>
      </c>
      <c r="D26" s="88" t="s">
        <v>519</v>
      </c>
      <c r="E26" s="88" t="s">
        <v>520</v>
      </c>
      <c r="F26" s="89" t="s">
        <v>483</v>
      </c>
      <c r="G26" s="89" t="s">
        <v>468</v>
      </c>
      <c r="H26" s="89">
        <v>2</v>
      </c>
      <c r="I26" s="91">
        <f>IF(COUNTIF(J26:AW26,"&lt;&gt;")=0,"",SUMPRODUCT(((Recommendations[ImplStatus]="Implemented")+(Recommendations[ImplStatus]="Compensated"))*ISNUMBER(MATCH(Recommendations[Id],J26:AW26,0)))/COUNTIF(J26:AW26,"&lt;&gt;"))</f>
        <v>0</v>
      </c>
      <c r="J26" s="93" t="s">
        <v>14</v>
      </c>
      <c r="K26" s="93" t="s">
        <v>31</v>
      </c>
      <c r="L26" s="93" t="s">
        <v>41</v>
      </c>
      <c r="M26" s="93" t="s">
        <v>44</v>
      </c>
      <c r="N26" s="93" t="s">
        <v>47</v>
      </c>
      <c r="O26" s="93" t="s">
        <v>50</v>
      </c>
      <c r="P26" s="93" t="s">
        <v>61</v>
      </c>
      <c r="Q26" s="93" t="s">
        <v>83</v>
      </c>
      <c r="R26" s="93" t="s">
        <v>108</v>
      </c>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477</v>
      </c>
      <c r="B27" s="84" t="s">
        <v>521</v>
      </c>
      <c r="C27" s="86" t="s">
        <v>522</v>
      </c>
      <c r="D27" s="88" t="s">
        <v>523</v>
      </c>
      <c r="E27" s="88" t="s">
        <v>524</v>
      </c>
      <c r="F27" s="89" t="s">
        <v>483</v>
      </c>
      <c r="G27" s="89" t="s">
        <v>468</v>
      </c>
      <c r="H27" s="89">
        <v>2</v>
      </c>
      <c r="I27" s="91" t="str">
        <f>IF(COUNTIF(J27:AW27,"&lt;&gt;")=0,"",SUMPRODUCT(((Recommendations[ImplStatus]="Implemented")+(Recommendations[ImplStatus]="Compensated"))*ISNUMBER(MATCH(Recommendations[Id],J27:AW27,0)))/COUNTIF(J27:AW27,"&lt;&gt;"))</f>
        <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477</v>
      </c>
      <c r="B28" s="84" t="s">
        <v>525</v>
      </c>
      <c r="C28" s="86" t="s">
        <v>526</v>
      </c>
      <c r="D28" s="88" t="s">
        <v>527</v>
      </c>
      <c r="E28" s="88" t="s">
        <v>528</v>
      </c>
      <c r="F28" s="89" t="s">
        <v>483</v>
      </c>
      <c r="G28" s="89" t="s">
        <v>468</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477</v>
      </c>
      <c r="B29" s="84" t="s">
        <v>529</v>
      </c>
      <c r="C29" s="86" t="s">
        <v>530</v>
      </c>
      <c r="D29" s="88" t="s">
        <v>531</v>
      </c>
      <c r="E29" s="88" t="s">
        <v>532</v>
      </c>
      <c r="F29" s="89" t="s">
        <v>483</v>
      </c>
      <c r="G29" s="89" t="s">
        <v>468</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477</v>
      </c>
      <c r="B30" s="84" t="s">
        <v>533</v>
      </c>
      <c r="C30" s="86" t="s">
        <v>534</v>
      </c>
      <c r="D30" s="88" t="s">
        <v>535</v>
      </c>
      <c r="E30" s="88" t="s">
        <v>536</v>
      </c>
      <c r="F30" s="89" t="s">
        <v>483</v>
      </c>
      <c r="G30" s="89" t="s">
        <v>436</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537</v>
      </c>
      <c r="B31" s="83">
        <v>4</v>
      </c>
      <c r="C31" s="85" t="s">
        <v>21</v>
      </c>
      <c r="D31" s="87" t="s">
        <v>538</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537</v>
      </c>
      <c r="B32" s="84" t="s">
        <v>539</v>
      </c>
      <c r="C32" s="86" t="s">
        <v>540</v>
      </c>
      <c r="D32" s="88" t="s">
        <v>541</v>
      </c>
      <c r="E32" s="88" t="s">
        <v>542</v>
      </c>
      <c r="F32" s="89" t="s">
        <v>543</v>
      </c>
      <c r="G32" s="89" t="s">
        <v>484</v>
      </c>
      <c r="H32" s="89">
        <v>1</v>
      </c>
      <c r="I32" s="91">
        <f>IF(COUNTIF(J32:AW32,"&lt;&gt;")=0,"",SUMPRODUCT(((Recommendations[ImplStatus]="Implemented")+(Recommendations[ImplStatus]="Compensated"))*ISNUMBER(MATCH(Recommendations[Id],J32:AW32,0)))/COUNTIF(J32:AW32,"&lt;&gt;"))</f>
        <v>0</v>
      </c>
      <c r="J32" s="93" t="s">
        <v>119</v>
      </c>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537</v>
      </c>
      <c r="B33" s="84" t="s">
        <v>544</v>
      </c>
      <c r="C33" s="86" t="s">
        <v>545</v>
      </c>
      <c r="D33" s="88" t="s">
        <v>546</v>
      </c>
      <c r="E33" s="88" t="s">
        <v>547</v>
      </c>
      <c r="F33" s="89" t="s">
        <v>543</v>
      </c>
      <c r="G33" s="89" t="s">
        <v>484</v>
      </c>
      <c r="H33" s="89">
        <v>1</v>
      </c>
      <c r="I33" s="91" t="str">
        <f>IF(COUNTIF(J33:AW33,"&lt;&gt;")=0,"",SUMPRODUCT(((Recommendations[ImplStatus]="Implemented")+(Recommendations[ImplStatus]="Compensated"))*ISNUMBER(MATCH(Recommendations[Id],J33:AW33,0)))/COUNTIF(J33:AW33,"&lt;&gt;"))</f>
        <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537</v>
      </c>
      <c r="B34" s="84" t="s">
        <v>548</v>
      </c>
      <c r="C34" s="86" t="s">
        <v>549</v>
      </c>
      <c r="D34" s="88" t="s">
        <v>550</v>
      </c>
      <c r="E34" s="88" t="s">
        <v>551</v>
      </c>
      <c r="F34" s="89" t="s">
        <v>425</v>
      </c>
      <c r="G34" s="89" t="s">
        <v>468</v>
      </c>
      <c r="H34" s="89">
        <v>1</v>
      </c>
      <c r="I34" s="91" t="str">
        <f>IF(COUNTIF(J34:AW34,"&lt;&gt;")=0,"",SUMPRODUCT(((Recommendations[ImplStatus]="Implemented")+(Recommendations[ImplStatus]="Compensated"))*ISNUMBER(MATCH(Recommendations[Id],J34:AW34,0)))/COUNTIF(J34:AW34,"&lt;&gt;"))</f>
        <v/>
      </c>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537</v>
      </c>
      <c r="B35" s="84" t="s">
        <v>552</v>
      </c>
      <c r="C35" s="86" t="s">
        <v>553</v>
      </c>
      <c r="D35" s="88" t="s">
        <v>554</v>
      </c>
      <c r="E35" s="88" t="s">
        <v>555</v>
      </c>
      <c r="F35" s="89" t="s">
        <v>425</v>
      </c>
      <c r="G35" s="89" t="s">
        <v>468</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537</v>
      </c>
      <c r="B36" s="84" t="s">
        <v>556</v>
      </c>
      <c r="C36" s="86" t="s">
        <v>557</v>
      </c>
      <c r="D36" s="88" t="s">
        <v>558</v>
      </c>
      <c r="E36" s="88" t="s">
        <v>559</v>
      </c>
      <c r="F36" s="89" t="s">
        <v>425</v>
      </c>
      <c r="G36" s="89" t="s">
        <v>468</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537</v>
      </c>
      <c r="B37" s="84" t="s">
        <v>560</v>
      </c>
      <c r="C37" s="86" t="s">
        <v>561</v>
      </c>
      <c r="D37" s="88" t="s">
        <v>562</v>
      </c>
      <c r="E37" s="88" t="s">
        <v>563</v>
      </c>
      <c r="F37" s="89" t="s">
        <v>425</v>
      </c>
      <c r="G37" s="89" t="s">
        <v>468</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537</v>
      </c>
      <c r="B38" s="84" t="s">
        <v>564</v>
      </c>
      <c r="C38" s="86" t="s">
        <v>565</v>
      </c>
      <c r="D38" s="88" t="s">
        <v>566</v>
      </c>
      <c r="E38" s="88" t="s">
        <v>567</v>
      </c>
      <c r="F38" s="89" t="s">
        <v>568</v>
      </c>
      <c r="G38" s="89" t="s">
        <v>468</v>
      </c>
      <c r="H38" s="89">
        <v>1</v>
      </c>
      <c r="I38" s="91" t="str">
        <f>IF(COUNTIF(J38:AW38,"&lt;&gt;")=0,"",SUMPRODUCT(((Recommendations[ImplStatus]="Implemented")+(Recommendations[ImplStatus]="Compensated"))*ISNUMBER(MATCH(Recommendations[Id],J38:AW38,0)))/COUNTIF(J38:AW38,"&lt;&gt;"))</f>
        <v/>
      </c>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537</v>
      </c>
      <c r="B39" s="84" t="s">
        <v>569</v>
      </c>
      <c r="C39" s="86" t="s">
        <v>570</v>
      </c>
      <c r="D39" s="88" t="s">
        <v>571</v>
      </c>
      <c r="E39" s="88" t="s">
        <v>572</v>
      </c>
      <c r="F39" s="89" t="s">
        <v>425</v>
      </c>
      <c r="G39" s="89" t="s">
        <v>468</v>
      </c>
      <c r="H39" s="89">
        <v>2</v>
      </c>
      <c r="I39" s="91">
        <f>IF(COUNTIF(J39:AW39,"&lt;&gt;")=0,"",SUMPRODUCT(((Recommendations[ImplStatus]="Implemented")+(Recommendations[ImplStatus]="Compensated"))*ISNUMBER(MATCH(Recommendations[Id],J39:AW39,0)))/COUNTIF(J39:AW39,"&lt;&gt;"))</f>
        <v>0</v>
      </c>
      <c r="J39" s="93" t="s">
        <v>67</v>
      </c>
      <c r="K39" s="93" t="s">
        <v>87</v>
      </c>
      <c r="L39" s="93" t="s">
        <v>92</v>
      </c>
      <c r="M39" s="93" t="s">
        <v>114</v>
      </c>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537</v>
      </c>
      <c r="B40" s="84" t="s">
        <v>573</v>
      </c>
      <c r="C40" s="86" t="s">
        <v>574</v>
      </c>
      <c r="D40" s="88" t="s">
        <v>575</v>
      </c>
      <c r="E40" s="88" t="s">
        <v>576</v>
      </c>
      <c r="F40" s="89" t="s">
        <v>425</v>
      </c>
      <c r="G40" s="89" t="s">
        <v>468</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537</v>
      </c>
      <c r="B41" s="84" t="s">
        <v>577</v>
      </c>
      <c r="C41" s="86" t="s">
        <v>578</v>
      </c>
      <c r="D41" s="88" t="s">
        <v>579</v>
      </c>
      <c r="E41" s="88" t="s">
        <v>580</v>
      </c>
      <c r="F41" s="89" t="s">
        <v>425</v>
      </c>
      <c r="G41" s="89" t="s">
        <v>468</v>
      </c>
      <c r="H41" s="89">
        <v>2</v>
      </c>
      <c r="I41" s="91" t="str">
        <f>IF(COUNTIF(J41:AW41,"&lt;&gt;")=0,"",SUMPRODUCT(((Recommendations[ImplStatus]="Implemented")+(Recommendations[ImplStatus]="Compensated"))*ISNUMBER(MATCH(Recommendations[Id],J41:AW41,0)))/COUNTIF(J41:AW41,"&lt;&gt;"))</f>
        <v/>
      </c>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537</v>
      </c>
      <c r="B42" s="84" t="s">
        <v>581</v>
      </c>
      <c r="C42" s="86" t="s">
        <v>582</v>
      </c>
      <c r="D42" s="88" t="s">
        <v>583</v>
      </c>
      <c r="E42" s="88" t="s">
        <v>584</v>
      </c>
      <c r="F42" s="89" t="s">
        <v>483</v>
      </c>
      <c r="G42" s="89" t="s">
        <v>468</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537</v>
      </c>
      <c r="B43" s="84" t="s">
        <v>585</v>
      </c>
      <c r="C43" s="86" t="s">
        <v>586</v>
      </c>
      <c r="D43" s="88" t="s">
        <v>587</v>
      </c>
      <c r="E43" s="88" t="s">
        <v>588</v>
      </c>
      <c r="F43" s="89" t="s">
        <v>483</v>
      </c>
      <c r="G43" s="89" t="s">
        <v>468</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589</v>
      </c>
      <c r="B44" s="83">
        <v>5</v>
      </c>
      <c r="C44" s="85" t="s">
        <v>21</v>
      </c>
      <c r="D44" s="87" t="s">
        <v>590</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589</v>
      </c>
      <c r="B45" s="84" t="s">
        <v>591</v>
      </c>
      <c r="C45" s="86" t="s">
        <v>592</v>
      </c>
      <c r="D45" s="88" t="s">
        <v>593</v>
      </c>
      <c r="E45" s="88" t="s">
        <v>594</v>
      </c>
      <c r="F45" s="89" t="s">
        <v>568</v>
      </c>
      <c r="G45" s="89" t="s">
        <v>426</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589</v>
      </c>
      <c r="B46" s="84" t="s">
        <v>595</v>
      </c>
      <c r="C46" s="86" t="s">
        <v>596</v>
      </c>
      <c r="D46" s="88" t="s">
        <v>597</v>
      </c>
      <c r="E46" s="88" t="s">
        <v>598</v>
      </c>
      <c r="F46" s="89" t="s">
        <v>568</v>
      </c>
      <c r="G46" s="89" t="s">
        <v>468</v>
      </c>
      <c r="H46" s="89">
        <v>1</v>
      </c>
      <c r="I46" s="91" t="str">
        <f>IF(COUNTIF(J46:AW46,"&lt;&gt;")=0,"",SUMPRODUCT(((Recommendations[ImplStatus]="Implemented")+(Recommendations[ImplStatus]="Compensated"))*ISNUMBER(MATCH(Recommendations[Id],J46:AW46,0)))/COUNTIF(J46:AW46,"&lt;&gt;"))</f>
        <v/>
      </c>
      <c r="J46" s="93"/>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589</v>
      </c>
      <c r="B47" s="84" t="s">
        <v>599</v>
      </c>
      <c r="C47" s="86" t="s">
        <v>600</v>
      </c>
      <c r="D47" s="88" t="s">
        <v>601</v>
      </c>
      <c r="E47" s="88" t="s">
        <v>602</v>
      </c>
      <c r="F47" s="89" t="s">
        <v>568</v>
      </c>
      <c r="G47" s="89" t="s">
        <v>468</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589</v>
      </c>
      <c r="B48" s="84" t="s">
        <v>603</v>
      </c>
      <c r="C48" s="86" t="s">
        <v>604</v>
      </c>
      <c r="D48" s="88" t="s">
        <v>605</v>
      </c>
      <c r="E48" s="88" t="s">
        <v>606</v>
      </c>
      <c r="F48" s="89" t="s">
        <v>568</v>
      </c>
      <c r="G48" s="89" t="s">
        <v>468</v>
      </c>
      <c r="H48" s="89">
        <v>1</v>
      </c>
      <c r="I48" s="91" t="str">
        <f>IF(COUNTIF(J48:AW48,"&lt;&gt;")=0,"",SUMPRODUCT(((Recommendations[ImplStatus]="Implemented")+(Recommendations[ImplStatus]="Compensated"))*ISNUMBER(MATCH(Recommendations[Id],J48:AW48,0)))/COUNTIF(J48:AW48,"&lt;&gt;"))</f>
        <v/>
      </c>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589</v>
      </c>
      <c r="B49" s="84" t="s">
        <v>607</v>
      </c>
      <c r="C49" s="86" t="s">
        <v>608</v>
      </c>
      <c r="D49" s="88" t="s">
        <v>609</v>
      </c>
      <c r="E49" s="88" t="s">
        <v>610</v>
      </c>
      <c r="F49" s="89" t="s">
        <v>568</v>
      </c>
      <c r="G49" s="89" t="s">
        <v>426</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589</v>
      </c>
      <c r="B50" s="84" t="s">
        <v>611</v>
      </c>
      <c r="C50" s="86" t="s">
        <v>612</v>
      </c>
      <c r="D50" s="88" t="s">
        <v>613</v>
      </c>
      <c r="E50" s="88" t="s">
        <v>614</v>
      </c>
      <c r="F50" s="89" t="s">
        <v>568</v>
      </c>
      <c r="G50" s="89" t="s">
        <v>484</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615</v>
      </c>
      <c r="B51" s="83">
        <v>6</v>
      </c>
      <c r="C51" s="85" t="s">
        <v>21</v>
      </c>
      <c r="D51" s="87" t="s">
        <v>616</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615</v>
      </c>
      <c r="B52" s="84" t="s">
        <v>617</v>
      </c>
      <c r="C52" s="86" t="s">
        <v>618</v>
      </c>
      <c r="D52" s="88" t="s">
        <v>619</v>
      </c>
      <c r="E52" s="88" t="s">
        <v>620</v>
      </c>
      <c r="F52" s="89" t="s">
        <v>543</v>
      </c>
      <c r="G52" s="89" t="s">
        <v>484</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615</v>
      </c>
      <c r="B53" s="84" t="s">
        <v>621</v>
      </c>
      <c r="C53" s="86" t="s">
        <v>622</v>
      </c>
      <c r="D53" s="88" t="s">
        <v>623</v>
      </c>
      <c r="E53" s="88" t="s">
        <v>624</v>
      </c>
      <c r="F53" s="89" t="s">
        <v>543</v>
      </c>
      <c r="G53" s="89" t="s">
        <v>484</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615</v>
      </c>
      <c r="B54" s="84" t="s">
        <v>625</v>
      </c>
      <c r="C54" s="86" t="s">
        <v>626</v>
      </c>
      <c r="D54" s="88" t="s">
        <v>627</v>
      </c>
      <c r="E54" s="88" t="s">
        <v>628</v>
      </c>
      <c r="F54" s="89" t="s">
        <v>568</v>
      </c>
      <c r="G54" s="89" t="s">
        <v>468</v>
      </c>
      <c r="H54" s="89">
        <v>1</v>
      </c>
      <c r="I54" s="91" t="str">
        <f>IF(COUNTIF(J54:AW54,"&lt;&gt;")=0,"",SUMPRODUCT(((Recommendations[ImplStatus]="Implemented")+(Recommendations[ImplStatus]="Compensated"))*ISNUMBER(MATCH(Recommendations[Id],J54:AW54,0)))/COUNTIF(J54:AW54,"&lt;&gt;"))</f>
        <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615</v>
      </c>
      <c r="B55" s="84" t="s">
        <v>629</v>
      </c>
      <c r="C55" s="86" t="s">
        <v>630</v>
      </c>
      <c r="D55" s="88" t="s">
        <v>631</v>
      </c>
      <c r="E55" s="88" t="s">
        <v>632</v>
      </c>
      <c r="F55" s="89" t="s">
        <v>568</v>
      </c>
      <c r="G55" s="89" t="s">
        <v>468</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615</v>
      </c>
      <c r="B56" s="84" t="s">
        <v>633</v>
      </c>
      <c r="C56" s="86" t="s">
        <v>634</v>
      </c>
      <c r="D56" s="88" t="s">
        <v>635</v>
      </c>
      <c r="E56" s="88" t="s">
        <v>636</v>
      </c>
      <c r="F56" s="89" t="s">
        <v>568</v>
      </c>
      <c r="G56" s="89" t="s">
        <v>468</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615</v>
      </c>
      <c r="B57" s="84" t="s">
        <v>637</v>
      </c>
      <c r="C57" s="86" t="s">
        <v>638</v>
      </c>
      <c r="D57" s="88" t="s">
        <v>639</v>
      </c>
      <c r="E57" s="88" t="s">
        <v>640</v>
      </c>
      <c r="F57" s="89" t="s">
        <v>451</v>
      </c>
      <c r="G57" s="89" t="s">
        <v>426</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615</v>
      </c>
      <c r="B58" s="84" t="s">
        <v>641</v>
      </c>
      <c r="C58" s="86" t="s">
        <v>642</v>
      </c>
      <c r="D58" s="88" t="s">
        <v>643</v>
      </c>
      <c r="E58" s="88" t="s">
        <v>644</v>
      </c>
      <c r="F58" s="89" t="s">
        <v>568</v>
      </c>
      <c r="G58" s="89" t="s">
        <v>468</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615</v>
      </c>
      <c r="B59" s="84" t="s">
        <v>645</v>
      </c>
      <c r="C59" s="86" t="s">
        <v>646</v>
      </c>
      <c r="D59" s="88" t="s">
        <v>647</v>
      </c>
      <c r="E59" s="88" t="s">
        <v>648</v>
      </c>
      <c r="F59" s="89" t="s">
        <v>568</v>
      </c>
      <c r="G59" s="89" t="s">
        <v>484</v>
      </c>
      <c r="H59" s="89">
        <v>3</v>
      </c>
      <c r="I59" s="91" t="str">
        <f>IF(COUNTIF(J59:AW59,"&lt;&gt;")=0,"",SUMPRODUCT(((Recommendations[ImplStatus]="Implemented")+(Recommendations[ImplStatus]="Compensated"))*ISNUMBER(MATCH(Recommendations[Id],J59:AW59,0)))/COUNTIF(J59:AW59,"&lt;&gt;"))</f>
        <v/>
      </c>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649</v>
      </c>
      <c r="B60" s="83">
        <v>7</v>
      </c>
      <c r="C60" s="85" t="s">
        <v>21</v>
      </c>
      <c r="D60" s="87" t="s">
        <v>650</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649</v>
      </c>
      <c r="B61" s="84" t="s">
        <v>651</v>
      </c>
      <c r="C61" s="86" t="s">
        <v>652</v>
      </c>
      <c r="D61" s="88" t="s">
        <v>653</v>
      </c>
      <c r="E61" s="88" t="s">
        <v>654</v>
      </c>
      <c r="F61" s="89" t="s">
        <v>543</v>
      </c>
      <c r="G61" s="89" t="s">
        <v>484</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649</v>
      </c>
      <c r="B62" s="84" t="s">
        <v>655</v>
      </c>
      <c r="C62" s="86" t="s">
        <v>656</v>
      </c>
      <c r="D62" s="88" t="s">
        <v>657</v>
      </c>
      <c r="E62" s="88" t="s">
        <v>658</v>
      </c>
      <c r="F62" s="89" t="s">
        <v>543</v>
      </c>
      <c r="G62" s="89" t="s">
        <v>484</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649</v>
      </c>
      <c r="B63" s="84" t="s">
        <v>659</v>
      </c>
      <c r="C63" s="86" t="s">
        <v>660</v>
      </c>
      <c r="D63" s="88" t="s">
        <v>661</v>
      </c>
      <c r="E63" s="88" t="s">
        <v>662</v>
      </c>
      <c r="F63" s="89" t="s">
        <v>451</v>
      </c>
      <c r="G63" s="89" t="s">
        <v>468</v>
      </c>
      <c r="H63" s="89">
        <v>1</v>
      </c>
      <c r="I63" s="91" t="str">
        <f>IF(COUNTIF(J63:AW63,"&lt;&gt;")=0,"",SUMPRODUCT(((Recommendations[ImplStatus]="Implemented")+(Recommendations[ImplStatus]="Compensated"))*ISNUMBER(MATCH(Recommendations[Id],J63:AW63,0)))/COUNTIF(J63:AW63,"&lt;&gt;"))</f>
        <v/>
      </c>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649</v>
      </c>
      <c r="B64" s="84" t="s">
        <v>663</v>
      </c>
      <c r="C64" s="86" t="s">
        <v>664</v>
      </c>
      <c r="D64" s="88" t="s">
        <v>665</v>
      </c>
      <c r="E64" s="88" t="s">
        <v>666</v>
      </c>
      <c r="F64" s="89" t="s">
        <v>451</v>
      </c>
      <c r="G64" s="89" t="s">
        <v>468</v>
      </c>
      <c r="H64" s="89">
        <v>1</v>
      </c>
      <c r="I64" s="91" t="str">
        <f>IF(COUNTIF(J64:AW64,"&lt;&gt;")=0,"",SUMPRODUCT(((Recommendations[ImplStatus]="Implemented")+(Recommendations[ImplStatus]="Compensated"))*ISNUMBER(MATCH(Recommendations[Id],J64:AW64,0)))/COUNTIF(J64:AW64,"&lt;&gt;"))</f>
        <v/>
      </c>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649</v>
      </c>
      <c r="B65" s="84" t="s">
        <v>667</v>
      </c>
      <c r="C65" s="86" t="s">
        <v>668</v>
      </c>
      <c r="D65" s="88" t="s">
        <v>669</v>
      </c>
      <c r="E65" s="88" t="s">
        <v>670</v>
      </c>
      <c r="F65" s="89" t="s">
        <v>451</v>
      </c>
      <c r="G65" s="89" t="s">
        <v>426</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649</v>
      </c>
      <c r="B66" s="84" t="s">
        <v>671</v>
      </c>
      <c r="C66" s="86" t="s">
        <v>672</v>
      </c>
      <c r="D66" s="88" t="s">
        <v>673</v>
      </c>
      <c r="E66" s="88" t="s">
        <v>674</v>
      </c>
      <c r="F66" s="89" t="s">
        <v>451</v>
      </c>
      <c r="G66" s="89" t="s">
        <v>426</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649</v>
      </c>
      <c r="B67" s="84" t="s">
        <v>675</v>
      </c>
      <c r="C67" s="86" t="s">
        <v>676</v>
      </c>
      <c r="D67" s="88" t="s">
        <v>677</v>
      </c>
      <c r="E67" s="88" t="s">
        <v>678</v>
      </c>
      <c r="F67" s="89" t="s">
        <v>451</v>
      </c>
      <c r="G67" s="89" t="s">
        <v>431</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679</v>
      </c>
      <c r="B68" s="83">
        <v>8</v>
      </c>
      <c r="C68" s="85" t="s">
        <v>21</v>
      </c>
      <c r="D68" s="87" t="s">
        <v>680</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679</v>
      </c>
      <c r="B69" s="84" t="s">
        <v>681</v>
      </c>
      <c r="C69" s="86" t="s">
        <v>682</v>
      </c>
      <c r="D69" s="88" t="s">
        <v>683</v>
      </c>
      <c r="E69" s="88" t="s">
        <v>684</v>
      </c>
      <c r="F69" s="89" t="s">
        <v>543</v>
      </c>
      <c r="G69" s="89" t="s">
        <v>484</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679</v>
      </c>
      <c r="B70" s="84" t="s">
        <v>685</v>
      </c>
      <c r="C70" s="86" t="s">
        <v>686</v>
      </c>
      <c r="D70" s="88" t="s">
        <v>687</v>
      </c>
      <c r="E70" s="88" t="s">
        <v>688</v>
      </c>
      <c r="F70" s="89" t="s">
        <v>483</v>
      </c>
      <c r="G70" s="89" t="s">
        <v>436</v>
      </c>
      <c r="H70" s="89">
        <v>1</v>
      </c>
      <c r="I70" s="91" t="str">
        <f>IF(COUNTIF(J70:AW70,"&lt;&gt;")=0,"",SUMPRODUCT(((Recommendations[ImplStatus]="Implemented")+(Recommendations[ImplStatus]="Compensated"))*ISNUMBER(MATCH(Recommendations[Id],J70:AW70,0)))/COUNTIF(J70:AW70,"&lt;&gt;"))</f>
        <v/>
      </c>
      <c r="J70" s="93"/>
      <c r="K70" s="93"/>
      <c r="L70" s="93"/>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679</v>
      </c>
      <c r="B71" s="84" t="s">
        <v>689</v>
      </c>
      <c r="C71" s="86" t="s">
        <v>690</v>
      </c>
      <c r="D71" s="88" t="s">
        <v>691</v>
      </c>
      <c r="E71" s="88" t="s">
        <v>692</v>
      </c>
      <c r="F71" s="89" t="s">
        <v>483</v>
      </c>
      <c r="G71" s="89" t="s">
        <v>468</v>
      </c>
      <c r="H71" s="89">
        <v>1</v>
      </c>
      <c r="I71" s="91" t="str">
        <f>IF(COUNTIF(J71:AW71,"&lt;&gt;")=0,"",SUMPRODUCT(((Recommendations[ImplStatus]="Implemented")+(Recommendations[ImplStatus]="Compensated"))*ISNUMBER(MATCH(Recommendations[Id],J71:AW71,0)))/COUNTIF(J71:AW71,"&lt;&gt;"))</f>
        <v/>
      </c>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679</v>
      </c>
      <c r="B72" s="84" t="s">
        <v>693</v>
      </c>
      <c r="C72" s="86" t="s">
        <v>694</v>
      </c>
      <c r="D72" s="88" t="s">
        <v>695</v>
      </c>
      <c r="E72" s="88" t="s">
        <v>696</v>
      </c>
      <c r="F72" s="89" t="s">
        <v>697</v>
      </c>
      <c r="G72" s="89" t="s">
        <v>468</v>
      </c>
      <c r="H72" s="89">
        <v>2</v>
      </c>
      <c r="I72" s="91" t="str">
        <f>IF(COUNTIF(J72:AW72,"&lt;&gt;")=0,"",SUMPRODUCT(((Recommendations[ImplStatus]="Implemented")+(Recommendations[ImplStatus]="Compensated"))*ISNUMBER(MATCH(Recommendations[Id],J72:AW72,0)))/COUNTIF(J72:AW72,"&lt;&gt;"))</f>
        <v/>
      </c>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679</v>
      </c>
      <c r="B73" s="84" t="s">
        <v>698</v>
      </c>
      <c r="C73" s="86" t="s">
        <v>699</v>
      </c>
      <c r="D73" s="88" t="s">
        <v>700</v>
      </c>
      <c r="E73" s="88" t="s">
        <v>701</v>
      </c>
      <c r="F73" s="89" t="s">
        <v>483</v>
      </c>
      <c r="G73" s="89" t="s">
        <v>436</v>
      </c>
      <c r="H73" s="89">
        <v>2</v>
      </c>
      <c r="I73" s="91" t="str">
        <f>IF(COUNTIF(J73:AW73,"&lt;&gt;")=0,"",SUMPRODUCT(((Recommendations[ImplStatus]="Implemented")+(Recommendations[ImplStatus]="Compensated"))*ISNUMBER(MATCH(Recommendations[Id],J73:AW73,0)))/COUNTIF(J73:AW73,"&lt;&gt;"))</f>
        <v/>
      </c>
      <c r="J73" s="93"/>
      <c r="K73" s="93"/>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679</v>
      </c>
      <c r="B74" s="84" t="s">
        <v>702</v>
      </c>
      <c r="C74" s="86" t="s">
        <v>703</v>
      </c>
      <c r="D74" s="88" t="s">
        <v>704</v>
      </c>
      <c r="E74" s="88" t="s">
        <v>705</v>
      </c>
      <c r="F74" s="89" t="s">
        <v>483</v>
      </c>
      <c r="G74" s="89" t="s">
        <v>436</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679</v>
      </c>
      <c r="B75" s="84" t="s">
        <v>706</v>
      </c>
      <c r="C75" s="86" t="s">
        <v>707</v>
      </c>
      <c r="D75" s="88" t="s">
        <v>708</v>
      </c>
      <c r="E75" s="88" t="s">
        <v>709</v>
      </c>
      <c r="F75" s="89" t="s">
        <v>483</v>
      </c>
      <c r="G75" s="89" t="s">
        <v>436</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679</v>
      </c>
      <c r="B76" s="84" t="s">
        <v>710</v>
      </c>
      <c r="C76" s="86" t="s">
        <v>711</v>
      </c>
      <c r="D76" s="88" t="s">
        <v>712</v>
      </c>
      <c r="E76" s="88" t="s">
        <v>713</v>
      </c>
      <c r="F76" s="89" t="s">
        <v>483</v>
      </c>
      <c r="G76" s="89" t="s">
        <v>436</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679</v>
      </c>
      <c r="B77" s="84" t="s">
        <v>714</v>
      </c>
      <c r="C77" s="86" t="s">
        <v>715</v>
      </c>
      <c r="D77" s="88" t="s">
        <v>716</v>
      </c>
      <c r="E77" s="88" t="s">
        <v>717</v>
      </c>
      <c r="F77" s="89" t="s">
        <v>483</v>
      </c>
      <c r="G77" s="89" t="s">
        <v>436</v>
      </c>
      <c r="H77" s="89">
        <v>2</v>
      </c>
      <c r="I77" s="91" t="str">
        <f>IF(COUNTIF(J77:AW77,"&lt;&gt;")=0,"",SUMPRODUCT(((Recommendations[ImplStatus]="Implemented")+(Recommendations[ImplStatus]="Compensated"))*ISNUMBER(MATCH(Recommendations[Id],J77:AW77,0)))/COUNTIF(J77:AW77,"&lt;&gt;"))</f>
        <v/>
      </c>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679</v>
      </c>
      <c r="B78" s="84" t="s">
        <v>718</v>
      </c>
      <c r="C78" s="86" t="s">
        <v>719</v>
      </c>
      <c r="D78" s="88" t="s">
        <v>720</v>
      </c>
      <c r="E78" s="88" t="s">
        <v>721</v>
      </c>
      <c r="F78" s="89" t="s">
        <v>483</v>
      </c>
      <c r="G78" s="89" t="s">
        <v>468</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679</v>
      </c>
      <c r="B79" s="84" t="s">
        <v>722</v>
      </c>
      <c r="C79" s="86" t="s">
        <v>723</v>
      </c>
      <c r="D79" s="88" t="s">
        <v>724</v>
      </c>
      <c r="E79" s="88" t="s">
        <v>725</v>
      </c>
      <c r="F79" s="89" t="s">
        <v>483</v>
      </c>
      <c r="G79" s="89" t="s">
        <v>436</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679</v>
      </c>
      <c r="B80" s="84" t="s">
        <v>726</v>
      </c>
      <c r="C80" s="86" t="s">
        <v>727</v>
      </c>
      <c r="D80" s="88" t="s">
        <v>728</v>
      </c>
      <c r="E80" s="88" t="s">
        <v>729</v>
      </c>
      <c r="F80" s="89" t="s">
        <v>483</v>
      </c>
      <c r="G80" s="89" t="s">
        <v>436</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730</v>
      </c>
      <c r="B81" s="83">
        <v>9</v>
      </c>
      <c r="C81" s="85" t="s">
        <v>21</v>
      </c>
      <c r="D81" s="87" t="s">
        <v>731</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730</v>
      </c>
      <c r="B82" s="84" t="s">
        <v>732</v>
      </c>
      <c r="C82" s="86" t="s">
        <v>733</v>
      </c>
      <c r="D82" s="88" t="s">
        <v>734</v>
      </c>
      <c r="E82" s="88" t="s">
        <v>735</v>
      </c>
      <c r="F82" s="89" t="s">
        <v>451</v>
      </c>
      <c r="G82" s="89" t="s">
        <v>468</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730</v>
      </c>
      <c r="B83" s="84" t="s">
        <v>736</v>
      </c>
      <c r="C83" s="86" t="s">
        <v>737</v>
      </c>
      <c r="D83" s="88" t="s">
        <v>738</v>
      </c>
      <c r="E83" s="88" t="s">
        <v>739</v>
      </c>
      <c r="F83" s="89" t="s">
        <v>425</v>
      </c>
      <c r="G83" s="89" t="s">
        <v>468</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730</v>
      </c>
      <c r="B84" s="84" t="s">
        <v>740</v>
      </c>
      <c r="C84" s="86" t="s">
        <v>741</v>
      </c>
      <c r="D84" s="88" t="s">
        <v>742</v>
      </c>
      <c r="E84" s="88" t="s">
        <v>743</v>
      </c>
      <c r="F84" s="89" t="s">
        <v>697</v>
      </c>
      <c r="G84" s="89" t="s">
        <v>468</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730</v>
      </c>
      <c r="B85" s="84" t="s">
        <v>744</v>
      </c>
      <c r="C85" s="86" t="s">
        <v>745</v>
      </c>
      <c r="D85" s="88" t="s">
        <v>746</v>
      </c>
      <c r="E85" s="88" t="s">
        <v>747</v>
      </c>
      <c r="F85" s="89" t="s">
        <v>451</v>
      </c>
      <c r="G85" s="89" t="s">
        <v>468</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730</v>
      </c>
      <c r="B86" s="84" t="s">
        <v>748</v>
      </c>
      <c r="C86" s="86" t="s">
        <v>749</v>
      </c>
      <c r="D86" s="88" t="s">
        <v>750</v>
      </c>
      <c r="E86" s="88" t="s">
        <v>751</v>
      </c>
      <c r="F86" s="89" t="s">
        <v>697</v>
      </c>
      <c r="G86" s="89" t="s">
        <v>468</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730</v>
      </c>
      <c r="B87" s="84" t="s">
        <v>752</v>
      </c>
      <c r="C87" s="86" t="s">
        <v>753</v>
      </c>
      <c r="D87" s="88" t="s">
        <v>754</v>
      </c>
      <c r="E87" s="88" t="s">
        <v>755</v>
      </c>
      <c r="F87" s="89" t="s">
        <v>697</v>
      </c>
      <c r="G87" s="89" t="s">
        <v>468</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730</v>
      </c>
      <c r="B88" s="84" t="s">
        <v>756</v>
      </c>
      <c r="C88" s="86" t="s">
        <v>757</v>
      </c>
      <c r="D88" s="88" t="s">
        <v>758</v>
      </c>
      <c r="E88" s="88" t="s">
        <v>759</v>
      </c>
      <c r="F88" s="89" t="s">
        <v>697</v>
      </c>
      <c r="G88" s="89" t="s">
        <v>468</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760</v>
      </c>
      <c r="B89" s="83">
        <v>10</v>
      </c>
      <c r="C89" s="85" t="s">
        <v>21</v>
      </c>
      <c r="D89" s="87" t="s">
        <v>761</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760</v>
      </c>
      <c r="B90" s="84" t="s">
        <v>762</v>
      </c>
      <c r="C90" s="86" t="s">
        <v>763</v>
      </c>
      <c r="D90" s="88" t="s">
        <v>764</v>
      </c>
      <c r="E90" s="88" t="s">
        <v>765</v>
      </c>
      <c r="F90" s="89" t="s">
        <v>425</v>
      </c>
      <c r="G90" s="89" t="s">
        <v>436</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760</v>
      </c>
      <c r="B91" s="84" t="s">
        <v>766</v>
      </c>
      <c r="C91" s="86" t="s">
        <v>767</v>
      </c>
      <c r="D91" s="88" t="s">
        <v>768</v>
      </c>
      <c r="E91" s="88" t="s">
        <v>769</v>
      </c>
      <c r="F91" s="89" t="s">
        <v>425</v>
      </c>
      <c r="G91" s="89" t="s">
        <v>468</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760</v>
      </c>
      <c r="B92" s="84" t="s">
        <v>770</v>
      </c>
      <c r="C92" s="86" t="s">
        <v>771</v>
      </c>
      <c r="D92" s="88" t="s">
        <v>772</v>
      </c>
      <c r="E92" s="88" t="s">
        <v>773</v>
      </c>
      <c r="F92" s="89" t="s">
        <v>425</v>
      </c>
      <c r="G92" s="89" t="s">
        <v>468</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760</v>
      </c>
      <c r="B93" s="84" t="s">
        <v>774</v>
      </c>
      <c r="C93" s="86" t="s">
        <v>775</v>
      </c>
      <c r="D93" s="88" t="s">
        <v>776</v>
      </c>
      <c r="E93" s="88" t="s">
        <v>777</v>
      </c>
      <c r="F93" s="89" t="s">
        <v>425</v>
      </c>
      <c r="G93" s="89" t="s">
        <v>436</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760</v>
      </c>
      <c r="B94" s="84" t="s">
        <v>778</v>
      </c>
      <c r="C94" s="86" t="s">
        <v>779</v>
      </c>
      <c r="D94" s="88" t="s">
        <v>780</v>
      </c>
      <c r="E94" s="88" t="s">
        <v>781</v>
      </c>
      <c r="F94" s="89" t="s">
        <v>425</v>
      </c>
      <c r="G94" s="89" t="s">
        <v>468</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760</v>
      </c>
      <c r="B95" s="84" t="s">
        <v>782</v>
      </c>
      <c r="C95" s="86" t="s">
        <v>783</v>
      </c>
      <c r="D95" s="88" t="s">
        <v>784</v>
      </c>
      <c r="E95" s="88" t="s">
        <v>785</v>
      </c>
      <c r="F95" s="89" t="s">
        <v>425</v>
      </c>
      <c r="G95" s="89" t="s">
        <v>468</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760</v>
      </c>
      <c r="B96" s="84" t="s">
        <v>786</v>
      </c>
      <c r="C96" s="86" t="s">
        <v>787</v>
      </c>
      <c r="D96" s="88" t="s">
        <v>788</v>
      </c>
      <c r="E96" s="88" t="s">
        <v>789</v>
      </c>
      <c r="F96" s="89" t="s">
        <v>425</v>
      </c>
      <c r="G96" s="89" t="s">
        <v>436</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790</v>
      </c>
      <c r="B97" s="83">
        <v>11</v>
      </c>
      <c r="C97" s="85" t="s">
        <v>21</v>
      </c>
      <c r="D97" s="87" t="s">
        <v>791</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790</v>
      </c>
      <c r="B98" s="84" t="s">
        <v>792</v>
      </c>
      <c r="C98" s="86" t="s">
        <v>793</v>
      </c>
      <c r="D98" s="88" t="s">
        <v>794</v>
      </c>
      <c r="E98" s="88" t="s">
        <v>795</v>
      </c>
      <c r="F98" s="89" t="s">
        <v>543</v>
      </c>
      <c r="G98" s="89" t="s">
        <v>484</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790</v>
      </c>
      <c r="B99" s="84" t="s">
        <v>796</v>
      </c>
      <c r="C99" s="86" t="s">
        <v>797</v>
      </c>
      <c r="D99" s="88" t="s">
        <v>798</v>
      </c>
      <c r="E99" s="88" t="s">
        <v>799</v>
      </c>
      <c r="F99" s="89" t="s">
        <v>483</v>
      </c>
      <c r="G99" s="89" t="s">
        <v>800</v>
      </c>
      <c r="H99" s="89">
        <v>1</v>
      </c>
      <c r="I99" s="91" t="str">
        <f>IF(COUNTIF(J99:AW99,"&lt;&gt;")=0,"",SUMPRODUCT(((Recommendations[ImplStatus]="Implemented")+(Recommendations[ImplStatus]="Compensated"))*ISNUMBER(MATCH(Recommendations[Id],J99:AW99,0)))/COUNTIF(J99:AW99,"&lt;&gt;"))</f>
        <v/>
      </c>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790</v>
      </c>
      <c r="B100" s="84" t="s">
        <v>801</v>
      </c>
      <c r="C100" s="86" t="s">
        <v>802</v>
      </c>
      <c r="D100" s="88" t="s">
        <v>803</v>
      </c>
      <c r="E100" s="88" t="s">
        <v>804</v>
      </c>
      <c r="F100" s="89" t="s">
        <v>483</v>
      </c>
      <c r="G100" s="89" t="s">
        <v>468</v>
      </c>
      <c r="H100" s="89">
        <v>1</v>
      </c>
      <c r="I100" s="91" t="str">
        <f>IF(COUNTIF(J100:AW100,"&lt;&gt;")=0,"",SUMPRODUCT(((Recommendations[ImplStatus]="Implemented")+(Recommendations[ImplStatus]="Compensated"))*ISNUMBER(MATCH(Recommendations[Id],J100:AW100,0)))/COUNTIF(J100:AW100,"&lt;&gt;"))</f>
        <v/>
      </c>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790</v>
      </c>
      <c r="B101" s="84" t="s">
        <v>805</v>
      </c>
      <c r="C101" s="86" t="s">
        <v>806</v>
      </c>
      <c r="D101" s="88" t="s">
        <v>807</v>
      </c>
      <c r="E101" s="88" t="s">
        <v>808</v>
      </c>
      <c r="F101" s="89" t="s">
        <v>483</v>
      </c>
      <c r="G101" s="89" t="s">
        <v>800</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790</v>
      </c>
      <c r="B102" s="84" t="s">
        <v>809</v>
      </c>
      <c r="C102" s="86" t="s">
        <v>810</v>
      </c>
      <c r="D102" s="88" t="s">
        <v>811</v>
      </c>
      <c r="E102" s="88" t="s">
        <v>812</v>
      </c>
      <c r="F102" s="89" t="s">
        <v>483</v>
      </c>
      <c r="G102" s="89" t="s">
        <v>800</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813</v>
      </c>
      <c r="B103" s="83">
        <v>12</v>
      </c>
      <c r="C103" s="85" t="s">
        <v>21</v>
      </c>
      <c r="D103" s="87" t="s">
        <v>814</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813</v>
      </c>
      <c r="B104" s="84" t="s">
        <v>815</v>
      </c>
      <c r="C104" s="86" t="s">
        <v>816</v>
      </c>
      <c r="D104" s="88" t="s">
        <v>817</v>
      </c>
      <c r="E104" s="88" t="s">
        <v>818</v>
      </c>
      <c r="F104" s="89" t="s">
        <v>697</v>
      </c>
      <c r="G104" s="89" t="s">
        <v>468</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813</v>
      </c>
      <c r="B105" s="84" t="s">
        <v>819</v>
      </c>
      <c r="C105" s="86" t="s">
        <v>820</v>
      </c>
      <c r="D105" s="88" t="s">
        <v>821</v>
      </c>
      <c r="E105" s="88" t="s">
        <v>822</v>
      </c>
      <c r="F105" s="89" t="s">
        <v>697</v>
      </c>
      <c r="G105" s="89" t="s">
        <v>468</v>
      </c>
      <c r="H105" s="89">
        <v>2</v>
      </c>
      <c r="I105" s="91" t="str">
        <f>IF(COUNTIF(J105:AW105,"&lt;&gt;")=0,"",SUMPRODUCT(((Recommendations[ImplStatus]="Implemented")+(Recommendations[ImplStatus]="Compensated"))*ISNUMBER(MATCH(Recommendations[Id],J105:AW105,0)))/COUNTIF(J105:AW105,"&lt;&gt;"))</f>
        <v/>
      </c>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813</v>
      </c>
      <c r="B106" s="84" t="s">
        <v>823</v>
      </c>
      <c r="C106" s="86" t="s">
        <v>824</v>
      </c>
      <c r="D106" s="88" t="s">
        <v>825</v>
      </c>
      <c r="E106" s="88" t="s">
        <v>826</v>
      </c>
      <c r="F106" s="89" t="s">
        <v>697</v>
      </c>
      <c r="G106" s="89" t="s">
        <v>468</v>
      </c>
      <c r="H106" s="89">
        <v>2</v>
      </c>
      <c r="I106" s="91" t="str">
        <f>IF(COUNTIF(J106:AW106,"&lt;&gt;")=0,"",SUMPRODUCT(((Recommendations[ImplStatus]="Implemented")+(Recommendations[ImplStatus]="Compensated"))*ISNUMBER(MATCH(Recommendations[Id],J106:AW106,0)))/COUNTIF(J106:AW106,"&lt;&gt;"))</f>
        <v/>
      </c>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813</v>
      </c>
      <c r="B107" s="84" t="s">
        <v>827</v>
      </c>
      <c r="C107" s="86" t="s">
        <v>828</v>
      </c>
      <c r="D107" s="88" t="s">
        <v>829</v>
      </c>
      <c r="E107" s="88" t="s">
        <v>830</v>
      </c>
      <c r="F107" s="89" t="s">
        <v>543</v>
      </c>
      <c r="G107" s="89" t="s">
        <v>484</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813</v>
      </c>
      <c r="B108" s="84" t="s">
        <v>831</v>
      </c>
      <c r="C108" s="86" t="s">
        <v>832</v>
      </c>
      <c r="D108" s="88" t="s">
        <v>833</v>
      </c>
      <c r="E108" s="88" t="s">
        <v>834</v>
      </c>
      <c r="F108" s="89" t="s">
        <v>697</v>
      </c>
      <c r="G108" s="89" t="s">
        <v>468</v>
      </c>
      <c r="H108" s="89">
        <v>2</v>
      </c>
      <c r="I108" s="91" t="str">
        <f>IF(COUNTIF(J108:AW108,"&lt;&gt;")=0,"",SUMPRODUCT(((Recommendations[ImplStatus]="Implemented")+(Recommendations[ImplStatus]="Compensated"))*ISNUMBER(MATCH(Recommendations[Id],J108:AW108,0)))/COUNTIF(J108:AW108,"&lt;&gt;"))</f>
        <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813</v>
      </c>
      <c r="B109" s="84" t="s">
        <v>835</v>
      </c>
      <c r="C109" s="86" t="s">
        <v>836</v>
      </c>
      <c r="D109" s="88" t="s">
        <v>837</v>
      </c>
      <c r="E109" s="88" t="s">
        <v>838</v>
      </c>
      <c r="F109" s="89" t="s">
        <v>697</v>
      </c>
      <c r="G109" s="89" t="s">
        <v>468</v>
      </c>
      <c r="H109" s="89">
        <v>2</v>
      </c>
      <c r="I109" s="91" t="str">
        <f>IF(COUNTIF(J109:AW109,"&lt;&gt;")=0,"",SUMPRODUCT(((Recommendations[ImplStatus]="Implemented")+(Recommendations[ImplStatus]="Compensated"))*ISNUMBER(MATCH(Recommendations[Id],J109:AW109,0)))/COUNTIF(J109:AW109,"&lt;&gt;"))</f>
        <v/>
      </c>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813</v>
      </c>
      <c r="B110" s="84" t="s">
        <v>839</v>
      </c>
      <c r="C110" s="86" t="s">
        <v>840</v>
      </c>
      <c r="D110" s="88" t="s">
        <v>841</v>
      </c>
      <c r="E110" s="88" t="s">
        <v>842</v>
      </c>
      <c r="F110" s="89" t="s">
        <v>425</v>
      </c>
      <c r="G110" s="89" t="s">
        <v>468</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813</v>
      </c>
      <c r="B111" s="84" t="s">
        <v>843</v>
      </c>
      <c r="C111" s="86" t="s">
        <v>844</v>
      </c>
      <c r="D111" s="88" t="s">
        <v>845</v>
      </c>
      <c r="E111" s="88" t="s">
        <v>846</v>
      </c>
      <c r="F111" s="89" t="s">
        <v>425</v>
      </c>
      <c r="G111" s="89" t="s">
        <v>468</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847</v>
      </c>
      <c r="B112" s="83">
        <v>13</v>
      </c>
      <c r="C112" s="85" t="s">
        <v>21</v>
      </c>
      <c r="D112" s="87" t="s">
        <v>848</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847</v>
      </c>
      <c r="B113" s="84" t="s">
        <v>849</v>
      </c>
      <c r="C113" s="86" t="s">
        <v>850</v>
      </c>
      <c r="D113" s="88" t="s">
        <v>851</v>
      </c>
      <c r="E113" s="88" t="s">
        <v>852</v>
      </c>
      <c r="F113" s="89" t="s">
        <v>697</v>
      </c>
      <c r="G113" s="89" t="s">
        <v>436</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847</v>
      </c>
      <c r="B114" s="84" t="s">
        <v>853</v>
      </c>
      <c r="C114" s="86" t="s">
        <v>854</v>
      </c>
      <c r="D114" s="88" t="s">
        <v>855</v>
      </c>
      <c r="E114" s="88" t="s">
        <v>856</v>
      </c>
      <c r="F114" s="89" t="s">
        <v>425</v>
      </c>
      <c r="G114" s="89" t="s">
        <v>436</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847</v>
      </c>
      <c r="B115" s="84" t="s">
        <v>857</v>
      </c>
      <c r="C115" s="86" t="s">
        <v>858</v>
      </c>
      <c r="D115" s="88" t="s">
        <v>859</v>
      </c>
      <c r="E115" s="88" t="s">
        <v>860</v>
      </c>
      <c r="F115" s="89" t="s">
        <v>697</v>
      </c>
      <c r="G115" s="89" t="s">
        <v>436</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847</v>
      </c>
      <c r="B116" s="84" t="s">
        <v>861</v>
      </c>
      <c r="C116" s="86" t="s">
        <v>862</v>
      </c>
      <c r="D116" s="88" t="s">
        <v>863</v>
      </c>
      <c r="E116" s="88" t="s">
        <v>864</v>
      </c>
      <c r="F116" s="89" t="s">
        <v>697</v>
      </c>
      <c r="G116" s="89" t="s">
        <v>468</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847</v>
      </c>
      <c r="B117" s="84" t="s">
        <v>865</v>
      </c>
      <c r="C117" s="86" t="s">
        <v>866</v>
      </c>
      <c r="D117" s="88" t="s">
        <v>867</v>
      </c>
      <c r="E117" s="88" t="s">
        <v>868</v>
      </c>
      <c r="F117" s="89" t="s">
        <v>425</v>
      </c>
      <c r="G117" s="89" t="s">
        <v>468</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847</v>
      </c>
      <c r="B118" s="84" t="s">
        <v>869</v>
      </c>
      <c r="C118" s="86" t="s">
        <v>870</v>
      </c>
      <c r="D118" s="88" t="s">
        <v>871</v>
      </c>
      <c r="E118" s="88" t="s">
        <v>872</v>
      </c>
      <c r="F118" s="89" t="s">
        <v>697</v>
      </c>
      <c r="G118" s="89" t="s">
        <v>436</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847</v>
      </c>
      <c r="B119" s="84" t="s">
        <v>873</v>
      </c>
      <c r="C119" s="86" t="s">
        <v>874</v>
      </c>
      <c r="D119" s="88" t="s">
        <v>875</v>
      </c>
      <c r="E119" s="88" t="s">
        <v>876</v>
      </c>
      <c r="F119" s="89" t="s">
        <v>425</v>
      </c>
      <c r="G119" s="89" t="s">
        <v>468</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847</v>
      </c>
      <c r="B120" s="84" t="s">
        <v>877</v>
      </c>
      <c r="C120" s="86" t="s">
        <v>878</v>
      </c>
      <c r="D120" s="88" t="s">
        <v>879</v>
      </c>
      <c r="E120" s="88" t="s">
        <v>880</v>
      </c>
      <c r="F120" s="89" t="s">
        <v>697</v>
      </c>
      <c r="G120" s="89" t="s">
        <v>468</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847</v>
      </c>
      <c r="B121" s="84" t="s">
        <v>881</v>
      </c>
      <c r="C121" s="86" t="s">
        <v>882</v>
      </c>
      <c r="D121" s="88" t="s">
        <v>883</v>
      </c>
      <c r="E121" s="88" t="s">
        <v>884</v>
      </c>
      <c r="F121" s="89" t="s">
        <v>697</v>
      </c>
      <c r="G121" s="89" t="s">
        <v>468</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847</v>
      </c>
      <c r="B122" s="84" t="s">
        <v>885</v>
      </c>
      <c r="C122" s="86" t="s">
        <v>886</v>
      </c>
      <c r="D122" s="88" t="s">
        <v>887</v>
      </c>
      <c r="E122" s="88" t="s">
        <v>888</v>
      </c>
      <c r="F122" s="89" t="s">
        <v>697</v>
      </c>
      <c r="G122" s="89" t="s">
        <v>468</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847</v>
      </c>
      <c r="B123" s="84" t="s">
        <v>889</v>
      </c>
      <c r="C123" s="86" t="s">
        <v>890</v>
      </c>
      <c r="D123" s="88" t="s">
        <v>891</v>
      </c>
      <c r="E123" s="88" t="s">
        <v>892</v>
      </c>
      <c r="F123" s="89" t="s">
        <v>697</v>
      </c>
      <c r="G123" s="89" t="s">
        <v>436</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893</v>
      </c>
      <c r="B124" s="83">
        <v>14</v>
      </c>
      <c r="C124" s="85" t="s">
        <v>21</v>
      </c>
      <c r="D124" s="87" t="s">
        <v>894</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893</v>
      </c>
      <c r="B125" s="84" t="s">
        <v>895</v>
      </c>
      <c r="C125" s="86" t="s">
        <v>896</v>
      </c>
      <c r="D125" s="88" t="s">
        <v>897</v>
      </c>
      <c r="E125" s="88" t="s">
        <v>898</v>
      </c>
      <c r="F125" s="89" t="s">
        <v>543</v>
      </c>
      <c r="G125" s="89" t="s">
        <v>484</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893</v>
      </c>
      <c r="B126" s="84" t="s">
        <v>899</v>
      </c>
      <c r="C126" s="86" t="s">
        <v>900</v>
      </c>
      <c r="D126" s="88" t="s">
        <v>901</v>
      </c>
      <c r="E126" s="88" t="s">
        <v>902</v>
      </c>
      <c r="F126" s="89" t="s">
        <v>568</v>
      </c>
      <c r="G126" s="89" t="s">
        <v>468</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893</v>
      </c>
      <c r="B127" s="84" t="s">
        <v>903</v>
      </c>
      <c r="C127" s="86" t="s">
        <v>904</v>
      </c>
      <c r="D127" s="88" t="s">
        <v>905</v>
      </c>
      <c r="E127" s="88" t="s">
        <v>906</v>
      </c>
      <c r="F127" s="89" t="s">
        <v>568</v>
      </c>
      <c r="G127" s="89" t="s">
        <v>468</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893</v>
      </c>
      <c r="B128" s="84" t="s">
        <v>907</v>
      </c>
      <c r="C128" s="86" t="s">
        <v>908</v>
      </c>
      <c r="D128" s="88" t="s">
        <v>909</v>
      </c>
      <c r="E128" s="88" t="s">
        <v>910</v>
      </c>
      <c r="F128" s="89" t="s">
        <v>568</v>
      </c>
      <c r="G128" s="89" t="s">
        <v>468</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893</v>
      </c>
      <c r="B129" s="84" t="s">
        <v>911</v>
      </c>
      <c r="C129" s="86" t="s">
        <v>912</v>
      </c>
      <c r="D129" s="88" t="s">
        <v>913</v>
      </c>
      <c r="E129" s="88" t="s">
        <v>914</v>
      </c>
      <c r="F129" s="89" t="s">
        <v>568</v>
      </c>
      <c r="G129" s="89" t="s">
        <v>468</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893</v>
      </c>
      <c r="B130" s="84" t="s">
        <v>915</v>
      </c>
      <c r="C130" s="86" t="s">
        <v>916</v>
      </c>
      <c r="D130" s="88" t="s">
        <v>917</v>
      </c>
      <c r="E130" s="88" t="s">
        <v>918</v>
      </c>
      <c r="F130" s="89" t="s">
        <v>568</v>
      </c>
      <c r="G130" s="89" t="s">
        <v>468</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893</v>
      </c>
      <c r="B131" s="84" t="s">
        <v>919</v>
      </c>
      <c r="C131" s="86" t="s">
        <v>920</v>
      </c>
      <c r="D131" s="88" t="s">
        <v>921</v>
      </c>
      <c r="E131" s="88" t="s">
        <v>922</v>
      </c>
      <c r="F131" s="89" t="s">
        <v>568</v>
      </c>
      <c r="G131" s="89" t="s">
        <v>468</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893</v>
      </c>
      <c r="B132" s="84" t="s">
        <v>923</v>
      </c>
      <c r="C132" s="86" t="s">
        <v>924</v>
      </c>
      <c r="D132" s="88" t="s">
        <v>925</v>
      </c>
      <c r="E132" s="88" t="s">
        <v>926</v>
      </c>
      <c r="F132" s="89" t="s">
        <v>568</v>
      </c>
      <c r="G132" s="89" t="s">
        <v>468</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893</v>
      </c>
      <c r="B133" s="84" t="s">
        <v>927</v>
      </c>
      <c r="C133" s="86" t="s">
        <v>928</v>
      </c>
      <c r="D133" s="88" t="s">
        <v>929</v>
      </c>
      <c r="E133" s="88" t="s">
        <v>930</v>
      </c>
      <c r="F133" s="89" t="s">
        <v>568</v>
      </c>
      <c r="G133" s="89" t="s">
        <v>468</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931</v>
      </c>
      <c r="B134" s="83">
        <v>15</v>
      </c>
      <c r="C134" s="85" t="s">
        <v>21</v>
      </c>
      <c r="D134" s="87" t="s">
        <v>932</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931</v>
      </c>
      <c r="B135" s="84" t="s">
        <v>933</v>
      </c>
      <c r="C135" s="86" t="s">
        <v>934</v>
      </c>
      <c r="D135" s="88" t="s">
        <v>935</v>
      </c>
      <c r="E135" s="88" t="s">
        <v>936</v>
      </c>
      <c r="F135" s="89" t="s">
        <v>568</v>
      </c>
      <c r="G135" s="89" t="s">
        <v>426</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931</v>
      </c>
      <c r="B136" s="84" t="s">
        <v>937</v>
      </c>
      <c r="C136" s="86" t="s">
        <v>938</v>
      </c>
      <c r="D136" s="88" t="s">
        <v>939</v>
      </c>
      <c r="E136" s="88" t="s">
        <v>940</v>
      </c>
      <c r="F136" s="89" t="s">
        <v>543</v>
      </c>
      <c r="G136" s="89" t="s">
        <v>484</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931</v>
      </c>
      <c r="B137" s="84" t="s">
        <v>941</v>
      </c>
      <c r="C137" s="86" t="s">
        <v>942</v>
      </c>
      <c r="D137" s="88" t="s">
        <v>943</v>
      </c>
      <c r="E137" s="88" t="s">
        <v>944</v>
      </c>
      <c r="F137" s="89" t="s">
        <v>568</v>
      </c>
      <c r="G137" s="89" t="s">
        <v>484</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931</v>
      </c>
      <c r="B138" s="84" t="s">
        <v>945</v>
      </c>
      <c r="C138" s="86" t="s">
        <v>946</v>
      </c>
      <c r="D138" s="88" t="s">
        <v>947</v>
      </c>
      <c r="E138" s="88" t="s">
        <v>948</v>
      </c>
      <c r="F138" s="89" t="s">
        <v>543</v>
      </c>
      <c r="G138" s="89" t="s">
        <v>484</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931</v>
      </c>
      <c r="B139" s="84" t="s">
        <v>949</v>
      </c>
      <c r="C139" s="86" t="s">
        <v>950</v>
      </c>
      <c r="D139" s="88" t="s">
        <v>951</v>
      </c>
      <c r="E139" s="88" t="s">
        <v>952</v>
      </c>
      <c r="F139" s="89" t="s">
        <v>568</v>
      </c>
      <c r="G139" s="89" t="s">
        <v>484</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931</v>
      </c>
      <c r="B140" s="84" t="s">
        <v>953</v>
      </c>
      <c r="C140" s="86" t="s">
        <v>954</v>
      </c>
      <c r="D140" s="88" t="s">
        <v>955</v>
      </c>
      <c r="E140" s="88" t="s">
        <v>956</v>
      </c>
      <c r="F140" s="89" t="s">
        <v>483</v>
      </c>
      <c r="G140" s="89" t="s">
        <v>484</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931</v>
      </c>
      <c r="B141" s="84" t="s">
        <v>957</v>
      </c>
      <c r="C141" s="86" t="s">
        <v>958</v>
      </c>
      <c r="D141" s="88" t="s">
        <v>959</v>
      </c>
      <c r="E141" s="88" t="s">
        <v>960</v>
      </c>
      <c r="F141" s="89" t="s">
        <v>483</v>
      </c>
      <c r="G141" s="89" t="s">
        <v>468</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961</v>
      </c>
      <c r="B142" s="83">
        <v>16</v>
      </c>
      <c r="C142" s="85" t="s">
        <v>21</v>
      </c>
      <c r="D142" s="87" t="s">
        <v>962</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961</v>
      </c>
      <c r="B143" s="84" t="s">
        <v>963</v>
      </c>
      <c r="C143" s="86" t="s">
        <v>964</v>
      </c>
      <c r="D143" s="88" t="s">
        <v>965</v>
      </c>
      <c r="E143" s="88" t="s">
        <v>966</v>
      </c>
      <c r="F143" s="89" t="s">
        <v>543</v>
      </c>
      <c r="G143" s="89" t="s">
        <v>484</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961</v>
      </c>
      <c r="B144" s="84" t="s">
        <v>967</v>
      </c>
      <c r="C144" s="86" t="s">
        <v>968</v>
      </c>
      <c r="D144" s="88" t="s">
        <v>969</v>
      </c>
      <c r="E144" s="88" t="s">
        <v>970</v>
      </c>
      <c r="F144" s="89" t="s">
        <v>543</v>
      </c>
      <c r="G144" s="89" t="s">
        <v>484</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961</v>
      </c>
      <c r="B145" s="84" t="s">
        <v>971</v>
      </c>
      <c r="C145" s="86" t="s">
        <v>972</v>
      </c>
      <c r="D145" s="88" t="s">
        <v>973</v>
      </c>
      <c r="E145" s="88" t="s">
        <v>974</v>
      </c>
      <c r="F145" s="89" t="s">
        <v>451</v>
      </c>
      <c r="G145" s="89" t="s">
        <v>436</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961</v>
      </c>
      <c r="B146" s="84" t="s">
        <v>975</v>
      </c>
      <c r="C146" s="86" t="s">
        <v>976</v>
      </c>
      <c r="D146" s="88" t="s">
        <v>977</v>
      </c>
      <c r="E146" s="88" t="s">
        <v>978</v>
      </c>
      <c r="F146" s="89" t="s">
        <v>451</v>
      </c>
      <c r="G146" s="89" t="s">
        <v>426</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961</v>
      </c>
      <c r="B147" s="84" t="s">
        <v>979</v>
      </c>
      <c r="C147" s="86" t="s">
        <v>980</v>
      </c>
      <c r="D147" s="88" t="s">
        <v>981</v>
      </c>
      <c r="E147" s="88" t="s">
        <v>982</v>
      </c>
      <c r="F147" s="89" t="s">
        <v>451</v>
      </c>
      <c r="G147" s="89" t="s">
        <v>468</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961</v>
      </c>
      <c r="B148" s="84" t="s">
        <v>983</v>
      </c>
      <c r="C148" s="86" t="s">
        <v>984</v>
      </c>
      <c r="D148" s="88" t="s">
        <v>985</v>
      </c>
      <c r="E148" s="88" t="s">
        <v>986</v>
      </c>
      <c r="F148" s="89" t="s">
        <v>543</v>
      </c>
      <c r="G148" s="89" t="s">
        <v>484</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961</v>
      </c>
      <c r="B149" s="84" t="s">
        <v>987</v>
      </c>
      <c r="C149" s="86" t="s">
        <v>988</v>
      </c>
      <c r="D149" s="88" t="s">
        <v>989</v>
      </c>
      <c r="E149" s="88" t="s">
        <v>990</v>
      </c>
      <c r="F149" s="89" t="s">
        <v>451</v>
      </c>
      <c r="G149" s="89" t="s">
        <v>468</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961</v>
      </c>
      <c r="B150" s="84" t="s">
        <v>991</v>
      </c>
      <c r="C150" s="86" t="s">
        <v>992</v>
      </c>
      <c r="D150" s="88" t="s">
        <v>993</v>
      </c>
      <c r="E150" s="88" t="s">
        <v>994</v>
      </c>
      <c r="F150" s="89" t="s">
        <v>697</v>
      </c>
      <c r="G150" s="89" t="s">
        <v>468</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961</v>
      </c>
      <c r="B151" s="84" t="s">
        <v>995</v>
      </c>
      <c r="C151" s="86" t="s">
        <v>996</v>
      </c>
      <c r="D151" s="88" t="s">
        <v>997</v>
      </c>
      <c r="E151" s="88" t="s">
        <v>998</v>
      </c>
      <c r="F151" s="89" t="s">
        <v>568</v>
      </c>
      <c r="G151" s="89" t="s">
        <v>468</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961</v>
      </c>
      <c r="B152" s="84" t="s">
        <v>999</v>
      </c>
      <c r="C152" s="86" t="s">
        <v>1000</v>
      </c>
      <c r="D152" s="88" t="s">
        <v>1001</v>
      </c>
      <c r="E152" s="88" t="s">
        <v>1002</v>
      </c>
      <c r="F152" s="89" t="s">
        <v>451</v>
      </c>
      <c r="G152" s="89" t="s">
        <v>468</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961</v>
      </c>
      <c r="B153" s="84" t="s">
        <v>1003</v>
      </c>
      <c r="C153" s="86" t="s">
        <v>1004</v>
      </c>
      <c r="D153" s="88" t="s">
        <v>1005</v>
      </c>
      <c r="E153" s="88" t="s">
        <v>1006</v>
      </c>
      <c r="F153" s="89" t="s">
        <v>451</v>
      </c>
      <c r="G153" s="89" t="s">
        <v>468</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961</v>
      </c>
      <c r="B154" s="84" t="s">
        <v>1007</v>
      </c>
      <c r="C154" s="86" t="s">
        <v>1008</v>
      </c>
      <c r="D154" s="88" t="s">
        <v>1009</v>
      </c>
      <c r="E154" s="88" t="s">
        <v>1010</v>
      </c>
      <c r="F154" s="89" t="s">
        <v>451</v>
      </c>
      <c r="G154" s="89" t="s">
        <v>468</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961</v>
      </c>
      <c r="B155" s="84" t="s">
        <v>1011</v>
      </c>
      <c r="C155" s="86" t="s">
        <v>1012</v>
      </c>
      <c r="D155" s="88" t="s">
        <v>1013</v>
      </c>
      <c r="E155" s="88" t="s">
        <v>1014</v>
      </c>
      <c r="F155" s="89" t="s">
        <v>451</v>
      </c>
      <c r="G155" s="89" t="s">
        <v>436</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961</v>
      </c>
      <c r="B156" s="84" t="s">
        <v>1015</v>
      </c>
      <c r="C156" s="86" t="s">
        <v>1016</v>
      </c>
      <c r="D156" s="88" t="s">
        <v>1017</v>
      </c>
      <c r="E156" s="88" t="s">
        <v>1018</v>
      </c>
      <c r="F156" s="89" t="s">
        <v>451</v>
      </c>
      <c r="G156" s="89" t="s">
        <v>468</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1019</v>
      </c>
      <c r="B157" s="83">
        <v>17</v>
      </c>
      <c r="C157" s="85" t="s">
        <v>21</v>
      </c>
      <c r="D157" s="87" t="s">
        <v>1020</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1019</v>
      </c>
      <c r="B158" s="84" t="s">
        <v>1021</v>
      </c>
      <c r="C158" s="86" t="s">
        <v>1022</v>
      </c>
      <c r="D158" s="88" t="s">
        <v>1023</v>
      </c>
      <c r="E158" s="88" t="s">
        <v>1024</v>
      </c>
      <c r="F158" s="89" t="s">
        <v>568</v>
      </c>
      <c r="G158" s="89" t="s">
        <v>431</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1019</v>
      </c>
      <c r="B159" s="84" t="s">
        <v>1025</v>
      </c>
      <c r="C159" s="86" t="s">
        <v>1026</v>
      </c>
      <c r="D159" s="88" t="s">
        <v>1027</v>
      </c>
      <c r="E159" s="88" t="s">
        <v>1028</v>
      </c>
      <c r="F159" s="89" t="s">
        <v>543</v>
      </c>
      <c r="G159" s="89" t="s">
        <v>484</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1019</v>
      </c>
      <c r="B160" s="84" t="s">
        <v>1029</v>
      </c>
      <c r="C160" s="86" t="s">
        <v>1030</v>
      </c>
      <c r="D160" s="88" t="s">
        <v>1031</v>
      </c>
      <c r="E160" s="88" t="s">
        <v>1032</v>
      </c>
      <c r="F160" s="89" t="s">
        <v>543</v>
      </c>
      <c r="G160" s="89" t="s">
        <v>484</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1019</v>
      </c>
      <c r="B161" s="84" t="s">
        <v>1033</v>
      </c>
      <c r="C161" s="86" t="s">
        <v>1034</v>
      </c>
      <c r="D161" s="88" t="s">
        <v>1035</v>
      </c>
      <c r="E161" s="88" t="s">
        <v>1036</v>
      </c>
      <c r="F161" s="89" t="s">
        <v>543</v>
      </c>
      <c r="G161" s="89" t="s">
        <v>484</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1019</v>
      </c>
      <c r="B162" s="84" t="s">
        <v>1037</v>
      </c>
      <c r="C162" s="86" t="s">
        <v>1038</v>
      </c>
      <c r="D162" s="88" t="s">
        <v>1039</v>
      </c>
      <c r="E162" s="88" t="s">
        <v>1040</v>
      </c>
      <c r="F162" s="89" t="s">
        <v>568</v>
      </c>
      <c r="G162" s="89" t="s">
        <v>431</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1019</v>
      </c>
      <c r="B163" s="84" t="s">
        <v>1041</v>
      </c>
      <c r="C163" s="86" t="s">
        <v>1042</v>
      </c>
      <c r="D163" s="88" t="s">
        <v>1043</v>
      </c>
      <c r="E163" s="88" t="s">
        <v>1044</v>
      </c>
      <c r="F163" s="89" t="s">
        <v>568</v>
      </c>
      <c r="G163" s="89" t="s">
        <v>431</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1019</v>
      </c>
      <c r="B164" s="84" t="s">
        <v>1045</v>
      </c>
      <c r="C164" s="86" t="s">
        <v>1046</v>
      </c>
      <c r="D164" s="88" t="s">
        <v>1047</v>
      </c>
      <c r="E164" s="88" t="s">
        <v>1048</v>
      </c>
      <c r="F164" s="89" t="s">
        <v>568</v>
      </c>
      <c r="G164" s="89" t="s">
        <v>800</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1019</v>
      </c>
      <c r="B165" s="84" t="s">
        <v>1049</v>
      </c>
      <c r="C165" s="86" t="s">
        <v>1050</v>
      </c>
      <c r="D165" s="88" t="s">
        <v>1051</v>
      </c>
      <c r="E165" s="88" t="s">
        <v>1052</v>
      </c>
      <c r="F165" s="89" t="s">
        <v>568</v>
      </c>
      <c r="G165" s="89" t="s">
        <v>800</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1019</v>
      </c>
      <c r="B166" s="84" t="s">
        <v>1053</v>
      </c>
      <c r="C166" s="86" t="s">
        <v>1054</v>
      </c>
      <c r="D166" s="88" t="s">
        <v>1055</v>
      </c>
      <c r="E166" s="88" t="s">
        <v>1056</v>
      </c>
      <c r="F166" s="89" t="s">
        <v>543</v>
      </c>
      <c r="G166" s="89" t="s">
        <v>800</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1057</v>
      </c>
      <c r="B167" s="83">
        <v>18</v>
      </c>
      <c r="C167" s="85" t="s">
        <v>21</v>
      </c>
      <c r="D167" s="87" t="s">
        <v>1058</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1057</v>
      </c>
      <c r="B168" s="84" t="s">
        <v>1059</v>
      </c>
      <c r="C168" s="86" t="s">
        <v>1060</v>
      </c>
      <c r="D168" s="88" t="s">
        <v>1061</v>
      </c>
      <c r="E168" s="88" t="s">
        <v>1062</v>
      </c>
      <c r="F168" s="89" t="s">
        <v>543</v>
      </c>
      <c r="G168" s="89" t="s">
        <v>484</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1057</v>
      </c>
      <c r="B169" s="84" t="s">
        <v>1063</v>
      </c>
      <c r="C169" s="86" t="s">
        <v>1064</v>
      </c>
      <c r="D169" s="88" t="s">
        <v>1065</v>
      </c>
      <c r="E169" s="88" t="s">
        <v>1066</v>
      </c>
      <c r="F169" s="89" t="s">
        <v>697</v>
      </c>
      <c r="G169" s="89" t="s">
        <v>436</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1057</v>
      </c>
      <c r="B170" s="84" t="s">
        <v>1067</v>
      </c>
      <c r="C170" s="86" t="s">
        <v>1068</v>
      </c>
      <c r="D170" s="88" t="s">
        <v>1069</v>
      </c>
      <c r="E170" s="88" t="s">
        <v>1070</v>
      </c>
      <c r="F170" s="89" t="s">
        <v>697</v>
      </c>
      <c r="G170" s="89" t="s">
        <v>468</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1057</v>
      </c>
      <c r="B171" s="84" t="s">
        <v>1071</v>
      </c>
      <c r="C171" s="86" t="s">
        <v>1072</v>
      </c>
      <c r="D171" s="88" t="s">
        <v>1073</v>
      </c>
      <c r="E171" s="88" t="s">
        <v>1074</v>
      </c>
      <c r="F171" s="89" t="s">
        <v>697</v>
      </c>
      <c r="G171" s="89" t="s">
        <v>468</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1057</v>
      </c>
      <c r="B172" s="94" t="s">
        <v>1075</v>
      </c>
      <c r="C172" s="95" t="s">
        <v>1076</v>
      </c>
      <c r="D172" s="96" t="s">
        <v>1077</v>
      </c>
      <c r="E172" s="96" t="s">
        <v>1078</v>
      </c>
      <c r="F172" s="97" t="s">
        <v>697</v>
      </c>
      <c r="G172" s="97" t="s">
        <v>436</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91" t="s">
        <v>124</v>
      </c>
      <c r="B176" s="291"/>
      <c r="C176" s="291"/>
      <c r="D176" s="29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IFERROR(INDEX('Recommendations'!$H$2:$H$22, MATCH(J2,'Recommendations'!$A$2:$A$22,0))="Implemented", FALSE))</xm:f>
            <x14:dxf>
              <font>
                <color rgb="FF000000"/>
              </font>
              <fill>
                <patternFill>
                  <bgColor rgb="FF3C7D22"/>
                </patternFill>
              </fill>
            </x14:dxf>
          </x14:cfRule>
          <x14:cfRule type="expression" priority="2" id="{00000000-000E-0000-0400-000002000000}">
            <xm:f>AND(J2&lt;&gt;"", IFERROR(INDEX('Recommendations'!$H$2:$H$22, MATCH(J2,'Recommendations'!$A$2:$A$22,0))="Compensated", FALSE))</xm:f>
            <x14:dxf>
              <font>
                <color rgb="FF000000"/>
              </font>
              <fill>
                <patternFill>
                  <bgColor rgb="FFC6E0B4"/>
                </patternFill>
              </fill>
            </x14:dxf>
          </x14:cfRule>
          <x14:cfRule type="expression" priority="3" id="{00000000-000E-0000-0400-000003000000}">
            <xm:f>AND(J2&lt;&gt;"", IFERROR(INDEX('Recommendations'!$H$2:$H$22, MATCH(J2,'Recommendations'!$A$2:$A$22,0))="Testing", FALSE))</xm:f>
            <x14:dxf>
              <font>
                <color rgb="FF000000"/>
              </font>
              <fill>
                <patternFill>
                  <bgColor rgb="FFFFC000"/>
                </patternFill>
              </fill>
            </x14:dxf>
          </x14:cfRule>
          <x14:cfRule type="expression" priority="4" id="{00000000-000E-0000-0400-000004000000}">
            <xm:f>AND(J2&lt;&gt;"", IFERROR(INDEX('Recommendations'!$H$2:$H$22, MATCH(J2,'Recommendations'!$A$2:$A$22,0))="Failed", FALSE))</xm:f>
            <x14:dxf>
              <font>
                <color rgb="FF000000"/>
              </font>
              <fill>
                <patternFill>
                  <bgColor rgb="FFD82891"/>
                </patternFill>
              </fill>
            </x14:dxf>
          </x14:cfRule>
          <x14:cfRule type="expression" priority="5" id="{00000000-000E-0000-0400-000005000000}">
            <xm:f>AND(J2&lt;&gt;"", IFERROR(INDEX('Recommendations'!$H$2:$H$22, MATCH(J2,'Recommendations'!$A$2:$A$22,0))="Risk Accepted", FALSE))</xm:f>
            <x14:dxf>
              <font>
                <color rgb="FF000000"/>
              </font>
              <fill>
                <patternFill>
                  <bgColor rgb="FFD9D9D9"/>
                </patternFill>
              </fill>
            </x14:dxf>
          </x14:cfRule>
          <x14:cfRule type="expression" priority="6" id="{00000000-000E-0000-0400-000006000000}">
            <xm:f>AND(J2&lt;&gt;"", IFERROR(INDEX('Recommendations'!$H$2:$H$22, MATCH(J2,'Recommendations'!$A$2:$A$22,0))="N/A",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3" t="s">
        <v>0</v>
      </c>
      <c r="B1" s="124" t="s">
        <v>1079</v>
      </c>
      <c r="C1" s="124" t="s">
        <v>10</v>
      </c>
      <c r="D1" s="124" t="s">
        <v>284</v>
      </c>
      <c r="E1" s="124" t="s">
        <v>1080</v>
      </c>
      <c r="F1" s="124" t="s">
        <v>1081</v>
      </c>
      <c r="G1" s="124" t="s">
        <v>378</v>
      </c>
      <c r="H1" s="124" t="s">
        <v>379</v>
      </c>
      <c r="I1" s="124" t="s">
        <v>380</v>
      </c>
      <c r="J1" s="124" t="s">
        <v>381</v>
      </c>
      <c r="K1" s="124" t="s">
        <v>382</v>
      </c>
      <c r="L1" s="124" t="s">
        <v>383</v>
      </c>
      <c r="M1" s="124" t="s">
        <v>384</v>
      </c>
      <c r="N1" s="124" t="s">
        <v>385</v>
      </c>
      <c r="O1" s="124" t="s">
        <v>386</v>
      </c>
      <c r="P1" s="124" t="s">
        <v>387</v>
      </c>
      <c r="Q1" s="124" t="s">
        <v>388</v>
      </c>
      <c r="R1" s="124" t="s">
        <v>389</v>
      </c>
      <c r="S1" s="124" t="s">
        <v>390</v>
      </c>
      <c r="T1" s="124" t="s">
        <v>391</v>
      </c>
      <c r="U1" s="124" t="s">
        <v>392</v>
      </c>
      <c r="V1" s="124" t="s">
        <v>393</v>
      </c>
      <c r="W1" s="124" t="s">
        <v>394</v>
      </c>
      <c r="X1" s="124" t="s">
        <v>395</v>
      </c>
      <c r="Y1" s="124" t="s">
        <v>396</v>
      </c>
      <c r="Z1" s="124" t="s">
        <v>397</v>
      </c>
      <c r="AA1" s="124" t="s">
        <v>398</v>
      </c>
      <c r="AB1" s="124" t="s">
        <v>399</v>
      </c>
      <c r="AC1" s="124" t="s">
        <v>400</v>
      </c>
      <c r="AD1" s="124" t="s">
        <v>401</v>
      </c>
      <c r="AE1" s="124" t="s">
        <v>402</v>
      </c>
      <c r="AF1" s="124" t="s">
        <v>403</v>
      </c>
      <c r="AG1" s="124" t="s">
        <v>404</v>
      </c>
      <c r="AH1" s="124" t="s">
        <v>405</v>
      </c>
      <c r="AI1" s="124" t="s">
        <v>406</v>
      </c>
      <c r="AJ1" s="124" t="s">
        <v>407</v>
      </c>
      <c r="AK1" s="124" t="s">
        <v>408</v>
      </c>
      <c r="AL1" s="124" t="s">
        <v>409</v>
      </c>
      <c r="AM1" s="124" t="s">
        <v>410</v>
      </c>
      <c r="AN1" s="124" t="s">
        <v>411</v>
      </c>
      <c r="AO1" s="124" t="s">
        <v>412</v>
      </c>
      <c r="AP1" s="124" t="s">
        <v>413</v>
      </c>
      <c r="AQ1" s="124" t="s">
        <v>414</v>
      </c>
      <c r="AR1" s="124" t="s">
        <v>415</v>
      </c>
      <c r="AS1" s="124" t="s">
        <v>416</v>
      </c>
      <c r="AT1" s="124" t="s">
        <v>417</v>
      </c>
      <c r="AU1" s="125" t="s">
        <v>418</v>
      </c>
    </row>
    <row r="2" spans="1:47" ht="60" customHeight="1" x14ac:dyDescent="0.35">
      <c r="A2" s="119" t="s">
        <v>1082</v>
      </c>
      <c r="B2" s="109" t="s">
        <v>1083</v>
      </c>
      <c r="C2" s="110" t="s">
        <v>1084</v>
      </c>
      <c r="D2" s="110" t="s">
        <v>1085</v>
      </c>
      <c r="E2" s="110" t="s">
        <v>1086</v>
      </c>
      <c r="F2" s="111" t="s">
        <v>1087</v>
      </c>
      <c r="G2" s="112">
        <f>IF(COUNTIF(H2:AU2,"&lt;&gt;")=0,"",SUMPRODUCT(((Recommendations[ImplStatus]="Implemented")+(Recommendations[ImplStatus]="Compensated"))*ISNUMBER(MATCH(Recommendations[Id],H2:AU2,0)))/COUNTIF(H2:AU2,"&lt;&gt;"))</f>
        <v>0</v>
      </c>
      <c r="H2" s="113" t="s">
        <v>36</v>
      </c>
      <c r="I2" s="113" t="s">
        <v>72</v>
      </c>
      <c r="J2" s="113" t="s">
        <v>78</v>
      </c>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21"/>
    </row>
    <row r="3" spans="1:47" ht="60" customHeight="1" x14ac:dyDescent="0.35">
      <c r="A3" s="119" t="s">
        <v>1088</v>
      </c>
      <c r="B3" s="109" t="s">
        <v>1089</v>
      </c>
      <c r="C3" s="110" t="s">
        <v>1090</v>
      </c>
      <c r="D3" s="110" t="s">
        <v>1091</v>
      </c>
      <c r="E3" s="110" t="s">
        <v>1092</v>
      </c>
      <c r="F3" s="111" t="s">
        <v>1093</v>
      </c>
      <c r="G3" s="112" t="str">
        <f>IF(COUNTIF(H3:AU3,"&lt;&gt;")=0,"",SUMPRODUCT(((Recommendations[ImplStatus]="Implemented")+(Recommendations[ImplStatus]="Compensated"))*ISNUMBER(MATCH(Recommendations[Id],H3:AU3,0)))/COUNTIF(H3:AU3,"&lt;&gt;"))</f>
        <v/>
      </c>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21"/>
    </row>
    <row r="4" spans="1:47" ht="60" customHeight="1" x14ac:dyDescent="0.35">
      <c r="A4" s="119" t="s">
        <v>1094</v>
      </c>
      <c r="B4" s="109" t="s">
        <v>1095</v>
      </c>
      <c r="C4" s="110" t="s">
        <v>1096</v>
      </c>
      <c r="D4" s="110" t="s">
        <v>1097</v>
      </c>
      <c r="E4" s="110" t="s">
        <v>1098</v>
      </c>
      <c r="F4" s="111" t="s">
        <v>1099</v>
      </c>
      <c r="G4" s="112" t="str">
        <f>IF(COUNTIF(H4:AU4,"&lt;&gt;")=0,"",SUMPRODUCT(((Recommendations[ImplStatus]="Implemented")+(Recommendations[ImplStatus]="Compensated"))*ISNUMBER(MATCH(Recommendations[Id],H4:AU4,0)))/COUNTIF(H4:AU4,"&lt;&gt;"))</f>
        <v/>
      </c>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21"/>
    </row>
    <row r="5" spans="1:47" ht="60" customHeight="1" x14ac:dyDescent="0.35">
      <c r="A5" s="119" t="s">
        <v>1100</v>
      </c>
      <c r="B5" s="109" t="s">
        <v>1101</v>
      </c>
      <c r="C5" s="110" t="s">
        <v>1102</v>
      </c>
      <c r="D5" s="110" t="s">
        <v>1103</v>
      </c>
      <c r="E5" s="110" t="s">
        <v>1104</v>
      </c>
      <c r="F5" s="111" t="s">
        <v>1105</v>
      </c>
      <c r="G5" s="112" t="str">
        <f>IF(COUNTIF(H5:AU5,"&lt;&gt;")=0,"",SUMPRODUCT(((Recommendations[ImplStatus]="Implemented")+(Recommendations[ImplStatus]="Compensated"))*ISNUMBER(MATCH(Recommendations[Id],H5:AU5,0)))/COUNTIF(H5:AU5,"&lt;&gt;"))</f>
        <v/>
      </c>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21"/>
    </row>
    <row r="6" spans="1:47" ht="60" customHeight="1" x14ac:dyDescent="0.35">
      <c r="A6" s="119" t="s">
        <v>1106</v>
      </c>
      <c r="B6" s="109" t="s">
        <v>1107</v>
      </c>
      <c r="C6" s="110" t="s">
        <v>1108</v>
      </c>
      <c r="D6" s="110" t="s">
        <v>1109</v>
      </c>
      <c r="E6" s="110" t="s">
        <v>21</v>
      </c>
      <c r="F6" s="111" t="s">
        <v>1110</v>
      </c>
      <c r="G6" s="112" t="str">
        <f>IF(COUNTIF(H6:AU6,"&lt;&gt;")=0,"",SUMPRODUCT(((Recommendations[ImplStatus]="Implemented")+(Recommendations[ImplStatus]="Compensated"))*ISNUMBER(MATCH(Recommendations[Id],H6:AU6,0)))/COUNTIF(H6:AU6,"&lt;&gt;"))</f>
        <v/>
      </c>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21"/>
    </row>
    <row r="7" spans="1:47" ht="60" customHeight="1" x14ac:dyDescent="0.35">
      <c r="A7" s="119" t="s">
        <v>1111</v>
      </c>
      <c r="B7" s="109" t="s">
        <v>11</v>
      </c>
      <c r="C7" s="110" t="s">
        <v>1112</v>
      </c>
      <c r="D7" s="110" t="s">
        <v>1113</v>
      </c>
      <c r="E7" s="110" t="s">
        <v>21</v>
      </c>
      <c r="F7" s="111" t="s">
        <v>1114</v>
      </c>
      <c r="G7" s="112" t="str">
        <f>IF(COUNTIF(H7:AU7,"&lt;&gt;")=0,"",SUMPRODUCT(((Recommendations[ImplStatus]="Implemented")+(Recommendations[ImplStatus]="Compensated"))*ISNUMBER(MATCH(Recommendations[Id],H7:AU7,0)))/COUNTIF(H7:AU7,"&lt;&gt;"))</f>
        <v/>
      </c>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21"/>
    </row>
    <row r="8" spans="1:47" ht="60" customHeight="1" x14ac:dyDescent="0.35">
      <c r="A8" s="119" t="s">
        <v>1115</v>
      </c>
      <c r="B8" s="109" t="s">
        <v>1116</v>
      </c>
      <c r="C8" s="110" t="s">
        <v>1117</v>
      </c>
      <c r="D8" s="110" t="s">
        <v>1118</v>
      </c>
      <c r="E8" s="110" t="s">
        <v>21</v>
      </c>
      <c r="F8" s="111" t="s">
        <v>1119</v>
      </c>
      <c r="G8" s="112" t="str">
        <f>IF(COUNTIF(H8:AU8,"&lt;&gt;")=0,"",SUMPRODUCT(((Recommendations[ImplStatus]="Implemented")+(Recommendations[ImplStatus]="Compensated"))*ISNUMBER(MATCH(Recommendations[Id],H8:AU8,0)))/COUNTIF(H8:AU8,"&lt;&gt;"))</f>
        <v/>
      </c>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21"/>
    </row>
    <row r="9" spans="1:47" ht="60" customHeight="1" x14ac:dyDescent="0.35">
      <c r="A9" s="119" t="s">
        <v>1120</v>
      </c>
      <c r="B9" s="109" t="s">
        <v>1121</v>
      </c>
      <c r="C9" s="110" t="s">
        <v>1122</v>
      </c>
      <c r="D9" s="110" t="s">
        <v>1123</v>
      </c>
      <c r="E9" s="110" t="s">
        <v>21</v>
      </c>
      <c r="F9" s="111" t="s">
        <v>1124</v>
      </c>
      <c r="G9" s="112" t="str">
        <f>IF(COUNTIF(H9:AU9,"&lt;&gt;")=0,"",SUMPRODUCT(((Recommendations[ImplStatus]="Implemented")+(Recommendations[ImplStatus]="Compensated"))*ISNUMBER(MATCH(Recommendations[Id],H9:AU9,0)))/COUNTIF(H9:AU9,"&lt;&gt;"))</f>
        <v/>
      </c>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21"/>
    </row>
    <row r="10" spans="1:47" ht="60" customHeight="1" x14ac:dyDescent="0.35">
      <c r="A10" s="119" t="s">
        <v>1125</v>
      </c>
      <c r="B10" s="109" t="s">
        <v>1126</v>
      </c>
      <c r="C10" s="110" t="s">
        <v>1127</v>
      </c>
      <c r="D10" s="110" t="s">
        <v>1128</v>
      </c>
      <c r="E10" s="110" t="s">
        <v>21</v>
      </c>
      <c r="F10" s="111" t="s">
        <v>1129</v>
      </c>
      <c r="G10" s="112" t="str">
        <f>IF(COUNTIF(H10:AU10,"&lt;&gt;")=0,"",SUMPRODUCT(((Recommendations[ImplStatus]="Implemented")+(Recommendations[ImplStatus]="Compensated"))*ISNUMBER(MATCH(Recommendations[Id],H10:AU10,0)))/COUNTIF(H10:AU10,"&lt;&gt;"))</f>
        <v/>
      </c>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21"/>
    </row>
    <row r="11" spans="1:47" ht="60" customHeight="1" x14ac:dyDescent="0.35">
      <c r="A11" s="119" t="s">
        <v>1130</v>
      </c>
      <c r="B11" s="109" t="s">
        <v>1131</v>
      </c>
      <c r="C11" s="110" t="s">
        <v>1132</v>
      </c>
      <c r="D11" s="110" t="s">
        <v>1133</v>
      </c>
      <c r="E11" s="110" t="s">
        <v>21</v>
      </c>
      <c r="F11" s="111" t="s">
        <v>1134</v>
      </c>
      <c r="G11" s="112" t="str">
        <f>IF(COUNTIF(H11:AU11,"&lt;&gt;")=0,"",SUMPRODUCT(((Recommendations[ImplStatus]="Implemented")+(Recommendations[ImplStatus]="Compensated"))*ISNUMBER(MATCH(Recommendations[Id],H11:AU11,0)))/COUNTIF(H11:AU11,"&lt;&gt;"))</f>
        <v/>
      </c>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21"/>
    </row>
    <row r="12" spans="1:47" ht="60" customHeight="1" x14ac:dyDescent="0.35">
      <c r="A12" s="119" t="s">
        <v>1135</v>
      </c>
      <c r="B12" s="109" t="s">
        <v>1136</v>
      </c>
      <c r="C12" s="110" t="s">
        <v>1137</v>
      </c>
      <c r="D12" s="110" t="s">
        <v>1138</v>
      </c>
      <c r="E12" s="110" t="s">
        <v>21</v>
      </c>
      <c r="F12" s="111" t="s">
        <v>1139</v>
      </c>
      <c r="G12" s="112" t="str">
        <f>IF(COUNTIF(H12:AU12,"&lt;&gt;")=0,"",SUMPRODUCT(((Recommendations[ImplStatus]="Implemented")+(Recommendations[ImplStatus]="Compensated"))*ISNUMBER(MATCH(Recommendations[Id],H12:AU12,0)))/COUNTIF(H12:AU12,"&lt;&gt;"))</f>
        <v/>
      </c>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21"/>
    </row>
    <row r="13" spans="1:47" ht="60" customHeight="1" x14ac:dyDescent="0.35">
      <c r="A13" s="119" t="s">
        <v>1140</v>
      </c>
      <c r="B13" s="109" t="s">
        <v>1141</v>
      </c>
      <c r="C13" s="110" t="s">
        <v>1142</v>
      </c>
      <c r="D13" s="110" t="s">
        <v>1143</v>
      </c>
      <c r="E13" s="110" t="s">
        <v>21</v>
      </c>
      <c r="F13" s="111" t="s">
        <v>1144</v>
      </c>
      <c r="G13" s="112" t="str">
        <f>IF(COUNTIF(H13:AU13,"&lt;&gt;")=0,"",SUMPRODUCT(((Recommendations[ImplStatus]="Implemented")+(Recommendations[ImplStatus]="Compensated"))*ISNUMBER(MATCH(Recommendations[Id],H13:AU13,0)))/COUNTIF(H13:AU13,"&lt;&gt;"))</f>
        <v/>
      </c>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21"/>
    </row>
    <row r="14" spans="1:47" ht="60" customHeight="1" x14ac:dyDescent="0.35">
      <c r="A14" s="119" t="s">
        <v>1145</v>
      </c>
      <c r="B14" s="109" t="s">
        <v>1146</v>
      </c>
      <c r="C14" s="110" t="s">
        <v>1147</v>
      </c>
      <c r="D14" s="110" t="s">
        <v>1148</v>
      </c>
      <c r="E14" s="110" t="s">
        <v>21</v>
      </c>
      <c r="F14" s="111" t="s">
        <v>1149</v>
      </c>
      <c r="G14" s="112">
        <f>IF(COUNTIF(H14:AU14,"&lt;&gt;")=0,"",SUMPRODUCT(((Recommendations[ImplStatus]="Implemented")+(Recommendations[ImplStatus]="Compensated"))*ISNUMBER(MATCH(Recommendations[Id],H14:AU14,0)))/COUNTIF(H14:AU14,"&lt;&gt;"))</f>
        <v>0</v>
      </c>
      <c r="H14" s="113" t="s">
        <v>67</v>
      </c>
      <c r="I14" s="113" t="s">
        <v>87</v>
      </c>
      <c r="J14" s="113" t="s">
        <v>92</v>
      </c>
      <c r="K14" s="113" t="s">
        <v>114</v>
      </c>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21"/>
    </row>
    <row r="15" spans="1:47" ht="60" customHeight="1" x14ac:dyDescent="0.35">
      <c r="A15" s="119" t="s">
        <v>1150</v>
      </c>
      <c r="B15" s="109" t="s">
        <v>1151</v>
      </c>
      <c r="C15" s="110" t="s">
        <v>1152</v>
      </c>
      <c r="D15" s="110" t="s">
        <v>1153</v>
      </c>
      <c r="E15" s="110" t="s">
        <v>21</v>
      </c>
      <c r="F15" s="111" t="s">
        <v>1154</v>
      </c>
      <c r="G15" s="112" t="str">
        <f>IF(COUNTIF(H15:AU15,"&lt;&gt;")=0,"",SUMPRODUCT(((Recommendations[ImplStatus]="Implemented")+(Recommendations[ImplStatus]="Compensated"))*ISNUMBER(MATCH(Recommendations[Id],H15:AU15,0)))/COUNTIF(H15:AU15,"&lt;&gt;"))</f>
        <v/>
      </c>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21"/>
    </row>
    <row r="16" spans="1:47" ht="60" customHeight="1" x14ac:dyDescent="0.35">
      <c r="A16" s="119" t="s">
        <v>1155</v>
      </c>
      <c r="B16" s="109" t="s">
        <v>1156</v>
      </c>
      <c r="C16" s="110" t="s">
        <v>1157</v>
      </c>
      <c r="D16" s="110" t="s">
        <v>1158</v>
      </c>
      <c r="E16" s="110" t="s">
        <v>21</v>
      </c>
      <c r="F16" s="111" t="s">
        <v>1159</v>
      </c>
      <c r="G16" s="112">
        <f>IF(COUNTIF(H16:AU16,"&lt;&gt;")=0,"",SUMPRODUCT(((Recommendations[ImplStatus]="Implemented")+(Recommendations[ImplStatus]="Compensated"))*ISNUMBER(MATCH(Recommendations[Id],H16:AU16,0)))/COUNTIF(H16:AU16,"&lt;&gt;"))</f>
        <v>0</v>
      </c>
      <c r="H16" s="113" t="s">
        <v>14</v>
      </c>
      <c r="I16" s="113" t="s">
        <v>31</v>
      </c>
      <c r="J16" s="113" t="s">
        <v>41</v>
      </c>
      <c r="K16" s="113" t="s">
        <v>44</v>
      </c>
      <c r="L16" s="113" t="s">
        <v>47</v>
      </c>
      <c r="M16" s="113" t="s">
        <v>50</v>
      </c>
      <c r="N16" s="113" t="s">
        <v>61</v>
      </c>
      <c r="O16" s="113" t="s">
        <v>83</v>
      </c>
      <c r="P16" s="113" t="s">
        <v>108</v>
      </c>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21"/>
    </row>
    <row r="17" spans="1:47" ht="60" customHeight="1" x14ac:dyDescent="0.35">
      <c r="A17" s="119" t="s">
        <v>1160</v>
      </c>
      <c r="B17" s="109" t="s">
        <v>1161</v>
      </c>
      <c r="C17" s="110" t="s">
        <v>1162</v>
      </c>
      <c r="D17" s="110" t="s">
        <v>1163</v>
      </c>
      <c r="E17" s="110" t="s">
        <v>21</v>
      </c>
      <c r="F17" s="111" t="s">
        <v>1164</v>
      </c>
      <c r="G17" s="112" t="str">
        <f>IF(COUNTIF(H17:AU17,"&lt;&gt;")=0,"",SUMPRODUCT(((Recommendations[ImplStatus]="Implemented")+(Recommendations[ImplStatus]="Compensated"))*ISNUMBER(MATCH(Recommendations[Id],H17:AU17,0)))/COUNTIF(H17:AU17,"&lt;&gt;"))</f>
        <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21"/>
    </row>
    <row r="18" spans="1:47" ht="60" customHeight="1" x14ac:dyDescent="0.35">
      <c r="A18" s="119" t="s">
        <v>1165</v>
      </c>
      <c r="B18" s="109" t="s">
        <v>1166</v>
      </c>
      <c r="C18" s="110" t="s">
        <v>1167</v>
      </c>
      <c r="D18" s="110" t="s">
        <v>1168</v>
      </c>
      <c r="E18" s="110" t="s">
        <v>21</v>
      </c>
      <c r="F18" s="111" t="s">
        <v>1169</v>
      </c>
      <c r="G18" s="112" t="str">
        <f>IF(COUNTIF(H18:AU18,"&lt;&gt;")=0,"",SUMPRODUCT(((Recommendations[ImplStatus]="Implemented")+(Recommendations[ImplStatus]="Compensated"))*ISNUMBER(MATCH(Recommendations[Id],H18:AU18,0)))/COUNTIF(H18:AU18,"&lt;&gt;"))</f>
        <v/>
      </c>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21"/>
    </row>
    <row r="19" spans="1:47" ht="60" customHeight="1" x14ac:dyDescent="0.35">
      <c r="A19" s="119" t="s">
        <v>1170</v>
      </c>
      <c r="B19" s="109" t="s">
        <v>1171</v>
      </c>
      <c r="C19" s="110" t="s">
        <v>1172</v>
      </c>
      <c r="D19" s="110" t="s">
        <v>1173</v>
      </c>
      <c r="E19" s="110" t="s">
        <v>21</v>
      </c>
      <c r="F19" s="111" t="s">
        <v>1174</v>
      </c>
      <c r="G19" s="112" t="str">
        <f>IF(COUNTIF(H19:AU19,"&lt;&gt;")=0,"",SUMPRODUCT(((Recommendations[ImplStatus]="Implemented")+(Recommendations[ImplStatus]="Compensated"))*ISNUMBER(MATCH(Recommendations[Id],H19:AU19,0)))/COUNTIF(H19:AU19,"&lt;&gt;"))</f>
        <v/>
      </c>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21"/>
    </row>
    <row r="20" spans="1:47" ht="60" customHeight="1" x14ac:dyDescent="0.35">
      <c r="A20" s="119" t="s">
        <v>1175</v>
      </c>
      <c r="B20" s="109" t="s">
        <v>1176</v>
      </c>
      <c r="C20" s="110" t="s">
        <v>1177</v>
      </c>
      <c r="D20" s="110" t="s">
        <v>1178</v>
      </c>
      <c r="E20" s="110" t="s">
        <v>21</v>
      </c>
      <c r="F20" s="111" t="s">
        <v>1179</v>
      </c>
      <c r="G20" s="112" t="str">
        <f>IF(COUNTIF(H20:AU20,"&lt;&gt;")=0,"",SUMPRODUCT(((Recommendations[ImplStatus]="Implemented")+(Recommendations[ImplStatus]="Compensated"))*ISNUMBER(MATCH(Recommendations[Id],H20:AU20,0)))/COUNTIF(H20:AU20,"&lt;&gt;"))</f>
        <v/>
      </c>
      <c r="H20" s="113"/>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21"/>
    </row>
    <row r="21" spans="1:47" ht="60" customHeight="1" x14ac:dyDescent="0.35">
      <c r="A21" s="119" t="s">
        <v>1180</v>
      </c>
      <c r="B21" s="109" t="s">
        <v>1181</v>
      </c>
      <c r="C21" s="110" t="s">
        <v>1182</v>
      </c>
      <c r="D21" s="110" t="s">
        <v>1183</v>
      </c>
      <c r="E21" s="110" t="s">
        <v>1184</v>
      </c>
      <c r="F21" s="111" t="s">
        <v>1185</v>
      </c>
      <c r="G21" s="112" t="str">
        <f>IF(COUNTIF(H21:AU21,"&lt;&gt;")=0,"",SUMPRODUCT(((Recommendations[ImplStatus]="Implemented")+(Recommendations[ImplStatus]="Compensated"))*ISNUMBER(MATCH(Recommendations[Id],H21:AU21,0)))/COUNTIF(H21:AU21,"&lt;&gt;"))</f>
        <v/>
      </c>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21"/>
    </row>
    <row r="22" spans="1:47" ht="60" customHeight="1" x14ac:dyDescent="0.35">
      <c r="A22" s="119" t="s">
        <v>1186</v>
      </c>
      <c r="B22" s="109" t="s">
        <v>1187</v>
      </c>
      <c r="C22" s="110" t="s">
        <v>1188</v>
      </c>
      <c r="D22" s="110" t="s">
        <v>1189</v>
      </c>
      <c r="E22" s="110" t="s">
        <v>1190</v>
      </c>
      <c r="F22" s="111" t="s">
        <v>1191</v>
      </c>
      <c r="G22" s="112" t="str">
        <f>IF(COUNTIF(H22:AU22,"&lt;&gt;")=0,"",SUMPRODUCT(((Recommendations[ImplStatus]="Implemented")+(Recommendations[ImplStatus]="Compensated"))*ISNUMBER(MATCH(Recommendations[Id],H22:AU22,0)))/COUNTIF(H22:AU22,"&lt;&gt;"))</f>
        <v/>
      </c>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21"/>
    </row>
    <row r="23" spans="1:47" ht="60" customHeight="1" x14ac:dyDescent="0.35">
      <c r="A23" s="119" t="s">
        <v>1192</v>
      </c>
      <c r="B23" s="109" t="s">
        <v>1193</v>
      </c>
      <c r="C23" s="110" t="s">
        <v>1194</v>
      </c>
      <c r="D23" s="110" t="s">
        <v>1195</v>
      </c>
      <c r="E23" s="110" t="s">
        <v>1196</v>
      </c>
      <c r="F23" s="111" t="s">
        <v>1197</v>
      </c>
      <c r="G23" s="112" t="str">
        <f>IF(COUNTIF(H23:AU23,"&lt;&gt;")=0,"",SUMPRODUCT(((Recommendations[ImplStatus]="Implemented")+(Recommendations[ImplStatus]="Compensated"))*ISNUMBER(MATCH(Recommendations[Id],H23:AU23,0)))/COUNTIF(H23:AU23,"&lt;&gt;"))</f>
        <v/>
      </c>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21"/>
    </row>
    <row r="24" spans="1:47" ht="60" customHeight="1" x14ac:dyDescent="0.35">
      <c r="A24" s="119" t="s">
        <v>1198</v>
      </c>
      <c r="B24" s="109" t="s">
        <v>1199</v>
      </c>
      <c r="C24" s="110" t="s">
        <v>1200</v>
      </c>
      <c r="D24" s="110" t="s">
        <v>1201</v>
      </c>
      <c r="E24" s="110" t="s">
        <v>21</v>
      </c>
      <c r="F24" s="111" t="s">
        <v>1202</v>
      </c>
      <c r="G24" s="112">
        <f>IF(COUNTIF(H24:AU24,"&lt;&gt;")=0,"",SUMPRODUCT(((Recommendations[ImplStatus]="Implemented")+(Recommendations[ImplStatus]="Compensated"))*ISNUMBER(MATCH(Recommendations[Id],H24:AU24,0)))/COUNTIF(H24:AU24,"&lt;&gt;"))</f>
        <v>0</v>
      </c>
      <c r="H24" s="113" t="s">
        <v>56</v>
      </c>
      <c r="I24" s="113" t="s">
        <v>102</v>
      </c>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21"/>
    </row>
    <row r="25" spans="1:47" ht="60" customHeight="1" x14ac:dyDescent="0.35">
      <c r="A25" s="119" t="s">
        <v>1203</v>
      </c>
      <c r="B25" s="109" t="s">
        <v>1204</v>
      </c>
      <c r="C25" s="110" t="s">
        <v>1205</v>
      </c>
      <c r="D25" s="110" t="s">
        <v>21</v>
      </c>
      <c r="E25" s="110" t="s">
        <v>21</v>
      </c>
      <c r="F25" s="111" t="s">
        <v>1206</v>
      </c>
      <c r="G25" s="112" t="str">
        <f>IF(COUNTIF(H25:AU25,"&lt;&gt;")=0,"",SUMPRODUCT(((Recommendations[ImplStatus]="Implemented")+(Recommendations[ImplStatus]="Compensated"))*ISNUMBER(MATCH(Recommendations[Id],H25:AU25,0)))/COUNTIF(H25:AU25,"&lt;&gt;"))</f>
        <v/>
      </c>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21"/>
    </row>
    <row r="26" spans="1:47" ht="60" customHeight="1" x14ac:dyDescent="0.35">
      <c r="A26" s="119" t="s">
        <v>1207</v>
      </c>
      <c r="B26" s="109" t="s">
        <v>1208</v>
      </c>
      <c r="C26" s="110" t="s">
        <v>1209</v>
      </c>
      <c r="D26" s="110" t="s">
        <v>1210</v>
      </c>
      <c r="E26" s="110" t="s">
        <v>21</v>
      </c>
      <c r="F26" s="111" t="s">
        <v>1211</v>
      </c>
      <c r="G26" s="112" t="str">
        <f>IF(COUNTIF(H26:AU26,"&lt;&gt;")=0,"",SUMPRODUCT(((Recommendations[ImplStatus]="Implemented")+(Recommendations[ImplStatus]="Compensated"))*ISNUMBER(MATCH(Recommendations[Id],H26:AU26,0)))/COUNTIF(H26:AU26,"&lt;&gt;"))</f>
        <v/>
      </c>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21"/>
    </row>
    <row r="27" spans="1:47" ht="60" customHeight="1" x14ac:dyDescent="0.35">
      <c r="A27" s="119" t="s">
        <v>1212</v>
      </c>
      <c r="B27" s="109" t="s">
        <v>1213</v>
      </c>
      <c r="C27" s="110" t="s">
        <v>1214</v>
      </c>
      <c r="D27" s="110" t="s">
        <v>1215</v>
      </c>
      <c r="E27" s="110" t="s">
        <v>1216</v>
      </c>
      <c r="F27" s="111" t="s">
        <v>1217</v>
      </c>
      <c r="G27" s="112" t="str">
        <f>IF(COUNTIF(H27:AU27,"&lt;&gt;")=0,"",SUMPRODUCT(((Recommendations[ImplStatus]="Implemented")+(Recommendations[ImplStatus]="Compensated"))*ISNUMBER(MATCH(Recommendations[Id],H27:AU27,0)))/COUNTIF(H27:AU27,"&lt;&gt;"))</f>
        <v/>
      </c>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21"/>
    </row>
    <row r="28" spans="1:47" ht="60" customHeight="1" x14ac:dyDescent="0.35">
      <c r="A28" s="119" t="s">
        <v>1218</v>
      </c>
      <c r="B28" s="109" t="s">
        <v>1219</v>
      </c>
      <c r="C28" s="110" t="s">
        <v>1220</v>
      </c>
      <c r="D28" s="110" t="s">
        <v>21</v>
      </c>
      <c r="E28" s="110" t="s">
        <v>21</v>
      </c>
      <c r="F28" s="111" t="s">
        <v>1221</v>
      </c>
      <c r="G28" s="112" t="str">
        <f>IF(COUNTIF(H28:AU28,"&lt;&gt;")=0,"",SUMPRODUCT(((Recommendations[ImplStatus]="Implemented")+(Recommendations[ImplStatus]="Compensated"))*ISNUMBER(MATCH(Recommendations[Id],H28:AU28,0)))/COUNTIF(H28:AU28,"&lt;&gt;"))</f>
        <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21"/>
    </row>
    <row r="29" spans="1:47" ht="60" customHeight="1" x14ac:dyDescent="0.35">
      <c r="A29" s="119" t="s">
        <v>1222</v>
      </c>
      <c r="B29" s="109" t="s">
        <v>1223</v>
      </c>
      <c r="C29" s="110" t="s">
        <v>1224</v>
      </c>
      <c r="D29" s="110" t="s">
        <v>1225</v>
      </c>
      <c r="E29" s="110" t="s">
        <v>1226</v>
      </c>
      <c r="F29" s="111" t="s">
        <v>1227</v>
      </c>
      <c r="G29" s="112" t="str">
        <f>IF(COUNTIF(H29:AU29,"&lt;&gt;")=0,"",SUMPRODUCT(((Recommendations[ImplStatus]="Implemented")+(Recommendations[ImplStatus]="Compensated"))*ISNUMBER(MATCH(Recommendations[Id],H29:AU29,0)))/COUNTIF(H29:AU29,"&lt;&gt;"))</f>
        <v/>
      </c>
      <c r="H29" s="113"/>
      <c r="I29" s="113"/>
      <c r="J29" s="113"/>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21"/>
    </row>
    <row r="30" spans="1:47" ht="60" customHeight="1" x14ac:dyDescent="0.35">
      <c r="A30" s="119" t="s">
        <v>1228</v>
      </c>
      <c r="B30" s="109" t="s">
        <v>1229</v>
      </c>
      <c r="C30" s="110" t="s">
        <v>1230</v>
      </c>
      <c r="D30" s="110" t="s">
        <v>1231</v>
      </c>
      <c r="E30" s="110" t="s">
        <v>21</v>
      </c>
      <c r="F30" s="111" t="s">
        <v>1232</v>
      </c>
      <c r="G30" s="112" t="str">
        <f>IF(COUNTIF(H30:AU30,"&lt;&gt;")=0,"",SUMPRODUCT(((Recommendations[ImplStatus]="Implemented")+(Recommendations[ImplStatus]="Compensated"))*ISNUMBER(MATCH(Recommendations[Id],H30:AU30,0)))/COUNTIF(H30:AU30,"&lt;&gt;"))</f>
        <v/>
      </c>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21"/>
    </row>
    <row r="31" spans="1:47" ht="60" customHeight="1" x14ac:dyDescent="0.35">
      <c r="A31" s="119" t="s">
        <v>1233</v>
      </c>
      <c r="B31" s="109" t="s">
        <v>1234</v>
      </c>
      <c r="C31" s="110" t="s">
        <v>1235</v>
      </c>
      <c r="D31" s="110" t="s">
        <v>1236</v>
      </c>
      <c r="E31" s="110" t="s">
        <v>1237</v>
      </c>
      <c r="F31" s="111" t="s">
        <v>1238</v>
      </c>
      <c r="G31" s="112">
        <f>IF(COUNTIF(H31:AU31,"&lt;&gt;")=0,"",SUMPRODUCT(((Recommendations[ImplStatus]="Implemented")+(Recommendations[ImplStatus]="Compensated"))*ISNUMBER(MATCH(Recommendations[Id],H31:AU31,0)))/COUNTIF(H31:AU31,"&lt;&gt;"))</f>
        <v>0</v>
      </c>
      <c r="H31" s="113" t="s">
        <v>25</v>
      </c>
      <c r="I31" s="113"/>
      <c r="J31" s="113"/>
      <c r="K31" s="113"/>
      <c r="L31" s="113"/>
      <c r="M31" s="113"/>
      <c r="N31" s="113"/>
      <c r="O31" s="113"/>
      <c r="P31" s="113"/>
      <c r="Q31" s="113"/>
      <c r="R31" s="113"/>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21"/>
    </row>
    <row r="32" spans="1:47" ht="60" customHeight="1" x14ac:dyDescent="0.35">
      <c r="A32" s="119" t="s">
        <v>1239</v>
      </c>
      <c r="B32" s="109" t="s">
        <v>1240</v>
      </c>
      <c r="C32" s="110" t="s">
        <v>1241</v>
      </c>
      <c r="D32" s="110" t="s">
        <v>1242</v>
      </c>
      <c r="E32" s="110" t="s">
        <v>1243</v>
      </c>
      <c r="F32" s="111" t="s">
        <v>1244</v>
      </c>
      <c r="G32" s="112" t="str">
        <f>IF(COUNTIF(H32:AU32,"&lt;&gt;")=0,"",SUMPRODUCT(((Recommendations[ImplStatus]="Implemented")+(Recommendations[ImplStatus]="Compensated"))*ISNUMBER(MATCH(Recommendations[Id],H32:AU32,0)))/COUNTIF(H32:AU32,"&lt;&gt;"))</f>
        <v/>
      </c>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21"/>
    </row>
    <row r="33" spans="1:47" ht="60" customHeight="1" x14ac:dyDescent="0.35">
      <c r="A33" s="119" t="s">
        <v>1245</v>
      </c>
      <c r="B33" s="109" t="s">
        <v>1246</v>
      </c>
      <c r="C33" s="110" t="s">
        <v>1247</v>
      </c>
      <c r="D33" s="110" t="s">
        <v>1248</v>
      </c>
      <c r="E33" s="110" t="s">
        <v>21</v>
      </c>
      <c r="F33" s="111" t="s">
        <v>1249</v>
      </c>
      <c r="G33" s="112" t="str">
        <f>IF(COUNTIF(H33:AU33,"&lt;&gt;")=0,"",SUMPRODUCT(((Recommendations[ImplStatus]="Implemented")+(Recommendations[ImplStatus]="Compensated"))*ISNUMBER(MATCH(Recommendations[Id],H33:AU33,0)))/COUNTIF(H33:AU33,"&lt;&gt;"))</f>
        <v/>
      </c>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21"/>
    </row>
    <row r="34" spans="1:47" ht="60" customHeight="1" x14ac:dyDescent="0.35">
      <c r="A34" s="119" t="s">
        <v>1250</v>
      </c>
      <c r="B34" s="109" t="s">
        <v>1251</v>
      </c>
      <c r="C34" s="110" t="s">
        <v>1252</v>
      </c>
      <c r="D34" s="110" t="s">
        <v>1253</v>
      </c>
      <c r="E34" s="110" t="s">
        <v>21</v>
      </c>
      <c r="F34" s="111" t="s">
        <v>1254</v>
      </c>
      <c r="G34" s="112" t="str">
        <f>IF(COUNTIF(H34:AU34,"&lt;&gt;")=0,"",SUMPRODUCT(((Recommendations[ImplStatus]="Implemented")+(Recommendations[ImplStatus]="Compensated"))*ISNUMBER(MATCH(Recommendations[Id],H34:AU34,0)))/COUNTIF(H34:AU34,"&lt;&gt;"))</f>
        <v/>
      </c>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21"/>
    </row>
    <row r="35" spans="1:47" ht="60" customHeight="1" x14ac:dyDescent="0.35">
      <c r="A35" s="119" t="s">
        <v>1255</v>
      </c>
      <c r="B35" s="109" t="s">
        <v>1256</v>
      </c>
      <c r="C35" s="110" t="s">
        <v>1257</v>
      </c>
      <c r="D35" s="110" t="s">
        <v>1258</v>
      </c>
      <c r="E35" s="110" t="s">
        <v>1259</v>
      </c>
      <c r="F35" s="111" t="s">
        <v>1260</v>
      </c>
      <c r="G35" s="112" t="str">
        <f>IF(COUNTIF(H35:AU35,"&lt;&gt;")=0,"",SUMPRODUCT(((Recommendations[ImplStatus]="Implemented")+(Recommendations[ImplStatus]="Compensated"))*ISNUMBER(MATCH(Recommendations[Id],H35:AU35,0)))/COUNTIF(H35:AU35,"&lt;&gt;"))</f>
        <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21"/>
    </row>
    <row r="36" spans="1:47" ht="60" customHeight="1" x14ac:dyDescent="0.35">
      <c r="A36" s="119" t="s">
        <v>1261</v>
      </c>
      <c r="B36" s="109" t="s">
        <v>1262</v>
      </c>
      <c r="C36" s="110" t="s">
        <v>1263</v>
      </c>
      <c r="D36" s="110" t="s">
        <v>1264</v>
      </c>
      <c r="E36" s="110" t="s">
        <v>1265</v>
      </c>
      <c r="F36" s="111" t="s">
        <v>1266</v>
      </c>
      <c r="G36" s="112" t="str">
        <f>IF(COUNTIF(H36:AU36,"&lt;&gt;")=0,"",SUMPRODUCT(((Recommendations[ImplStatus]="Implemented")+(Recommendations[ImplStatus]="Compensated"))*ISNUMBER(MATCH(Recommendations[Id],H36:AU36,0)))/COUNTIF(H36:AU36,"&lt;&gt;"))</f>
        <v/>
      </c>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21"/>
    </row>
    <row r="37" spans="1:47" ht="60" customHeight="1" x14ac:dyDescent="0.35">
      <c r="A37" s="119" t="s">
        <v>1267</v>
      </c>
      <c r="B37" s="109" t="s">
        <v>1268</v>
      </c>
      <c r="C37" s="110" t="s">
        <v>1269</v>
      </c>
      <c r="D37" s="110" t="s">
        <v>1270</v>
      </c>
      <c r="E37" s="110" t="s">
        <v>21</v>
      </c>
      <c r="F37" s="111" t="s">
        <v>1271</v>
      </c>
      <c r="G37" s="112" t="str">
        <f>IF(COUNTIF(H37:AU37,"&lt;&gt;")=0,"",SUMPRODUCT(((Recommendations[ImplStatus]="Implemented")+(Recommendations[ImplStatus]="Compensated"))*ISNUMBER(MATCH(Recommendations[Id],H37:AU37,0)))/COUNTIF(H37:AU37,"&lt;&gt;"))</f>
        <v/>
      </c>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21"/>
    </row>
    <row r="38" spans="1:47" ht="60" customHeight="1" x14ac:dyDescent="0.35">
      <c r="A38" s="119" t="s">
        <v>1272</v>
      </c>
      <c r="B38" s="109" t="s">
        <v>1273</v>
      </c>
      <c r="C38" s="110" t="s">
        <v>1274</v>
      </c>
      <c r="D38" s="110" t="s">
        <v>1275</v>
      </c>
      <c r="E38" s="110" t="s">
        <v>1276</v>
      </c>
      <c r="F38" s="111" t="s">
        <v>1277</v>
      </c>
      <c r="G38" s="112">
        <f>IF(COUNTIF(H38:AU38,"&lt;&gt;")=0,"",SUMPRODUCT(((Recommendations[ImplStatus]="Implemented")+(Recommendations[ImplStatus]="Compensated"))*ISNUMBER(MATCH(Recommendations[Id],H38:AU38,0)))/COUNTIF(H38:AU38,"&lt;&gt;"))</f>
        <v>0</v>
      </c>
      <c r="H38" s="113" t="s">
        <v>97</v>
      </c>
      <c r="I38" s="113" t="s">
        <v>119</v>
      </c>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21"/>
    </row>
    <row r="39" spans="1:47" ht="60" customHeight="1" x14ac:dyDescent="0.35">
      <c r="A39" s="119" t="s">
        <v>1278</v>
      </c>
      <c r="B39" s="109" t="s">
        <v>1279</v>
      </c>
      <c r="C39" s="110" t="s">
        <v>1280</v>
      </c>
      <c r="D39" s="110" t="s">
        <v>1281</v>
      </c>
      <c r="E39" s="110" t="s">
        <v>21</v>
      </c>
      <c r="F39" s="111" t="s">
        <v>1282</v>
      </c>
      <c r="G39" s="112" t="str">
        <f>IF(COUNTIF(H39:AU39,"&lt;&gt;")=0,"",SUMPRODUCT(((Recommendations[ImplStatus]="Implemented")+(Recommendations[ImplStatus]="Compensated"))*ISNUMBER(MATCH(Recommendations[Id],H39:AU39,0)))/COUNTIF(H39:AU39,"&lt;&gt;"))</f>
        <v/>
      </c>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21"/>
    </row>
    <row r="40" spans="1:47" ht="60" customHeight="1" x14ac:dyDescent="0.35">
      <c r="A40" s="119" t="s">
        <v>1283</v>
      </c>
      <c r="B40" s="109" t="s">
        <v>1284</v>
      </c>
      <c r="C40" s="110" t="s">
        <v>1285</v>
      </c>
      <c r="D40" s="110" t="s">
        <v>1286</v>
      </c>
      <c r="E40" s="110" t="s">
        <v>1287</v>
      </c>
      <c r="F40" s="111" t="s">
        <v>1288</v>
      </c>
      <c r="G40" s="112" t="str">
        <f>IF(COUNTIF(H40:AU40,"&lt;&gt;")=0,"",SUMPRODUCT(((Recommendations[ImplStatus]="Implemented")+(Recommendations[ImplStatus]="Compensated"))*ISNUMBER(MATCH(Recommendations[Id],H40:AU40,0)))/COUNTIF(H40:AU40,"&lt;&gt;"))</f>
        <v/>
      </c>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21"/>
    </row>
    <row r="41" spans="1:47" ht="60" customHeight="1" x14ac:dyDescent="0.35">
      <c r="A41" s="119" t="s">
        <v>1289</v>
      </c>
      <c r="B41" s="109" t="s">
        <v>1290</v>
      </c>
      <c r="C41" s="110" t="s">
        <v>1291</v>
      </c>
      <c r="D41" s="110" t="s">
        <v>1292</v>
      </c>
      <c r="E41" s="110" t="s">
        <v>1293</v>
      </c>
      <c r="F41" s="111" t="s">
        <v>1294</v>
      </c>
      <c r="G41" s="112" t="str">
        <f>IF(COUNTIF(H41:AU41,"&lt;&gt;")=0,"",SUMPRODUCT(((Recommendations[ImplStatus]="Implemented")+(Recommendations[ImplStatus]="Compensated"))*ISNUMBER(MATCH(Recommendations[Id],H41:AU41,0)))/COUNTIF(H41:AU41,"&lt;&gt;"))</f>
        <v/>
      </c>
      <c r="H41" s="113"/>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21"/>
    </row>
    <row r="42" spans="1:47" ht="60" customHeight="1" x14ac:dyDescent="0.35">
      <c r="A42" s="119" t="s">
        <v>1295</v>
      </c>
      <c r="B42" s="109" t="s">
        <v>1296</v>
      </c>
      <c r="C42" s="110" t="s">
        <v>1297</v>
      </c>
      <c r="D42" s="110" t="s">
        <v>1298</v>
      </c>
      <c r="E42" s="110" t="s">
        <v>1299</v>
      </c>
      <c r="F42" s="111" t="s">
        <v>1300</v>
      </c>
      <c r="G42" s="112" t="str">
        <f>IF(COUNTIF(H42:AU42,"&lt;&gt;")=0,"",SUMPRODUCT(((Recommendations[ImplStatus]="Implemented")+(Recommendations[ImplStatus]="Compensated"))*ISNUMBER(MATCH(Recommendations[Id],H42:AU42,0)))/COUNTIF(H42:AU42,"&lt;&gt;"))</f>
        <v/>
      </c>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21"/>
    </row>
    <row r="43" spans="1:47" ht="60" customHeight="1" x14ac:dyDescent="0.35">
      <c r="A43" s="119" t="s">
        <v>1301</v>
      </c>
      <c r="B43" s="109" t="s">
        <v>1302</v>
      </c>
      <c r="C43" s="110" t="s">
        <v>1303</v>
      </c>
      <c r="D43" s="110" t="s">
        <v>1304</v>
      </c>
      <c r="E43" s="110" t="s">
        <v>1305</v>
      </c>
      <c r="F43" s="111" t="s">
        <v>1306</v>
      </c>
      <c r="G43" s="112" t="str">
        <f>IF(COUNTIF(H43:AU43,"&lt;&gt;")=0,"",SUMPRODUCT(((Recommendations[ImplStatus]="Implemented")+(Recommendations[ImplStatus]="Compensated"))*ISNUMBER(MATCH(Recommendations[Id],H43:AU43,0)))/COUNTIF(H43:AU43,"&lt;&gt;"))</f>
        <v/>
      </c>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21"/>
    </row>
    <row r="44" spans="1:47" ht="60" customHeight="1" x14ac:dyDescent="0.35">
      <c r="A44" s="119" t="s">
        <v>1307</v>
      </c>
      <c r="B44" s="109" t="s">
        <v>1308</v>
      </c>
      <c r="C44" s="110" t="s">
        <v>1309</v>
      </c>
      <c r="D44" s="110" t="s">
        <v>1310</v>
      </c>
      <c r="E44" s="110" t="s">
        <v>21</v>
      </c>
      <c r="F44" s="111" t="s">
        <v>1311</v>
      </c>
      <c r="G44" s="112" t="str">
        <f>IF(COUNTIF(H44:AU44,"&lt;&gt;")=0,"",SUMPRODUCT(((Recommendations[ImplStatus]="Implemented")+(Recommendations[ImplStatus]="Compensated"))*ISNUMBER(MATCH(Recommendations[Id],H44:AU44,0)))/COUNTIF(H44:AU44,"&lt;&gt;"))</f>
        <v/>
      </c>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21"/>
    </row>
    <row r="45" spans="1:47" ht="60" customHeight="1" x14ac:dyDescent="0.35">
      <c r="A45" s="120" t="s">
        <v>1312</v>
      </c>
      <c r="B45" s="114" t="s">
        <v>1313</v>
      </c>
      <c r="C45" s="115" t="s">
        <v>1314</v>
      </c>
      <c r="D45" s="115" t="s">
        <v>1315</v>
      </c>
      <c r="E45" s="115" t="s">
        <v>1316</v>
      </c>
      <c r="F45" s="116" t="s">
        <v>1317</v>
      </c>
      <c r="G45" s="117" t="str">
        <f>IF(COUNTIF(H45:AU45,"&lt;&gt;")=0,"",SUMPRODUCT(((Recommendations[ImplStatus]="Implemented")+(Recommendations[ImplStatus]="Compensated"))*ISNUMBER(MATCH(Recommendations[Id],H45:AU45,0)))/COUNTIF(H45:AU45,"&lt;&gt;"))</f>
        <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22"/>
    </row>
    <row r="49" spans="1:4" ht="32" customHeight="1" x14ac:dyDescent="0.35">
      <c r="A49" s="291" t="s">
        <v>124</v>
      </c>
      <c r="B49" s="291"/>
      <c r="C49" s="291"/>
      <c r="D49" s="291"/>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IFERROR(INDEX('Recommendations'!$H$2:$H$22, MATCH(H2,'Recommendations'!$A$2:$A$22,0))="Implemented", FALSE))</xm:f>
            <x14:dxf>
              <font>
                <color rgb="FF000000"/>
              </font>
              <fill>
                <patternFill>
                  <bgColor rgb="FF3C7D22"/>
                </patternFill>
              </fill>
            </x14:dxf>
          </x14:cfRule>
          <x14:cfRule type="expression" priority="2" id="{00000000-000E-0000-0500-000002000000}">
            <xm:f>AND(H2&lt;&gt;"", IFERROR(INDEX('Recommendations'!$H$2:$H$22, MATCH(H2,'Recommendations'!$A$2:$A$22,0))="Compensated", FALSE))</xm:f>
            <x14:dxf>
              <font>
                <color rgb="FF000000"/>
              </font>
              <fill>
                <patternFill>
                  <bgColor rgb="FFC6E0B4"/>
                </patternFill>
              </fill>
            </x14:dxf>
          </x14:cfRule>
          <x14:cfRule type="expression" priority="3" id="{00000000-000E-0000-0500-000003000000}">
            <xm:f>AND(H2&lt;&gt;"", IFERROR(INDEX('Recommendations'!$H$2:$H$22, MATCH(H2,'Recommendations'!$A$2:$A$22,0))="Testing", FALSE))</xm:f>
            <x14:dxf>
              <font>
                <color rgb="FF000000"/>
              </font>
              <fill>
                <patternFill>
                  <bgColor rgb="FFFFC000"/>
                </patternFill>
              </fill>
            </x14:dxf>
          </x14:cfRule>
          <x14:cfRule type="expression" priority="4" id="{00000000-000E-0000-0500-000004000000}">
            <xm:f>AND(H2&lt;&gt;"", IFERROR(INDEX('Recommendations'!$H$2:$H$22, MATCH(H2,'Recommendations'!$A$2:$A$22,0))="Failed", FALSE))</xm:f>
            <x14:dxf>
              <font>
                <color rgb="FF000000"/>
              </font>
              <fill>
                <patternFill>
                  <bgColor rgb="FFD82891"/>
                </patternFill>
              </fill>
            </x14:dxf>
          </x14:cfRule>
          <x14:cfRule type="expression" priority="5" id="{00000000-000E-0000-0500-000005000000}">
            <xm:f>AND(H2&lt;&gt;"", IFERROR(INDEX('Recommendations'!$H$2:$H$22, MATCH(H2,'Recommendations'!$A$2:$A$22,0))="Risk Accepted", FALSE))</xm:f>
            <x14:dxf>
              <font>
                <color rgb="FF000000"/>
              </font>
              <fill>
                <patternFill>
                  <bgColor rgb="FFD9D9D9"/>
                </patternFill>
              </fill>
            </x14:dxf>
          </x14:cfRule>
          <x14:cfRule type="expression" priority="6" id="{00000000-000E-0000-0500-000006000000}">
            <xm:f>AND(H2&lt;&gt;"", IFERROR(INDEX('Recommendations'!$H$2:$H$22, MATCH(H2,'Recommendations'!$A$2:$A$22,0))="N/A",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7" t="s">
        <v>1318</v>
      </c>
      <c r="B1" s="148" t="s">
        <v>372</v>
      </c>
      <c r="C1" s="148" t="s">
        <v>0</v>
      </c>
      <c r="D1" s="148" t="s">
        <v>373</v>
      </c>
      <c r="E1" s="148" t="s">
        <v>1319</v>
      </c>
      <c r="F1" s="148" t="s">
        <v>1320</v>
      </c>
      <c r="G1" s="148" t="s">
        <v>1321</v>
      </c>
      <c r="H1" s="148" t="s">
        <v>1322</v>
      </c>
      <c r="I1" s="148" t="s">
        <v>378</v>
      </c>
      <c r="J1" s="148" t="s">
        <v>379</v>
      </c>
      <c r="K1" s="148" t="s">
        <v>380</v>
      </c>
      <c r="L1" s="148" t="s">
        <v>381</v>
      </c>
      <c r="M1" s="148" t="s">
        <v>382</v>
      </c>
      <c r="N1" s="148" t="s">
        <v>383</v>
      </c>
      <c r="O1" s="148" t="s">
        <v>384</v>
      </c>
      <c r="P1" s="148" t="s">
        <v>385</v>
      </c>
      <c r="Q1" s="148" t="s">
        <v>386</v>
      </c>
      <c r="R1" s="148" t="s">
        <v>387</v>
      </c>
      <c r="S1" s="148" t="s">
        <v>388</v>
      </c>
      <c r="T1" s="148" t="s">
        <v>389</v>
      </c>
      <c r="U1" s="148" t="s">
        <v>390</v>
      </c>
      <c r="V1" s="148" t="s">
        <v>391</v>
      </c>
      <c r="W1" s="148" t="s">
        <v>392</v>
      </c>
      <c r="X1" s="148" t="s">
        <v>393</v>
      </c>
      <c r="Y1" s="148" t="s">
        <v>394</v>
      </c>
      <c r="Z1" s="148" t="s">
        <v>395</v>
      </c>
      <c r="AA1" s="148" t="s">
        <v>396</v>
      </c>
      <c r="AB1" s="148" t="s">
        <v>397</v>
      </c>
      <c r="AC1" s="148" t="s">
        <v>398</v>
      </c>
      <c r="AD1" s="148" t="s">
        <v>399</v>
      </c>
      <c r="AE1" s="148" t="s">
        <v>400</v>
      </c>
      <c r="AF1" s="148" t="s">
        <v>401</v>
      </c>
      <c r="AG1" s="148" t="s">
        <v>402</v>
      </c>
      <c r="AH1" s="148" t="s">
        <v>403</v>
      </c>
      <c r="AI1" s="148" t="s">
        <v>404</v>
      </c>
      <c r="AJ1" s="148" t="s">
        <v>405</v>
      </c>
      <c r="AK1" s="148" t="s">
        <v>406</v>
      </c>
      <c r="AL1" s="148" t="s">
        <v>407</v>
      </c>
      <c r="AM1" s="148" t="s">
        <v>408</v>
      </c>
      <c r="AN1" s="148" t="s">
        <v>409</v>
      </c>
      <c r="AO1" s="148" t="s">
        <v>410</v>
      </c>
      <c r="AP1" s="148" t="s">
        <v>411</v>
      </c>
      <c r="AQ1" s="148" t="s">
        <v>412</v>
      </c>
      <c r="AR1" s="148" t="s">
        <v>413</v>
      </c>
      <c r="AS1" s="148" t="s">
        <v>414</v>
      </c>
      <c r="AT1" s="148" t="s">
        <v>415</v>
      </c>
      <c r="AU1" s="148" t="s">
        <v>416</v>
      </c>
      <c r="AV1" s="148" t="s">
        <v>417</v>
      </c>
      <c r="AW1" s="149" t="s">
        <v>418</v>
      </c>
    </row>
    <row r="2" spans="1:49" ht="60" customHeight="1" outlineLevel="1" x14ac:dyDescent="0.35">
      <c r="A2" s="141" t="s">
        <v>1323</v>
      </c>
      <c r="B2" s="127"/>
      <c r="C2" s="126" t="s">
        <v>1324</v>
      </c>
      <c r="D2" s="130"/>
      <c r="E2" s="130"/>
      <c r="F2" s="130"/>
      <c r="G2" s="130"/>
      <c r="H2" s="130"/>
      <c r="I2" s="132" t="str">
        <f>IF(COUNTIF(J2:AW2,"&lt;&gt;")=0,"",SUMPRODUCT(((Recommendations[ImplStatus]="Implemented")+(Recommendations[ImplStatus]="Compensated"))*ISNUMBER(MATCH(Recommendations[Id],J2:AW2,0)))/COUNTIF(J2:AW2,"&lt;&gt;"))</f>
        <v/>
      </c>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44"/>
    </row>
    <row r="3" spans="1:49" ht="60" customHeight="1" x14ac:dyDescent="0.35">
      <c r="A3" s="142" t="s">
        <v>1323</v>
      </c>
      <c r="B3" s="128" t="s">
        <v>589</v>
      </c>
      <c r="C3" s="129" t="s">
        <v>1325</v>
      </c>
      <c r="D3" s="131" t="s">
        <v>1326</v>
      </c>
      <c r="E3" s="131" t="s">
        <v>1327</v>
      </c>
      <c r="F3" s="131" t="s">
        <v>1328</v>
      </c>
      <c r="G3" s="131" t="s">
        <v>1329</v>
      </c>
      <c r="H3" s="131" t="s">
        <v>1330</v>
      </c>
      <c r="I3" s="133" t="str">
        <f>IF(COUNTIF(J3:AW3,"&lt;&gt;")=0,"",SUMPRODUCT(((Recommendations[ImplStatus]="Implemented")+(Recommendations[ImplStatus]="Compensated"))*ISNUMBER(MATCH(Recommendations[Id],J3:AW3,0)))/COUNTIF(J3:AW3,"&lt;&gt;"))</f>
        <v/>
      </c>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45"/>
    </row>
    <row r="4" spans="1:49" ht="60" customHeight="1" x14ac:dyDescent="0.35">
      <c r="A4" s="142" t="s">
        <v>1323</v>
      </c>
      <c r="B4" s="128" t="s">
        <v>1331</v>
      </c>
      <c r="C4" s="129" t="s">
        <v>1332</v>
      </c>
      <c r="D4" s="131" t="s">
        <v>1333</v>
      </c>
      <c r="E4" s="131" t="s">
        <v>1334</v>
      </c>
      <c r="F4" s="131" t="s">
        <v>1335</v>
      </c>
      <c r="G4" s="131" t="s">
        <v>1336</v>
      </c>
      <c r="H4" s="131" t="s">
        <v>1337</v>
      </c>
      <c r="I4" s="133" t="str">
        <f>IF(COUNTIF(J4:AW4,"&lt;&gt;")=0,"",SUMPRODUCT(((Recommendations[ImplStatus]="Implemented")+(Recommendations[ImplStatus]="Compensated"))*ISNUMBER(MATCH(Recommendations[Id],J4:AW4,0)))/COUNTIF(J4:AW4,"&lt;&gt;"))</f>
        <v/>
      </c>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45"/>
    </row>
    <row r="5" spans="1:49" ht="60" customHeight="1" x14ac:dyDescent="0.35">
      <c r="A5" s="142" t="s">
        <v>1323</v>
      </c>
      <c r="B5" s="128" t="s">
        <v>1338</v>
      </c>
      <c r="C5" s="129" t="s">
        <v>1339</v>
      </c>
      <c r="D5" s="131" t="s">
        <v>1340</v>
      </c>
      <c r="E5" s="131" t="s">
        <v>1341</v>
      </c>
      <c r="F5" s="131" t="s">
        <v>1342</v>
      </c>
      <c r="G5" s="131" t="s">
        <v>1343</v>
      </c>
      <c r="H5" s="131" t="s">
        <v>1344</v>
      </c>
      <c r="I5" s="133" t="str">
        <f>IF(COUNTIF(J5:AW5,"&lt;&gt;")=0,"",SUMPRODUCT(((Recommendations[ImplStatus]="Implemented")+(Recommendations[ImplStatus]="Compensated"))*ISNUMBER(MATCH(Recommendations[Id],J5:AW5,0)))/COUNTIF(J5:AW5,"&lt;&gt;"))</f>
        <v/>
      </c>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45"/>
    </row>
    <row r="6" spans="1:49" ht="60" customHeight="1" x14ac:dyDescent="0.35">
      <c r="A6" s="142" t="s">
        <v>1323</v>
      </c>
      <c r="B6" s="128" t="s">
        <v>1345</v>
      </c>
      <c r="C6" s="129" t="s">
        <v>1346</v>
      </c>
      <c r="D6" s="131" t="s">
        <v>1347</v>
      </c>
      <c r="E6" s="131" t="s">
        <v>1348</v>
      </c>
      <c r="F6" s="131" t="s">
        <v>1349</v>
      </c>
      <c r="G6" s="131" t="s">
        <v>1350</v>
      </c>
      <c r="H6" s="131" t="s">
        <v>1351</v>
      </c>
      <c r="I6" s="133" t="str">
        <f>IF(COUNTIF(J6:AW6,"&lt;&gt;")=0,"",SUMPRODUCT(((Recommendations[ImplStatus]="Implemented")+(Recommendations[ImplStatus]="Compensated"))*ISNUMBER(MATCH(Recommendations[Id],J6:AW6,0)))/COUNTIF(J6:AW6,"&lt;&gt;"))</f>
        <v/>
      </c>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45"/>
    </row>
    <row r="7" spans="1:49" ht="60" customHeight="1" x14ac:dyDescent="0.35">
      <c r="A7" s="142" t="s">
        <v>1323</v>
      </c>
      <c r="B7" s="128" t="s">
        <v>1352</v>
      </c>
      <c r="C7" s="129" t="s">
        <v>1353</v>
      </c>
      <c r="D7" s="131" t="s">
        <v>1354</v>
      </c>
      <c r="E7" s="131" t="s">
        <v>1355</v>
      </c>
      <c r="F7" s="131" t="s">
        <v>1356</v>
      </c>
      <c r="G7" s="131" t="s">
        <v>1357</v>
      </c>
      <c r="H7" s="131" t="s">
        <v>1358</v>
      </c>
      <c r="I7" s="133" t="str">
        <f>IF(COUNTIF(J7:AW7,"&lt;&gt;")=0,"",SUMPRODUCT(((Recommendations[ImplStatus]="Implemented")+(Recommendations[ImplStatus]="Compensated"))*ISNUMBER(MATCH(Recommendations[Id],J7:AW7,0)))/COUNTIF(J7:AW7,"&lt;&gt;"))</f>
        <v/>
      </c>
      <c r="J7" s="135"/>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45"/>
    </row>
    <row r="8" spans="1:49" ht="60" customHeight="1" x14ac:dyDescent="0.35">
      <c r="A8" s="142" t="s">
        <v>1323</v>
      </c>
      <c r="B8" s="128" t="s">
        <v>1359</v>
      </c>
      <c r="C8" s="129" t="s">
        <v>1360</v>
      </c>
      <c r="D8" s="131" t="s">
        <v>1361</v>
      </c>
      <c r="E8" s="131" t="s">
        <v>1362</v>
      </c>
      <c r="F8" s="131" t="s">
        <v>1363</v>
      </c>
      <c r="G8" s="131" t="s">
        <v>1357</v>
      </c>
      <c r="H8" s="131" t="s">
        <v>1364</v>
      </c>
      <c r="I8" s="133" t="str">
        <f>IF(COUNTIF(J8:AW8,"&lt;&gt;")=0,"",SUMPRODUCT(((Recommendations[ImplStatus]="Implemented")+(Recommendations[ImplStatus]="Compensated"))*ISNUMBER(MATCH(Recommendations[Id],J8:AW8,0)))/COUNTIF(J8:AW8,"&lt;&gt;"))</f>
        <v/>
      </c>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45"/>
    </row>
    <row r="9" spans="1:49" ht="60" customHeight="1" x14ac:dyDescent="0.35">
      <c r="A9" s="142" t="s">
        <v>1323</v>
      </c>
      <c r="B9" s="128" t="s">
        <v>1365</v>
      </c>
      <c r="C9" s="129" t="s">
        <v>1366</v>
      </c>
      <c r="D9" s="131" t="s">
        <v>1367</v>
      </c>
      <c r="E9" s="131" t="s">
        <v>1368</v>
      </c>
      <c r="F9" s="131" t="s">
        <v>1369</v>
      </c>
      <c r="G9" s="131" t="s">
        <v>1370</v>
      </c>
      <c r="H9" s="131" t="s">
        <v>1371</v>
      </c>
      <c r="I9" s="133" t="str">
        <f>IF(COUNTIF(J9:AW9,"&lt;&gt;")=0,"",SUMPRODUCT(((Recommendations[ImplStatus]="Implemented")+(Recommendations[ImplStatus]="Compensated"))*ISNUMBER(MATCH(Recommendations[Id],J9:AW9,0)))/COUNTIF(J9:AW9,"&lt;&gt;"))</f>
        <v/>
      </c>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45"/>
    </row>
    <row r="10" spans="1:49" ht="60" customHeight="1" x14ac:dyDescent="0.35">
      <c r="A10" s="142" t="s">
        <v>1323</v>
      </c>
      <c r="B10" s="128" t="s">
        <v>1372</v>
      </c>
      <c r="C10" s="129" t="s">
        <v>1373</v>
      </c>
      <c r="D10" s="131" t="s">
        <v>1374</v>
      </c>
      <c r="E10" s="131" t="s">
        <v>1375</v>
      </c>
      <c r="F10" s="131" t="s">
        <v>1376</v>
      </c>
      <c r="G10" s="131" t="s">
        <v>1377</v>
      </c>
      <c r="H10" s="131" t="s">
        <v>1378</v>
      </c>
      <c r="I10" s="133" t="str">
        <f>IF(COUNTIF(J10:AW10,"&lt;&gt;")=0,"",SUMPRODUCT(((Recommendations[ImplStatus]="Implemented")+(Recommendations[ImplStatus]="Compensated"))*ISNUMBER(MATCH(Recommendations[Id],J10:AW10,0)))/COUNTIF(J10:AW10,"&lt;&gt;"))</f>
        <v/>
      </c>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45"/>
    </row>
    <row r="11" spans="1:49" ht="60" customHeight="1" x14ac:dyDescent="0.35">
      <c r="A11" s="142" t="s">
        <v>1323</v>
      </c>
      <c r="B11" s="128" t="s">
        <v>1379</v>
      </c>
      <c r="C11" s="129" t="s">
        <v>1380</v>
      </c>
      <c r="D11" s="131" t="s">
        <v>1381</v>
      </c>
      <c r="E11" s="131" t="s">
        <v>1382</v>
      </c>
      <c r="F11" s="131" t="s">
        <v>1383</v>
      </c>
      <c r="G11" s="131" t="s">
        <v>1384</v>
      </c>
      <c r="H11" s="131" t="s">
        <v>1385</v>
      </c>
      <c r="I11" s="133" t="str">
        <f>IF(COUNTIF(J11:AW11,"&lt;&gt;")=0,"",SUMPRODUCT(((Recommendations[ImplStatus]="Implemented")+(Recommendations[ImplStatus]="Compensated"))*ISNUMBER(MATCH(Recommendations[Id],J11:AW11,0)))/COUNTIF(J11:AW11,"&lt;&gt;"))</f>
        <v/>
      </c>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45"/>
    </row>
    <row r="12" spans="1:49" ht="60" customHeight="1" x14ac:dyDescent="0.35">
      <c r="A12" s="142" t="s">
        <v>1323</v>
      </c>
      <c r="B12" s="128" t="s">
        <v>1386</v>
      </c>
      <c r="C12" s="129" t="s">
        <v>1387</v>
      </c>
      <c r="D12" s="131" t="s">
        <v>1388</v>
      </c>
      <c r="E12" s="131" t="s">
        <v>1389</v>
      </c>
      <c r="F12" s="131" t="s">
        <v>1390</v>
      </c>
      <c r="G12" s="131" t="s">
        <v>1377</v>
      </c>
      <c r="H12" s="131" t="s">
        <v>1391</v>
      </c>
      <c r="I12" s="133">
        <f>IF(COUNTIF(J12:AW12,"&lt;&gt;")=0,"",SUMPRODUCT(((Recommendations[ImplStatus]="Implemented")+(Recommendations[ImplStatus]="Compensated"))*ISNUMBER(MATCH(Recommendations[Id],J12:AW12,0)))/COUNTIF(J12:AW12,"&lt;&gt;"))</f>
        <v>0</v>
      </c>
      <c r="J12" s="135" t="s">
        <v>78</v>
      </c>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45"/>
    </row>
    <row r="13" spans="1:49" ht="60" customHeight="1" x14ac:dyDescent="0.35">
      <c r="A13" s="142" t="s">
        <v>1323</v>
      </c>
      <c r="B13" s="128" t="s">
        <v>1392</v>
      </c>
      <c r="C13" s="129" t="s">
        <v>1393</v>
      </c>
      <c r="D13" s="131" t="s">
        <v>1394</v>
      </c>
      <c r="E13" s="131" t="s">
        <v>1395</v>
      </c>
      <c r="F13" s="131" t="s">
        <v>1396</v>
      </c>
      <c r="G13" s="131" t="s">
        <v>1377</v>
      </c>
      <c r="H13" s="131" t="s">
        <v>1397</v>
      </c>
      <c r="I13" s="133" t="str">
        <f>IF(COUNTIF(J13:AW13,"&lt;&gt;")=0,"",SUMPRODUCT(((Recommendations[ImplStatus]="Implemented")+(Recommendations[ImplStatus]="Compensated"))*ISNUMBER(MATCH(Recommendations[Id],J13:AW13,0)))/COUNTIF(J13:AW13,"&lt;&gt;"))</f>
        <v/>
      </c>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45"/>
    </row>
    <row r="14" spans="1:49" ht="60" customHeight="1" x14ac:dyDescent="0.35">
      <c r="A14" s="142" t="s">
        <v>1323</v>
      </c>
      <c r="B14" s="128" t="s">
        <v>1398</v>
      </c>
      <c r="C14" s="129" t="s">
        <v>1399</v>
      </c>
      <c r="D14" s="131" t="s">
        <v>1400</v>
      </c>
      <c r="E14" s="131" t="s">
        <v>1401</v>
      </c>
      <c r="F14" s="131" t="s">
        <v>1402</v>
      </c>
      <c r="G14" s="131" t="s">
        <v>1403</v>
      </c>
      <c r="H14" s="131" t="s">
        <v>1404</v>
      </c>
      <c r="I14" s="133" t="str">
        <f>IF(COUNTIF(J14:AW14,"&lt;&gt;")=0,"",SUMPRODUCT(((Recommendations[ImplStatus]="Implemented")+(Recommendations[ImplStatus]="Compensated"))*ISNUMBER(MATCH(Recommendations[Id],J14:AW14,0)))/COUNTIF(J14:AW14,"&lt;&gt;"))</f>
        <v/>
      </c>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45"/>
    </row>
    <row r="15" spans="1:49" ht="60" customHeight="1" x14ac:dyDescent="0.35">
      <c r="A15" s="142" t="s">
        <v>1323</v>
      </c>
      <c r="B15" s="128" t="s">
        <v>1405</v>
      </c>
      <c r="C15" s="129" t="s">
        <v>1406</v>
      </c>
      <c r="D15" s="131" t="s">
        <v>1407</v>
      </c>
      <c r="E15" s="131" t="s">
        <v>1408</v>
      </c>
      <c r="F15" s="131" t="s">
        <v>1409</v>
      </c>
      <c r="G15" s="131" t="s">
        <v>1410</v>
      </c>
      <c r="H15" s="131" t="s">
        <v>1411</v>
      </c>
      <c r="I15" s="133" t="str">
        <f>IF(COUNTIF(J15:AW15,"&lt;&gt;")=0,"",SUMPRODUCT(((Recommendations[ImplStatus]="Implemented")+(Recommendations[ImplStatus]="Compensated"))*ISNUMBER(MATCH(Recommendations[Id],J15:AW15,0)))/COUNTIF(J15:AW15,"&lt;&gt;"))</f>
        <v/>
      </c>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45"/>
    </row>
    <row r="16" spans="1:49" ht="60" customHeight="1" x14ac:dyDescent="0.35">
      <c r="A16" s="142" t="s">
        <v>1323</v>
      </c>
      <c r="B16" s="128" t="s">
        <v>1412</v>
      </c>
      <c r="C16" s="129" t="s">
        <v>1413</v>
      </c>
      <c r="D16" s="131" t="s">
        <v>1414</v>
      </c>
      <c r="E16" s="131" t="s">
        <v>1415</v>
      </c>
      <c r="F16" s="131" t="s">
        <v>1416</v>
      </c>
      <c r="G16" s="131" t="s">
        <v>1417</v>
      </c>
      <c r="H16" s="131" t="s">
        <v>1418</v>
      </c>
      <c r="I16" s="133" t="str">
        <f>IF(COUNTIF(J16:AW16,"&lt;&gt;")=0,"",SUMPRODUCT(((Recommendations[ImplStatus]="Implemented")+(Recommendations[ImplStatus]="Compensated"))*ISNUMBER(MATCH(Recommendations[Id],J16:AW16,0)))/COUNTIF(J16:AW16,"&lt;&gt;"))</f>
        <v/>
      </c>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45"/>
    </row>
    <row r="17" spans="1:49" ht="60" customHeight="1" x14ac:dyDescent="0.35">
      <c r="A17" s="142" t="s">
        <v>1323</v>
      </c>
      <c r="B17" s="128" t="s">
        <v>1419</v>
      </c>
      <c r="C17" s="129" t="s">
        <v>1420</v>
      </c>
      <c r="D17" s="131" t="s">
        <v>1421</v>
      </c>
      <c r="E17" s="131" t="s">
        <v>1422</v>
      </c>
      <c r="F17" s="131" t="s">
        <v>1423</v>
      </c>
      <c r="G17" s="131" t="s">
        <v>1424</v>
      </c>
      <c r="H17" s="131" t="s">
        <v>1425</v>
      </c>
      <c r="I17" s="133" t="str">
        <f>IF(COUNTIF(J17:AW17,"&lt;&gt;")=0,"",SUMPRODUCT(((Recommendations[ImplStatus]="Implemented")+(Recommendations[ImplStatus]="Compensated"))*ISNUMBER(MATCH(Recommendations[Id],J17:AW17,0)))/COUNTIF(J17:AW17,"&lt;&gt;"))</f>
        <v/>
      </c>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45"/>
    </row>
    <row r="18" spans="1:49" ht="60" customHeight="1" x14ac:dyDescent="0.35">
      <c r="A18" s="142" t="s">
        <v>1323</v>
      </c>
      <c r="B18" s="128" t="s">
        <v>1426</v>
      </c>
      <c r="C18" s="129" t="s">
        <v>1427</v>
      </c>
      <c r="D18" s="131" t="s">
        <v>1428</v>
      </c>
      <c r="E18" s="131" t="s">
        <v>1429</v>
      </c>
      <c r="F18" s="131" t="s">
        <v>21</v>
      </c>
      <c r="G18" s="131" t="s">
        <v>21</v>
      </c>
      <c r="H18" s="131" t="s">
        <v>21</v>
      </c>
      <c r="I18" s="133" t="str">
        <f>IF(COUNTIF(J18:AW18,"&lt;&gt;")=0,"",SUMPRODUCT(((Recommendations[ImplStatus]="Implemented")+(Recommendations[ImplStatus]="Compensated"))*ISNUMBER(MATCH(Recommendations[Id],J18:AW18,0)))/COUNTIF(J18:AW18,"&lt;&gt;"))</f>
        <v/>
      </c>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45"/>
    </row>
    <row r="19" spans="1:49" ht="60" customHeight="1" outlineLevel="1" x14ac:dyDescent="0.35">
      <c r="A19" s="141" t="s">
        <v>1430</v>
      </c>
      <c r="B19" s="127"/>
      <c r="C19" s="126" t="s">
        <v>1431</v>
      </c>
      <c r="D19" s="130"/>
      <c r="E19" s="130"/>
      <c r="F19" s="130"/>
      <c r="G19" s="130"/>
      <c r="H19" s="130"/>
      <c r="I19" s="132" t="str">
        <f>IF(COUNTIF(J19:AW19,"&lt;&gt;")=0,"",SUMPRODUCT(((Recommendations[ImplStatus]="Implemented")+(Recommendations[ImplStatus]="Compensated"))*ISNUMBER(MATCH(Recommendations[Id],J19:AW19,0)))/COUNTIF(J19:AW19,"&lt;&gt;"))</f>
        <v/>
      </c>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44"/>
    </row>
    <row r="20" spans="1:49" ht="60" customHeight="1" x14ac:dyDescent="0.35">
      <c r="A20" s="142" t="s">
        <v>1430</v>
      </c>
      <c r="B20" s="128" t="s">
        <v>1432</v>
      </c>
      <c r="C20" s="129" t="s">
        <v>1433</v>
      </c>
      <c r="D20" s="131" t="s">
        <v>1434</v>
      </c>
      <c r="E20" s="131" t="s">
        <v>1435</v>
      </c>
      <c r="F20" s="131" t="s">
        <v>1436</v>
      </c>
      <c r="G20" s="131" t="s">
        <v>1437</v>
      </c>
      <c r="H20" s="131" t="s">
        <v>1438</v>
      </c>
      <c r="I20" s="133" t="str">
        <f>IF(COUNTIF(J20:AW20,"&lt;&gt;")=0,"",SUMPRODUCT(((Recommendations[ImplStatus]="Implemented")+(Recommendations[ImplStatus]="Compensated"))*ISNUMBER(MATCH(Recommendations[Id],J20:AW20,0)))/COUNTIF(J20:AW20,"&lt;&gt;"))</f>
        <v/>
      </c>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45"/>
    </row>
    <row r="21" spans="1:49" ht="60" customHeight="1" x14ac:dyDescent="0.35">
      <c r="A21" s="142" t="s">
        <v>1430</v>
      </c>
      <c r="B21" s="128" t="s">
        <v>1439</v>
      </c>
      <c r="C21" s="129" t="s">
        <v>1440</v>
      </c>
      <c r="D21" s="131" t="s">
        <v>1441</v>
      </c>
      <c r="E21" s="131" t="s">
        <v>1442</v>
      </c>
      <c r="F21" s="131" t="s">
        <v>1443</v>
      </c>
      <c r="G21" s="131" t="s">
        <v>1444</v>
      </c>
      <c r="H21" s="131" t="s">
        <v>1445</v>
      </c>
      <c r="I21" s="133" t="str">
        <f>IF(COUNTIF(J21:AW21,"&lt;&gt;")=0,"",SUMPRODUCT(((Recommendations[ImplStatus]="Implemented")+(Recommendations[ImplStatus]="Compensated"))*ISNUMBER(MATCH(Recommendations[Id],J21:AW21,0)))/COUNTIF(J21:AW21,"&lt;&gt;"))</f>
        <v/>
      </c>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45"/>
    </row>
    <row r="22" spans="1:49" ht="60" customHeight="1" outlineLevel="1" x14ac:dyDescent="0.35">
      <c r="A22" s="141" t="s">
        <v>1446</v>
      </c>
      <c r="B22" s="127"/>
      <c r="C22" s="126" t="s">
        <v>1447</v>
      </c>
      <c r="D22" s="130"/>
      <c r="E22" s="130"/>
      <c r="F22" s="130"/>
      <c r="G22" s="130"/>
      <c r="H22" s="130"/>
      <c r="I22" s="132" t="str">
        <f>IF(COUNTIF(J22:AW22,"&lt;&gt;")=0,"",SUMPRODUCT(((Recommendations[ImplStatus]="Implemented")+(Recommendations[ImplStatus]="Compensated"))*ISNUMBER(MATCH(Recommendations[Id],J22:AW22,0)))/COUNTIF(J22:AW22,"&lt;&gt;"))</f>
        <v/>
      </c>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44"/>
    </row>
    <row r="23" spans="1:49" ht="60" customHeight="1" x14ac:dyDescent="0.35">
      <c r="A23" s="142" t="s">
        <v>1446</v>
      </c>
      <c r="B23" s="128" t="s">
        <v>1448</v>
      </c>
      <c r="C23" s="129" t="s">
        <v>1449</v>
      </c>
      <c r="D23" s="131" t="s">
        <v>1450</v>
      </c>
      <c r="E23" s="131" t="s">
        <v>1451</v>
      </c>
      <c r="F23" s="131" t="s">
        <v>1452</v>
      </c>
      <c r="G23" s="131" t="s">
        <v>1453</v>
      </c>
      <c r="H23" s="131" t="s">
        <v>1454</v>
      </c>
      <c r="I23" s="133">
        <f>IF(COUNTIF(J23:AW23,"&lt;&gt;")=0,"",SUMPRODUCT(((Recommendations[ImplStatus]="Implemented")+(Recommendations[ImplStatus]="Compensated"))*ISNUMBER(MATCH(Recommendations[Id],J23:AW23,0)))/COUNTIF(J23:AW23,"&lt;&gt;"))</f>
        <v>0</v>
      </c>
      <c r="J23" s="135" t="s">
        <v>25</v>
      </c>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45"/>
    </row>
    <row r="24" spans="1:49" ht="60" customHeight="1" x14ac:dyDescent="0.35">
      <c r="A24" s="142" t="s">
        <v>1446</v>
      </c>
      <c r="B24" s="128" t="s">
        <v>1455</v>
      </c>
      <c r="C24" s="129" t="s">
        <v>1456</v>
      </c>
      <c r="D24" s="131" t="s">
        <v>1457</v>
      </c>
      <c r="E24" s="131" t="s">
        <v>1458</v>
      </c>
      <c r="F24" s="131" t="s">
        <v>1459</v>
      </c>
      <c r="G24" s="131" t="s">
        <v>1460</v>
      </c>
      <c r="H24" s="131" t="s">
        <v>1461</v>
      </c>
      <c r="I24" s="133" t="str">
        <f>IF(COUNTIF(J24:AW24,"&lt;&gt;")=0,"",SUMPRODUCT(((Recommendations[ImplStatus]="Implemented")+(Recommendations[ImplStatus]="Compensated"))*ISNUMBER(MATCH(Recommendations[Id],J24:AW24,0)))/COUNTIF(J24:AW24,"&lt;&gt;"))</f>
        <v/>
      </c>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45"/>
    </row>
    <row r="25" spans="1:49" ht="60" customHeight="1" x14ac:dyDescent="0.35">
      <c r="A25" s="142" t="s">
        <v>1446</v>
      </c>
      <c r="B25" s="128" t="s">
        <v>1462</v>
      </c>
      <c r="C25" s="129" t="s">
        <v>1463</v>
      </c>
      <c r="D25" s="131" t="s">
        <v>1464</v>
      </c>
      <c r="E25" s="131" t="s">
        <v>1465</v>
      </c>
      <c r="F25" s="131" t="s">
        <v>1466</v>
      </c>
      <c r="G25" s="131" t="s">
        <v>1467</v>
      </c>
      <c r="H25" s="131" t="s">
        <v>1468</v>
      </c>
      <c r="I25" s="133" t="str">
        <f>IF(COUNTIF(J25:AW25,"&lt;&gt;")=0,"",SUMPRODUCT(((Recommendations[ImplStatus]="Implemented")+(Recommendations[ImplStatus]="Compensated"))*ISNUMBER(MATCH(Recommendations[Id],J25:AW25,0)))/COUNTIF(J25:AW25,"&lt;&gt;"))</f>
        <v/>
      </c>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45"/>
    </row>
    <row r="26" spans="1:49" ht="60" customHeight="1" x14ac:dyDescent="0.35">
      <c r="A26" s="142" t="s">
        <v>1446</v>
      </c>
      <c r="B26" s="128" t="s">
        <v>1469</v>
      </c>
      <c r="C26" s="129" t="s">
        <v>1470</v>
      </c>
      <c r="D26" s="131" t="s">
        <v>1471</v>
      </c>
      <c r="E26" s="131" t="s">
        <v>1472</v>
      </c>
      <c r="F26" s="131" t="s">
        <v>1473</v>
      </c>
      <c r="G26" s="131" t="s">
        <v>1460</v>
      </c>
      <c r="H26" s="131" t="s">
        <v>1474</v>
      </c>
      <c r="I26" s="133" t="str">
        <f>IF(COUNTIF(J26:AW26,"&lt;&gt;")=0,"",SUMPRODUCT(((Recommendations[ImplStatus]="Implemented")+(Recommendations[ImplStatus]="Compensated"))*ISNUMBER(MATCH(Recommendations[Id],J26:AW26,0)))/COUNTIF(J26:AW26,"&lt;&gt;"))</f>
        <v/>
      </c>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45"/>
    </row>
    <row r="27" spans="1:49" ht="60" customHeight="1" x14ac:dyDescent="0.35">
      <c r="A27" s="142" t="s">
        <v>1446</v>
      </c>
      <c r="B27" s="128" t="s">
        <v>1475</v>
      </c>
      <c r="C27" s="129" t="s">
        <v>1476</v>
      </c>
      <c r="D27" s="131" t="s">
        <v>1477</v>
      </c>
      <c r="E27" s="131" t="s">
        <v>1478</v>
      </c>
      <c r="F27" s="131" t="s">
        <v>1479</v>
      </c>
      <c r="G27" s="131" t="s">
        <v>1480</v>
      </c>
      <c r="H27" s="131" t="s">
        <v>1481</v>
      </c>
      <c r="I27" s="133" t="str">
        <f>IF(COUNTIF(J27:AW27,"&lt;&gt;")=0,"",SUMPRODUCT(((Recommendations[ImplStatus]="Implemented")+(Recommendations[ImplStatus]="Compensated"))*ISNUMBER(MATCH(Recommendations[Id],J27:AW27,0)))/COUNTIF(J27:AW27,"&lt;&gt;"))</f>
        <v/>
      </c>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45"/>
    </row>
    <row r="28" spans="1:49" ht="60" customHeight="1" x14ac:dyDescent="0.35">
      <c r="A28" s="142" t="s">
        <v>1446</v>
      </c>
      <c r="B28" s="128" t="s">
        <v>1482</v>
      </c>
      <c r="C28" s="129" t="s">
        <v>1483</v>
      </c>
      <c r="D28" s="131" t="s">
        <v>1484</v>
      </c>
      <c r="E28" s="131" t="s">
        <v>1485</v>
      </c>
      <c r="F28" s="131" t="s">
        <v>1486</v>
      </c>
      <c r="G28" s="131" t="s">
        <v>1487</v>
      </c>
      <c r="H28" s="131" t="s">
        <v>1488</v>
      </c>
      <c r="I28" s="133" t="str">
        <f>IF(COUNTIF(J28:AW28,"&lt;&gt;")=0,"",SUMPRODUCT(((Recommendations[ImplStatus]="Implemented")+(Recommendations[ImplStatus]="Compensated"))*ISNUMBER(MATCH(Recommendations[Id],J28:AW28,0)))/COUNTIF(J28:AW28,"&lt;&gt;"))</f>
        <v/>
      </c>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45"/>
    </row>
    <row r="29" spans="1:49" ht="60" customHeight="1" x14ac:dyDescent="0.35">
      <c r="A29" s="142" t="s">
        <v>1446</v>
      </c>
      <c r="B29" s="128" t="s">
        <v>1489</v>
      </c>
      <c r="C29" s="129" t="s">
        <v>1490</v>
      </c>
      <c r="D29" s="131" t="s">
        <v>1491</v>
      </c>
      <c r="E29" s="131" t="s">
        <v>1492</v>
      </c>
      <c r="F29" s="131" t="s">
        <v>1493</v>
      </c>
      <c r="G29" s="131" t="s">
        <v>1377</v>
      </c>
      <c r="H29" s="131" t="s">
        <v>1494</v>
      </c>
      <c r="I29" s="133" t="str">
        <f>IF(COUNTIF(J29:AW29,"&lt;&gt;")=0,"",SUMPRODUCT(((Recommendations[ImplStatus]="Implemented")+(Recommendations[ImplStatus]="Compensated"))*ISNUMBER(MATCH(Recommendations[Id],J29:AW29,0)))/COUNTIF(J29:AW29,"&lt;&gt;"))</f>
        <v/>
      </c>
      <c r="J29" s="135"/>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45"/>
    </row>
    <row r="30" spans="1:49" ht="60" customHeight="1" x14ac:dyDescent="0.35">
      <c r="A30" s="142" t="s">
        <v>1446</v>
      </c>
      <c r="B30" s="128" t="s">
        <v>1495</v>
      </c>
      <c r="C30" s="129" t="s">
        <v>1496</v>
      </c>
      <c r="D30" s="131" t="s">
        <v>1497</v>
      </c>
      <c r="E30" s="131" t="s">
        <v>1498</v>
      </c>
      <c r="F30" s="131" t="s">
        <v>1499</v>
      </c>
      <c r="G30" s="131" t="s">
        <v>1460</v>
      </c>
      <c r="H30" s="131" t="s">
        <v>1500</v>
      </c>
      <c r="I30" s="133" t="str">
        <f>IF(COUNTIF(J30:AW30,"&lt;&gt;")=0,"",SUMPRODUCT(((Recommendations[ImplStatus]="Implemented")+(Recommendations[ImplStatus]="Compensated"))*ISNUMBER(MATCH(Recommendations[Id],J30:AW30,0)))/COUNTIF(J30:AW30,"&lt;&gt;"))</f>
        <v/>
      </c>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45"/>
    </row>
    <row r="31" spans="1:49" ht="60" customHeight="1" outlineLevel="1" x14ac:dyDescent="0.35">
      <c r="A31" s="141" t="s">
        <v>1501</v>
      </c>
      <c r="B31" s="127"/>
      <c r="C31" s="126" t="s">
        <v>1502</v>
      </c>
      <c r="D31" s="130"/>
      <c r="E31" s="130"/>
      <c r="F31" s="130"/>
      <c r="G31" s="130"/>
      <c r="H31" s="130"/>
      <c r="I31" s="132" t="str">
        <f>IF(COUNTIF(J31:AW31,"&lt;&gt;")=0,"",SUMPRODUCT(((Recommendations[ImplStatus]="Implemented")+(Recommendations[ImplStatus]="Compensated"))*ISNUMBER(MATCH(Recommendations[Id],J31:AW31,0)))/COUNTIF(J31:AW31,"&lt;&gt;"))</f>
        <v/>
      </c>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44"/>
    </row>
    <row r="32" spans="1:49" ht="60" customHeight="1" x14ac:dyDescent="0.35">
      <c r="A32" s="142" t="s">
        <v>1501</v>
      </c>
      <c r="B32" s="128" t="s">
        <v>1503</v>
      </c>
      <c r="C32" s="129" t="s">
        <v>1504</v>
      </c>
      <c r="D32" s="131" t="s">
        <v>1505</v>
      </c>
      <c r="E32" s="131" t="s">
        <v>1506</v>
      </c>
      <c r="F32" s="131" t="s">
        <v>1507</v>
      </c>
      <c r="G32" s="131" t="s">
        <v>1508</v>
      </c>
      <c r="H32" s="131" t="s">
        <v>1509</v>
      </c>
      <c r="I32" s="133">
        <f>IF(COUNTIF(J32:AW32,"&lt;&gt;")=0,"",SUMPRODUCT(((Recommendations[ImplStatus]="Implemented")+(Recommendations[ImplStatus]="Compensated"))*ISNUMBER(MATCH(Recommendations[Id],J32:AW32,0)))/COUNTIF(J32:AW32,"&lt;&gt;"))</f>
        <v>0</v>
      </c>
      <c r="J32" s="135" t="s">
        <v>119</v>
      </c>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45"/>
    </row>
    <row r="33" spans="1:49" ht="60" customHeight="1" x14ac:dyDescent="0.35">
      <c r="A33" s="142" t="s">
        <v>1501</v>
      </c>
      <c r="B33" s="128" t="s">
        <v>1510</v>
      </c>
      <c r="C33" s="129" t="s">
        <v>1511</v>
      </c>
      <c r="D33" s="131" t="s">
        <v>1512</v>
      </c>
      <c r="E33" s="131" t="s">
        <v>1513</v>
      </c>
      <c r="F33" s="131" t="s">
        <v>1514</v>
      </c>
      <c r="G33" s="131" t="s">
        <v>1515</v>
      </c>
      <c r="H33" s="131" t="s">
        <v>1516</v>
      </c>
      <c r="I33" s="133" t="str">
        <f>IF(COUNTIF(J33:AW33,"&lt;&gt;")=0,"",SUMPRODUCT(((Recommendations[ImplStatus]="Implemented")+(Recommendations[ImplStatus]="Compensated"))*ISNUMBER(MATCH(Recommendations[Id],J33:AW33,0)))/COUNTIF(J33:AW33,"&lt;&gt;"))</f>
        <v/>
      </c>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45"/>
    </row>
    <row r="34" spans="1:49" ht="60" customHeight="1" x14ac:dyDescent="0.35">
      <c r="A34" s="142" t="s">
        <v>1501</v>
      </c>
      <c r="B34" s="128" t="s">
        <v>1517</v>
      </c>
      <c r="C34" s="129" t="s">
        <v>1518</v>
      </c>
      <c r="D34" s="131" t="s">
        <v>1519</v>
      </c>
      <c r="E34" s="131" t="s">
        <v>1520</v>
      </c>
      <c r="F34" s="131" t="s">
        <v>1521</v>
      </c>
      <c r="G34" s="131" t="s">
        <v>1522</v>
      </c>
      <c r="H34" s="131" t="s">
        <v>1523</v>
      </c>
      <c r="I34" s="133" t="str">
        <f>IF(COUNTIF(J34:AW34,"&lt;&gt;")=0,"",SUMPRODUCT(((Recommendations[ImplStatus]="Implemented")+(Recommendations[ImplStatus]="Compensated"))*ISNUMBER(MATCH(Recommendations[Id],J34:AW34,0)))/COUNTIF(J34:AW34,"&lt;&gt;"))</f>
        <v/>
      </c>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45"/>
    </row>
    <row r="35" spans="1:49" ht="60" customHeight="1" x14ac:dyDescent="0.35">
      <c r="A35" s="142" t="s">
        <v>1501</v>
      </c>
      <c r="B35" s="128" t="s">
        <v>1524</v>
      </c>
      <c r="C35" s="129" t="s">
        <v>1525</v>
      </c>
      <c r="D35" s="131" t="s">
        <v>1526</v>
      </c>
      <c r="E35" s="131" t="s">
        <v>1527</v>
      </c>
      <c r="F35" s="131" t="s">
        <v>1528</v>
      </c>
      <c r="G35" s="131" t="s">
        <v>1529</v>
      </c>
      <c r="H35" s="131" t="s">
        <v>1530</v>
      </c>
      <c r="I35" s="133" t="str">
        <f>IF(COUNTIF(J35:AW35,"&lt;&gt;")=0,"",SUMPRODUCT(((Recommendations[ImplStatus]="Implemented")+(Recommendations[ImplStatus]="Compensated"))*ISNUMBER(MATCH(Recommendations[Id],J35:AW35,0)))/COUNTIF(J35:AW35,"&lt;&gt;"))</f>
        <v/>
      </c>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45"/>
    </row>
    <row r="36" spans="1:49" ht="60" customHeight="1" x14ac:dyDescent="0.35">
      <c r="A36" s="142" t="s">
        <v>1501</v>
      </c>
      <c r="B36" s="128" t="s">
        <v>1531</v>
      </c>
      <c r="C36" s="129" t="s">
        <v>1532</v>
      </c>
      <c r="D36" s="131" t="s">
        <v>1533</v>
      </c>
      <c r="E36" s="131" t="s">
        <v>1534</v>
      </c>
      <c r="F36" s="131" t="s">
        <v>1535</v>
      </c>
      <c r="G36" s="131" t="s">
        <v>1536</v>
      </c>
      <c r="H36" s="131" t="s">
        <v>1537</v>
      </c>
      <c r="I36" s="133" t="str">
        <f>IF(COUNTIF(J36:AW36,"&lt;&gt;")=0,"",SUMPRODUCT(((Recommendations[ImplStatus]="Implemented")+(Recommendations[ImplStatus]="Compensated"))*ISNUMBER(MATCH(Recommendations[Id],J36:AW36,0)))/COUNTIF(J36:AW36,"&lt;&gt;"))</f>
        <v/>
      </c>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45"/>
    </row>
    <row r="37" spans="1:49" ht="60" customHeight="1" x14ac:dyDescent="0.35">
      <c r="A37" s="142" t="s">
        <v>1501</v>
      </c>
      <c r="B37" s="128" t="s">
        <v>1538</v>
      </c>
      <c r="C37" s="129" t="s">
        <v>1539</v>
      </c>
      <c r="D37" s="131" t="s">
        <v>1540</v>
      </c>
      <c r="E37" s="131" t="s">
        <v>1541</v>
      </c>
      <c r="F37" s="131" t="s">
        <v>1542</v>
      </c>
      <c r="G37" s="131" t="s">
        <v>1543</v>
      </c>
      <c r="H37" s="131" t="s">
        <v>1544</v>
      </c>
      <c r="I37" s="133">
        <f>IF(COUNTIF(J37:AW37,"&lt;&gt;")=0,"",SUMPRODUCT(((Recommendations[ImplStatus]="Implemented")+(Recommendations[ImplStatus]="Compensated"))*ISNUMBER(MATCH(Recommendations[Id],J37:AW37,0)))/COUNTIF(J37:AW37,"&lt;&gt;"))</f>
        <v>0</v>
      </c>
      <c r="J37" s="135" t="s">
        <v>67</v>
      </c>
      <c r="K37" s="135" t="s">
        <v>87</v>
      </c>
      <c r="L37" s="135" t="s">
        <v>92</v>
      </c>
      <c r="M37" s="135" t="s">
        <v>114</v>
      </c>
      <c r="N37" s="135"/>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45"/>
    </row>
    <row r="38" spans="1:49" ht="60" customHeight="1" x14ac:dyDescent="0.35">
      <c r="A38" s="142" t="s">
        <v>1501</v>
      </c>
      <c r="B38" s="128" t="s">
        <v>1545</v>
      </c>
      <c r="C38" s="129" t="s">
        <v>1546</v>
      </c>
      <c r="D38" s="131" t="s">
        <v>1547</v>
      </c>
      <c r="E38" s="131" t="s">
        <v>1548</v>
      </c>
      <c r="F38" s="131" t="s">
        <v>1549</v>
      </c>
      <c r="G38" s="131" t="s">
        <v>1550</v>
      </c>
      <c r="H38" s="131" t="s">
        <v>1551</v>
      </c>
      <c r="I38" s="133" t="str">
        <f>IF(COUNTIF(J38:AW38,"&lt;&gt;")=0,"",SUMPRODUCT(((Recommendations[ImplStatus]="Implemented")+(Recommendations[ImplStatus]="Compensated"))*ISNUMBER(MATCH(Recommendations[Id],J38:AW38,0)))/COUNTIF(J38:AW38,"&lt;&gt;"))</f>
        <v/>
      </c>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45"/>
    </row>
    <row r="39" spans="1:49" ht="60" customHeight="1" x14ac:dyDescent="0.35">
      <c r="A39" s="142" t="s">
        <v>1501</v>
      </c>
      <c r="B39" s="128" t="s">
        <v>1552</v>
      </c>
      <c r="C39" s="129" t="s">
        <v>1553</v>
      </c>
      <c r="D39" s="131" t="s">
        <v>1554</v>
      </c>
      <c r="E39" s="131" t="s">
        <v>1555</v>
      </c>
      <c r="F39" s="131" t="s">
        <v>1556</v>
      </c>
      <c r="G39" s="131" t="s">
        <v>1557</v>
      </c>
      <c r="H39" s="131" t="s">
        <v>1558</v>
      </c>
      <c r="I39" s="133" t="str">
        <f>IF(COUNTIF(J39:AW39,"&lt;&gt;")=0,"",SUMPRODUCT(((Recommendations[ImplStatus]="Implemented")+(Recommendations[ImplStatus]="Compensated"))*ISNUMBER(MATCH(Recommendations[Id],J39:AW39,0)))/COUNTIF(J39:AW39,"&lt;&gt;"))</f>
        <v/>
      </c>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45"/>
    </row>
    <row r="40" spans="1:49" ht="60" customHeight="1" x14ac:dyDescent="0.35">
      <c r="A40" s="142" t="s">
        <v>1501</v>
      </c>
      <c r="B40" s="128" t="s">
        <v>1559</v>
      </c>
      <c r="C40" s="129" t="s">
        <v>1560</v>
      </c>
      <c r="D40" s="131" t="s">
        <v>1561</v>
      </c>
      <c r="E40" s="131" t="s">
        <v>1562</v>
      </c>
      <c r="F40" s="131" t="s">
        <v>1563</v>
      </c>
      <c r="G40" s="131" t="s">
        <v>1564</v>
      </c>
      <c r="H40" s="131" t="s">
        <v>1565</v>
      </c>
      <c r="I40" s="133" t="str">
        <f>IF(COUNTIF(J40:AW40,"&lt;&gt;")=0,"",SUMPRODUCT(((Recommendations[ImplStatus]="Implemented")+(Recommendations[ImplStatus]="Compensated"))*ISNUMBER(MATCH(Recommendations[Id],J40:AW40,0)))/COUNTIF(J40:AW40,"&lt;&gt;"))</f>
        <v/>
      </c>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45"/>
    </row>
    <row r="41" spans="1:49" ht="60" customHeight="1" x14ac:dyDescent="0.35">
      <c r="A41" s="142" t="s">
        <v>1501</v>
      </c>
      <c r="B41" s="128" t="s">
        <v>1566</v>
      </c>
      <c r="C41" s="129" t="s">
        <v>1567</v>
      </c>
      <c r="D41" s="131" t="s">
        <v>1568</v>
      </c>
      <c r="E41" s="131" t="s">
        <v>1569</v>
      </c>
      <c r="F41" s="131" t="s">
        <v>1570</v>
      </c>
      <c r="G41" s="131" t="s">
        <v>1508</v>
      </c>
      <c r="H41" s="131" t="s">
        <v>1571</v>
      </c>
      <c r="I41" s="133" t="str">
        <f>IF(COUNTIF(J41:AW41,"&lt;&gt;")=0,"",SUMPRODUCT(((Recommendations[ImplStatus]="Implemented")+(Recommendations[ImplStatus]="Compensated"))*ISNUMBER(MATCH(Recommendations[Id],J41:AW41,0)))/COUNTIF(J41:AW41,"&lt;&gt;"))</f>
        <v/>
      </c>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45"/>
    </row>
    <row r="42" spans="1:49" ht="60" customHeight="1" outlineLevel="1" x14ac:dyDescent="0.35">
      <c r="A42" s="141" t="s">
        <v>1572</v>
      </c>
      <c r="B42" s="127"/>
      <c r="C42" s="126" t="s">
        <v>1573</v>
      </c>
      <c r="D42" s="130"/>
      <c r="E42" s="130"/>
      <c r="F42" s="130"/>
      <c r="G42" s="130"/>
      <c r="H42" s="130"/>
      <c r="I42" s="132" t="str">
        <f>IF(COUNTIF(J42:AW42,"&lt;&gt;")=0,"",SUMPRODUCT(((Recommendations[ImplStatus]="Implemented")+(Recommendations[ImplStatus]="Compensated"))*ISNUMBER(MATCH(Recommendations[Id],J42:AW42,0)))/COUNTIF(J42:AW42,"&lt;&gt;"))</f>
        <v/>
      </c>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44"/>
    </row>
    <row r="43" spans="1:49" ht="60" customHeight="1" x14ac:dyDescent="0.35">
      <c r="A43" s="142" t="s">
        <v>1572</v>
      </c>
      <c r="B43" s="128" t="s">
        <v>1574</v>
      </c>
      <c r="C43" s="129" t="s">
        <v>1575</v>
      </c>
      <c r="D43" s="131" t="s">
        <v>1576</v>
      </c>
      <c r="E43" s="131" t="s">
        <v>1577</v>
      </c>
      <c r="F43" s="131" t="s">
        <v>1578</v>
      </c>
      <c r="G43" s="131" t="s">
        <v>1579</v>
      </c>
      <c r="H43" s="131" t="s">
        <v>1580</v>
      </c>
      <c r="I43" s="133">
        <f>IF(COUNTIF(J43:AW43,"&lt;&gt;")=0,"",SUMPRODUCT(((Recommendations[ImplStatus]="Implemented")+(Recommendations[ImplStatus]="Compensated"))*ISNUMBER(MATCH(Recommendations[Id],J43:AW43,0)))/COUNTIF(J43:AW43,"&lt;&gt;"))</f>
        <v>0</v>
      </c>
      <c r="J43" s="135" t="s">
        <v>36</v>
      </c>
      <c r="K43" s="135"/>
      <c r="L43" s="135"/>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45"/>
    </row>
    <row r="44" spans="1:49" ht="60" customHeight="1" x14ac:dyDescent="0.35">
      <c r="A44" s="142" t="s">
        <v>1572</v>
      </c>
      <c r="B44" s="128" t="s">
        <v>1581</v>
      </c>
      <c r="C44" s="129" t="s">
        <v>1582</v>
      </c>
      <c r="D44" s="131" t="s">
        <v>1583</v>
      </c>
      <c r="E44" s="131" t="s">
        <v>1584</v>
      </c>
      <c r="F44" s="131" t="s">
        <v>1585</v>
      </c>
      <c r="G44" s="131" t="s">
        <v>1586</v>
      </c>
      <c r="H44" s="131" t="s">
        <v>1587</v>
      </c>
      <c r="I44" s="133" t="str">
        <f>IF(COUNTIF(J44:AW44,"&lt;&gt;")=0,"",SUMPRODUCT(((Recommendations[ImplStatus]="Implemented")+(Recommendations[ImplStatus]="Compensated"))*ISNUMBER(MATCH(Recommendations[Id],J44:AW44,0)))/COUNTIF(J44:AW44,"&lt;&gt;"))</f>
        <v/>
      </c>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45"/>
    </row>
    <row r="45" spans="1:49" ht="60" customHeight="1" x14ac:dyDescent="0.35">
      <c r="A45" s="142" t="s">
        <v>1572</v>
      </c>
      <c r="B45" s="128" t="s">
        <v>1588</v>
      </c>
      <c r="C45" s="129" t="s">
        <v>1589</v>
      </c>
      <c r="D45" s="131" t="s">
        <v>1590</v>
      </c>
      <c r="E45" s="131" t="s">
        <v>1591</v>
      </c>
      <c r="F45" s="131" t="s">
        <v>1592</v>
      </c>
      <c r="G45" s="131" t="s">
        <v>1593</v>
      </c>
      <c r="H45" s="131" t="s">
        <v>1594</v>
      </c>
      <c r="I45" s="133">
        <f>IF(COUNTIF(J45:AW45,"&lt;&gt;")=0,"",SUMPRODUCT(((Recommendations[ImplStatus]="Implemented")+(Recommendations[ImplStatus]="Compensated"))*ISNUMBER(MATCH(Recommendations[Id],J45:AW45,0)))/COUNTIF(J45:AW45,"&lt;&gt;"))</f>
        <v>0</v>
      </c>
      <c r="J45" s="135" t="s">
        <v>56</v>
      </c>
      <c r="K45" s="135" t="s">
        <v>102</v>
      </c>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45"/>
    </row>
    <row r="46" spans="1:49" ht="60" customHeight="1" x14ac:dyDescent="0.35">
      <c r="A46" s="142" t="s">
        <v>1572</v>
      </c>
      <c r="B46" s="128" t="s">
        <v>1595</v>
      </c>
      <c r="C46" s="129" t="s">
        <v>1596</v>
      </c>
      <c r="D46" s="131" t="s">
        <v>1597</v>
      </c>
      <c r="E46" s="131" t="s">
        <v>1598</v>
      </c>
      <c r="F46" s="131" t="s">
        <v>1599</v>
      </c>
      <c r="G46" s="131" t="s">
        <v>1593</v>
      </c>
      <c r="H46" s="131" t="s">
        <v>1600</v>
      </c>
      <c r="I46" s="133">
        <f>IF(COUNTIF(J46:AW46,"&lt;&gt;")=0,"",SUMPRODUCT(((Recommendations[ImplStatus]="Implemented")+(Recommendations[ImplStatus]="Compensated"))*ISNUMBER(MATCH(Recommendations[Id],J46:AW46,0)))/COUNTIF(J46:AW46,"&lt;&gt;"))</f>
        <v>0</v>
      </c>
      <c r="J46" s="135" t="s">
        <v>36</v>
      </c>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45"/>
    </row>
    <row r="47" spans="1:49" ht="60" customHeight="1" x14ac:dyDescent="0.35">
      <c r="A47" s="142" t="s">
        <v>1572</v>
      </c>
      <c r="B47" s="128" t="s">
        <v>1601</v>
      </c>
      <c r="C47" s="129" t="s">
        <v>1602</v>
      </c>
      <c r="D47" s="131" t="s">
        <v>1603</v>
      </c>
      <c r="E47" s="131" t="s">
        <v>1604</v>
      </c>
      <c r="F47" s="131" t="s">
        <v>1605</v>
      </c>
      <c r="G47" s="131" t="s">
        <v>1606</v>
      </c>
      <c r="H47" s="131" t="s">
        <v>1607</v>
      </c>
      <c r="I47" s="133" t="str">
        <f>IF(COUNTIF(J47:AW47,"&lt;&gt;")=0,"",SUMPRODUCT(((Recommendations[ImplStatus]="Implemented")+(Recommendations[ImplStatus]="Compensated"))*ISNUMBER(MATCH(Recommendations[Id],J47:AW47,0)))/COUNTIF(J47:AW47,"&lt;&gt;"))</f>
        <v/>
      </c>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45"/>
    </row>
    <row r="48" spans="1:49" ht="60" customHeight="1" x14ac:dyDescent="0.35">
      <c r="A48" s="142" t="s">
        <v>1572</v>
      </c>
      <c r="B48" s="128" t="s">
        <v>1608</v>
      </c>
      <c r="C48" s="129" t="s">
        <v>1609</v>
      </c>
      <c r="D48" s="131" t="s">
        <v>1610</v>
      </c>
      <c r="E48" s="131" t="s">
        <v>1611</v>
      </c>
      <c r="F48" s="131" t="s">
        <v>1612</v>
      </c>
      <c r="G48" s="131" t="s">
        <v>1613</v>
      </c>
      <c r="H48" s="131" t="s">
        <v>1614</v>
      </c>
      <c r="I48" s="133" t="str">
        <f>IF(COUNTIF(J48:AW48,"&lt;&gt;")=0,"",SUMPRODUCT(((Recommendations[ImplStatus]="Implemented")+(Recommendations[ImplStatus]="Compensated"))*ISNUMBER(MATCH(Recommendations[Id],J48:AW48,0)))/COUNTIF(J48:AW48,"&lt;&gt;"))</f>
        <v/>
      </c>
      <c r="J48" s="135"/>
      <c r="K48" s="135"/>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45"/>
    </row>
    <row r="49" spans="1:49" ht="60" customHeight="1" x14ac:dyDescent="0.35">
      <c r="A49" s="142" t="s">
        <v>1572</v>
      </c>
      <c r="B49" s="128" t="s">
        <v>1615</v>
      </c>
      <c r="C49" s="129" t="s">
        <v>1616</v>
      </c>
      <c r="D49" s="131" t="s">
        <v>1617</v>
      </c>
      <c r="E49" s="131" t="s">
        <v>1618</v>
      </c>
      <c r="F49" s="131" t="s">
        <v>1619</v>
      </c>
      <c r="G49" s="131" t="s">
        <v>1377</v>
      </c>
      <c r="H49" s="131" t="s">
        <v>1620</v>
      </c>
      <c r="I49" s="133" t="str">
        <f>IF(COUNTIF(J49:AW49,"&lt;&gt;")=0,"",SUMPRODUCT(((Recommendations[ImplStatus]="Implemented")+(Recommendations[ImplStatus]="Compensated"))*ISNUMBER(MATCH(Recommendations[Id],J49:AW49,0)))/COUNTIF(J49:AW49,"&lt;&gt;"))</f>
        <v/>
      </c>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45"/>
    </row>
    <row r="50" spans="1:49" ht="60" customHeight="1" x14ac:dyDescent="0.35">
      <c r="A50" s="142" t="s">
        <v>1572</v>
      </c>
      <c r="B50" s="128" t="s">
        <v>1621</v>
      </c>
      <c r="C50" s="129" t="s">
        <v>1622</v>
      </c>
      <c r="D50" s="131" t="s">
        <v>1623</v>
      </c>
      <c r="E50" s="131" t="s">
        <v>1624</v>
      </c>
      <c r="F50" s="131" t="s">
        <v>1625</v>
      </c>
      <c r="G50" s="131" t="s">
        <v>1626</v>
      </c>
      <c r="H50" s="131" t="s">
        <v>1627</v>
      </c>
      <c r="I50" s="133" t="str">
        <f>IF(COUNTIF(J50:AW50,"&lt;&gt;")=0,"",SUMPRODUCT(((Recommendations[ImplStatus]="Implemented")+(Recommendations[ImplStatus]="Compensated"))*ISNUMBER(MATCH(Recommendations[Id],J50:AW50,0)))/COUNTIF(J50:AW50,"&lt;&gt;"))</f>
        <v/>
      </c>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45"/>
    </row>
    <row r="51" spans="1:49" ht="60" customHeight="1" outlineLevel="1" x14ac:dyDescent="0.35">
      <c r="A51" s="141" t="s">
        <v>1628</v>
      </c>
      <c r="B51" s="127"/>
      <c r="C51" s="126" t="s">
        <v>1629</v>
      </c>
      <c r="D51" s="130"/>
      <c r="E51" s="130"/>
      <c r="F51" s="130"/>
      <c r="G51" s="130"/>
      <c r="H51" s="130"/>
      <c r="I51" s="132" t="str">
        <f>IF(COUNTIF(J51:AW51,"&lt;&gt;")=0,"",SUMPRODUCT(((Recommendations[ImplStatus]="Implemented")+(Recommendations[ImplStatus]="Compensated"))*ISNUMBER(MATCH(Recommendations[Id],J51:AW51,0)))/COUNTIF(J51:AW51,"&lt;&gt;"))</f>
        <v/>
      </c>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44"/>
    </row>
    <row r="52" spans="1:49" ht="60" customHeight="1" x14ac:dyDescent="0.35">
      <c r="A52" s="142" t="s">
        <v>1628</v>
      </c>
      <c r="B52" s="128" t="s">
        <v>1630</v>
      </c>
      <c r="C52" s="129" t="s">
        <v>1631</v>
      </c>
      <c r="D52" s="131" t="s">
        <v>1632</v>
      </c>
      <c r="E52" s="131" t="s">
        <v>1633</v>
      </c>
      <c r="F52" s="131" t="s">
        <v>1634</v>
      </c>
      <c r="G52" s="131" t="s">
        <v>1635</v>
      </c>
      <c r="H52" s="131" t="s">
        <v>1636</v>
      </c>
      <c r="I52" s="133" t="str">
        <f>IF(COUNTIF(J52:AW52,"&lt;&gt;")=0,"",SUMPRODUCT(((Recommendations[ImplStatus]="Implemented")+(Recommendations[ImplStatus]="Compensated"))*ISNUMBER(MATCH(Recommendations[Id],J52:AW52,0)))/COUNTIF(J52:AW52,"&lt;&gt;"))</f>
        <v/>
      </c>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45"/>
    </row>
    <row r="53" spans="1:49" ht="60" customHeight="1" x14ac:dyDescent="0.35">
      <c r="A53" s="142" t="s">
        <v>1628</v>
      </c>
      <c r="B53" s="128" t="s">
        <v>1637</v>
      </c>
      <c r="C53" s="129" t="s">
        <v>1638</v>
      </c>
      <c r="D53" s="131" t="s">
        <v>1639</v>
      </c>
      <c r="E53" s="131" t="s">
        <v>1640</v>
      </c>
      <c r="F53" s="131" t="s">
        <v>1641</v>
      </c>
      <c r="G53" s="131" t="s">
        <v>1642</v>
      </c>
      <c r="H53" s="131" t="s">
        <v>1643</v>
      </c>
      <c r="I53" s="133" t="str">
        <f>IF(COUNTIF(J53:AW53,"&lt;&gt;")=0,"",SUMPRODUCT(((Recommendations[ImplStatus]="Implemented")+(Recommendations[ImplStatus]="Compensated"))*ISNUMBER(MATCH(Recommendations[Id],J53:AW53,0)))/COUNTIF(J53:AW53,"&lt;&gt;"))</f>
        <v/>
      </c>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45"/>
    </row>
    <row r="54" spans="1:49" ht="60" customHeight="1" x14ac:dyDescent="0.35">
      <c r="A54" s="142" t="s">
        <v>1628</v>
      </c>
      <c r="B54" s="128" t="s">
        <v>1644</v>
      </c>
      <c r="C54" s="129" t="s">
        <v>1645</v>
      </c>
      <c r="D54" s="131" t="s">
        <v>1646</v>
      </c>
      <c r="E54" s="131" t="s">
        <v>1647</v>
      </c>
      <c r="F54" s="131" t="s">
        <v>1648</v>
      </c>
      <c r="G54" s="131" t="s">
        <v>1649</v>
      </c>
      <c r="H54" s="131" t="s">
        <v>21</v>
      </c>
      <c r="I54" s="133" t="str">
        <f>IF(COUNTIF(J54:AW54,"&lt;&gt;")=0,"",SUMPRODUCT(((Recommendations[ImplStatus]="Implemented")+(Recommendations[ImplStatus]="Compensated"))*ISNUMBER(MATCH(Recommendations[Id],J54:AW54,0)))/COUNTIF(J54:AW54,"&lt;&gt;"))</f>
        <v/>
      </c>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45"/>
    </row>
    <row r="55" spans="1:49" ht="60" customHeight="1" x14ac:dyDescent="0.35">
      <c r="A55" s="142" t="s">
        <v>1628</v>
      </c>
      <c r="B55" s="128" t="s">
        <v>1650</v>
      </c>
      <c r="C55" s="129" t="s">
        <v>1651</v>
      </c>
      <c r="D55" s="131" t="s">
        <v>1652</v>
      </c>
      <c r="E55" s="131" t="s">
        <v>1653</v>
      </c>
      <c r="F55" s="131" t="s">
        <v>1654</v>
      </c>
      <c r="G55" s="131" t="s">
        <v>1655</v>
      </c>
      <c r="H55" s="131" t="s">
        <v>21</v>
      </c>
      <c r="I55" s="133" t="str">
        <f>IF(COUNTIF(J55:AW55,"&lt;&gt;")=0,"",SUMPRODUCT(((Recommendations[ImplStatus]="Implemented")+(Recommendations[ImplStatus]="Compensated"))*ISNUMBER(MATCH(Recommendations[Id],J55:AW55,0)))/COUNTIF(J55:AW55,"&lt;&gt;"))</f>
        <v/>
      </c>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45"/>
    </row>
    <row r="56" spans="1:49" ht="60" customHeight="1" x14ac:dyDescent="0.35">
      <c r="A56" s="142" t="s">
        <v>1628</v>
      </c>
      <c r="B56" s="128" t="s">
        <v>1656</v>
      </c>
      <c r="C56" s="129" t="s">
        <v>1657</v>
      </c>
      <c r="D56" s="131" t="s">
        <v>1658</v>
      </c>
      <c r="E56" s="131" t="s">
        <v>1659</v>
      </c>
      <c r="F56" s="131" t="s">
        <v>1660</v>
      </c>
      <c r="G56" s="131" t="s">
        <v>1661</v>
      </c>
      <c r="H56" s="131" t="s">
        <v>1662</v>
      </c>
      <c r="I56" s="133" t="str">
        <f>IF(COUNTIF(J56:AW56,"&lt;&gt;")=0,"",SUMPRODUCT(((Recommendations[ImplStatus]="Implemented")+(Recommendations[ImplStatus]="Compensated"))*ISNUMBER(MATCH(Recommendations[Id],J56:AW56,0)))/COUNTIF(J56:AW56,"&lt;&gt;"))</f>
        <v/>
      </c>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45"/>
    </row>
    <row r="57" spans="1:49" ht="60" customHeight="1" outlineLevel="1" x14ac:dyDescent="0.35">
      <c r="A57" s="141" t="s">
        <v>1663</v>
      </c>
      <c r="B57" s="127"/>
      <c r="C57" s="126" t="s">
        <v>1664</v>
      </c>
      <c r="D57" s="130"/>
      <c r="E57" s="130"/>
      <c r="F57" s="130"/>
      <c r="G57" s="130"/>
      <c r="H57" s="130"/>
      <c r="I57" s="132" t="str">
        <f>IF(COUNTIF(J57:AW57,"&lt;&gt;")=0,"",SUMPRODUCT(((Recommendations[ImplStatus]="Implemented")+(Recommendations[ImplStatus]="Compensated"))*ISNUMBER(MATCH(Recommendations[Id],J57:AW57,0)))/COUNTIF(J57:AW57,"&lt;&gt;"))</f>
        <v/>
      </c>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44"/>
    </row>
    <row r="58" spans="1:49" ht="60" customHeight="1" x14ac:dyDescent="0.35">
      <c r="A58" s="142" t="s">
        <v>1663</v>
      </c>
      <c r="B58" s="128" t="s">
        <v>1665</v>
      </c>
      <c r="C58" s="129" t="s">
        <v>1666</v>
      </c>
      <c r="D58" s="131" t="s">
        <v>1667</v>
      </c>
      <c r="E58" s="131" t="s">
        <v>1668</v>
      </c>
      <c r="F58" s="131" t="s">
        <v>1669</v>
      </c>
      <c r="G58" s="131" t="s">
        <v>1670</v>
      </c>
      <c r="H58" s="131" t="s">
        <v>1671</v>
      </c>
      <c r="I58" s="133" t="str">
        <f>IF(COUNTIF(J58:AW58,"&lt;&gt;")=0,"",SUMPRODUCT(((Recommendations[ImplStatus]="Implemented")+(Recommendations[ImplStatus]="Compensated"))*ISNUMBER(MATCH(Recommendations[Id],J58:AW58,0)))/COUNTIF(J58:AW58,"&lt;&gt;"))</f>
        <v/>
      </c>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45"/>
    </row>
    <row r="59" spans="1:49" ht="60" customHeight="1" x14ac:dyDescent="0.35">
      <c r="A59" s="142" t="s">
        <v>1663</v>
      </c>
      <c r="B59" s="128" t="s">
        <v>1672</v>
      </c>
      <c r="C59" s="129" t="s">
        <v>1673</v>
      </c>
      <c r="D59" s="131" t="s">
        <v>1674</v>
      </c>
      <c r="E59" s="131" t="s">
        <v>1675</v>
      </c>
      <c r="F59" s="131" t="s">
        <v>1676</v>
      </c>
      <c r="G59" s="131" t="s">
        <v>1677</v>
      </c>
      <c r="H59" s="131" t="s">
        <v>1678</v>
      </c>
      <c r="I59" s="133" t="str">
        <f>IF(COUNTIF(J59:AW59,"&lt;&gt;")=0,"",SUMPRODUCT(((Recommendations[ImplStatus]="Implemented")+(Recommendations[ImplStatus]="Compensated"))*ISNUMBER(MATCH(Recommendations[Id],J59:AW59,0)))/COUNTIF(J59:AW59,"&lt;&gt;"))</f>
        <v/>
      </c>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45"/>
    </row>
    <row r="60" spans="1:49" ht="60" customHeight="1" x14ac:dyDescent="0.35">
      <c r="A60" s="142" t="s">
        <v>1663</v>
      </c>
      <c r="B60" s="128" t="s">
        <v>1679</v>
      </c>
      <c r="C60" s="129" t="s">
        <v>1680</v>
      </c>
      <c r="D60" s="131" t="s">
        <v>1681</v>
      </c>
      <c r="E60" s="131" t="s">
        <v>1682</v>
      </c>
      <c r="F60" s="131" t="s">
        <v>1683</v>
      </c>
      <c r="G60" s="131" t="s">
        <v>1684</v>
      </c>
      <c r="H60" s="131" t="s">
        <v>1685</v>
      </c>
      <c r="I60" s="133" t="str">
        <f>IF(COUNTIF(J60:AW60,"&lt;&gt;")=0,"",SUMPRODUCT(((Recommendations[ImplStatus]="Implemented")+(Recommendations[ImplStatus]="Compensated"))*ISNUMBER(MATCH(Recommendations[Id],J60:AW60,0)))/COUNTIF(J60:AW60,"&lt;&gt;"))</f>
        <v/>
      </c>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45"/>
    </row>
    <row r="61" spans="1:49" ht="60" customHeight="1" outlineLevel="1" x14ac:dyDescent="0.35">
      <c r="A61" s="141" t="s">
        <v>1686</v>
      </c>
      <c r="B61" s="127"/>
      <c r="C61" s="126" t="s">
        <v>1687</v>
      </c>
      <c r="D61" s="130"/>
      <c r="E61" s="130"/>
      <c r="F61" s="130"/>
      <c r="G61" s="130"/>
      <c r="H61" s="130"/>
      <c r="I61" s="132" t="str">
        <f>IF(COUNTIF(J61:AW61,"&lt;&gt;")=0,"",SUMPRODUCT(((Recommendations[ImplStatus]="Implemented")+(Recommendations[ImplStatus]="Compensated"))*ISNUMBER(MATCH(Recommendations[Id],J61:AW61,0)))/COUNTIF(J61:AW61,"&lt;&gt;"))</f>
        <v/>
      </c>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44"/>
    </row>
    <row r="62" spans="1:49" ht="60" customHeight="1" x14ac:dyDescent="0.35">
      <c r="A62" s="142" t="s">
        <v>1686</v>
      </c>
      <c r="B62" s="128" t="s">
        <v>1688</v>
      </c>
      <c r="C62" s="129" t="s">
        <v>1689</v>
      </c>
      <c r="D62" s="131" t="s">
        <v>1690</v>
      </c>
      <c r="E62" s="131" t="s">
        <v>1691</v>
      </c>
      <c r="F62" s="131" t="s">
        <v>1692</v>
      </c>
      <c r="G62" s="131" t="s">
        <v>1693</v>
      </c>
      <c r="H62" s="131" t="s">
        <v>1694</v>
      </c>
      <c r="I62" s="133" t="str">
        <f>IF(COUNTIF(J62:AW62,"&lt;&gt;")=0,"",SUMPRODUCT(((Recommendations[ImplStatus]="Implemented")+(Recommendations[ImplStatus]="Compensated"))*ISNUMBER(MATCH(Recommendations[Id],J62:AW62,0)))/COUNTIF(J62:AW62,"&lt;&gt;"))</f>
        <v/>
      </c>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45"/>
    </row>
    <row r="63" spans="1:49" ht="60" customHeight="1" x14ac:dyDescent="0.35">
      <c r="A63" s="142" t="s">
        <v>1686</v>
      </c>
      <c r="B63" s="128" t="s">
        <v>1695</v>
      </c>
      <c r="C63" s="129" t="s">
        <v>1696</v>
      </c>
      <c r="D63" s="131" t="s">
        <v>1697</v>
      </c>
      <c r="E63" s="131" t="s">
        <v>1698</v>
      </c>
      <c r="F63" s="131" t="s">
        <v>1699</v>
      </c>
      <c r="G63" s="131" t="s">
        <v>1700</v>
      </c>
      <c r="H63" s="131" t="s">
        <v>1701</v>
      </c>
      <c r="I63" s="133" t="str">
        <f>IF(COUNTIF(J63:AW63,"&lt;&gt;")=0,"",SUMPRODUCT(((Recommendations[ImplStatus]="Implemented")+(Recommendations[ImplStatus]="Compensated"))*ISNUMBER(MATCH(Recommendations[Id],J63:AW63,0)))/COUNTIF(J63:AW63,"&lt;&gt;"))</f>
        <v/>
      </c>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45"/>
    </row>
    <row r="64" spans="1:49" ht="60" customHeight="1" x14ac:dyDescent="0.35">
      <c r="A64" s="142" t="s">
        <v>1686</v>
      </c>
      <c r="B64" s="128" t="s">
        <v>1702</v>
      </c>
      <c r="C64" s="129" t="s">
        <v>1703</v>
      </c>
      <c r="D64" s="131" t="s">
        <v>1704</v>
      </c>
      <c r="E64" s="131" t="s">
        <v>1705</v>
      </c>
      <c r="F64" s="131" t="s">
        <v>1706</v>
      </c>
      <c r="G64" s="131" t="s">
        <v>1707</v>
      </c>
      <c r="H64" s="131" t="s">
        <v>1708</v>
      </c>
      <c r="I64" s="133" t="str">
        <f>IF(COUNTIF(J64:AW64,"&lt;&gt;")=0,"",SUMPRODUCT(((Recommendations[ImplStatus]="Implemented")+(Recommendations[ImplStatus]="Compensated"))*ISNUMBER(MATCH(Recommendations[Id],J64:AW64,0)))/COUNTIF(J64:AW64,"&lt;&gt;"))</f>
        <v/>
      </c>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45"/>
    </row>
    <row r="65" spans="1:49" ht="60" customHeight="1" x14ac:dyDescent="0.35">
      <c r="A65" s="142" t="s">
        <v>1686</v>
      </c>
      <c r="B65" s="128" t="s">
        <v>1709</v>
      </c>
      <c r="C65" s="129" t="s">
        <v>1710</v>
      </c>
      <c r="D65" s="131" t="s">
        <v>1711</v>
      </c>
      <c r="E65" s="131" t="s">
        <v>1712</v>
      </c>
      <c r="F65" s="131" t="s">
        <v>1713</v>
      </c>
      <c r="G65" s="131" t="s">
        <v>1714</v>
      </c>
      <c r="H65" s="131" t="s">
        <v>1715</v>
      </c>
      <c r="I65" s="133" t="str">
        <f>IF(COUNTIF(J65:AW65,"&lt;&gt;")=0,"",SUMPRODUCT(((Recommendations[ImplStatus]="Implemented")+(Recommendations[ImplStatus]="Compensated"))*ISNUMBER(MATCH(Recommendations[Id],J65:AW65,0)))/COUNTIF(J65:AW65,"&lt;&gt;"))</f>
        <v/>
      </c>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45"/>
    </row>
    <row r="66" spans="1:49" ht="60" customHeight="1" x14ac:dyDescent="0.35">
      <c r="A66" s="142" t="s">
        <v>1686</v>
      </c>
      <c r="B66" s="128" t="s">
        <v>1716</v>
      </c>
      <c r="C66" s="129" t="s">
        <v>1717</v>
      </c>
      <c r="D66" s="131" t="s">
        <v>1718</v>
      </c>
      <c r="E66" s="131" t="s">
        <v>1719</v>
      </c>
      <c r="F66" s="131" t="s">
        <v>1720</v>
      </c>
      <c r="G66" s="131" t="s">
        <v>1721</v>
      </c>
      <c r="H66" s="131" t="s">
        <v>1722</v>
      </c>
      <c r="I66" s="133" t="str">
        <f>IF(COUNTIF(J66:AW66,"&lt;&gt;")=0,"",SUMPRODUCT(((Recommendations[ImplStatus]="Implemented")+(Recommendations[ImplStatus]="Compensated"))*ISNUMBER(MATCH(Recommendations[Id],J66:AW66,0)))/COUNTIF(J66:AW66,"&lt;&gt;"))</f>
        <v/>
      </c>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45"/>
    </row>
    <row r="67" spans="1:49" ht="60" customHeight="1" x14ac:dyDescent="0.35">
      <c r="A67" s="142" t="s">
        <v>1686</v>
      </c>
      <c r="B67" s="128" t="s">
        <v>1723</v>
      </c>
      <c r="C67" s="129" t="s">
        <v>1724</v>
      </c>
      <c r="D67" s="131" t="s">
        <v>1725</v>
      </c>
      <c r="E67" s="131" t="s">
        <v>1726</v>
      </c>
      <c r="F67" s="131" t="s">
        <v>1727</v>
      </c>
      <c r="G67" s="131" t="s">
        <v>1728</v>
      </c>
      <c r="H67" s="131" t="s">
        <v>1729</v>
      </c>
      <c r="I67" s="133" t="str">
        <f>IF(COUNTIF(J67:AW67,"&lt;&gt;")=0,"",SUMPRODUCT(((Recommendations[ImplStatus]="Implemented")+(Recommendations[ImplStatus]="Compensated"))*ISNUMBER(MATCH(Recommendations[Id],J67:AW67,0)))/COUNTIF(J67:AW67,"&lt;&gt;"))</f>
        <v/>
      </c>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45"/>
    </row>
    <row r="68" spans="1:49" ht="60" customHeight="1" x14ac:dyDescent="0.35">
      <c r="A68" s="142" t="s">
        <v>1686</v>
      </c>
      <c r="B68" s="128" t="s">
        <v>1730</v>
      </c>
      <c r="C68" s="129" t="s">
        <v>1731</v>
      </c>
      <c r="D68" s="131" t="s">
        <v>1732</v>
      </c>
      <c r="E68" s="131" t="s">
        <v>1733</v>
      </c>
      <c r="F68" s="131" t="s">
        <v>1734</v>
      </c>
      <c r="G68" s="131" t="s">
        <v>1735</v>
      </c>
      <c r="H68" s="131" t="s">
        <v>1736</v>
      </c>
      <c r="I68" s="133" t="str">
        <f>IF(COUNTIF(J68:AW68,"&lt;&gt;")=0,"",SUMPRODUCT(((Recommendations[ImplStatus]="Implemented")+(Recommendations[ImplStatus]="Compensated"))*ISNUMBER(MATCH(Recommendations[Id],J68:AW68,0)))/COUNTIF(J68:AW68,"&lt;&gt;"))</f>
        <v/>
      </c>
      <c r="J68" s="135"/>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45"/>
    </row>
    <row r="69" spans="1:49" ht="60" customHeight="1" outlineLevel="1" x14ac:dyDescent="0.35">
      <c r="A69" s="141" t="s">
        <v>1737</v>
      </c>
      <c r="B69" s="127"/>
      <c r="C69" s="126" t="s">
        <v>1738</v>
      </c>
      <c r="D69" s="130"/>
      <c r="E69" s="130"/>
      <c r="F69" s="130"/>
      <c r="G69" s="130"/>
      <c r="H69" s="130"/>
      <c r="I69" s="132" t="str">
        <f>IF(COUNTIF(J69:AW69,"&lt;&gt;")=0,"",SUMPRODUCT(((Recommendations[ImplStatus]="Implemented")+(Recommendations[ImplStatus]="Compensated"))*ISNUMBER(MATCH(Recommendations[Id],J69:AW69,0)))/COUNTIF(J69:AW69,"&lt;&gt;"))</f>
        <v/>
      </c>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44"/>
    </row>
    <row r="70" spans="1:49" ht="60" customHeight="1" x14ac:dyDescent="0.35">
      <c r="A70" s="142" t="s">
        <v>1737</v>
      </c>
      <c r="B70" s="128" t="s">
        <v>1739</v>
      </c>
      <c r="C70" s="129" t="s">
        <v>1740</v>
      </c>
      <c r="D70" s="131" t="s">
        <v>1741</v>
      </c>
      <c r="E70" s="131" t="s">
        <v>1742</v>
      </c>
      <c r="F70" s="131" t="s">
        <v>1743</v>
      </c>
      <c r="G70" s="131" t="s">
        <v>1744</v>
      </c>
      <c r="H70" s="131" t="s">
        <v>1745</v>
      </c>
      <c r="I70" s="133" t="str">
        <f>IF(COUNTIF(J70:AW70,"&lt;&gt;")=0,"",SUMPRODUCT(((Recommendations[ImplStatus]="Implemented")+(Recommendations[ImplStatus]="Compensated"))*ISNUMBER(MATCH(Recommendations[Id],J70:AW70,0)))/COUNTIF(J70:AW70,"&lt;&gt;"))</f>
        <v/>
      </c>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45"/>
    </row>
    <row r="71" spans="1:49" ht="60" customHeight="1" x14ac:dyDescent="0.35">
      <c r="A71" s="142" t="s">
        <v>1737</v>
      </c>
      <c r="B71" s="128" t="s">
        <v>1746</v>
      </c>
      <c r="C71" s="129" t="s">
        <v>1747</v>
      </c>
      <c r="D71" s="131" t="s">
        <v>1748</v>
      </c>
      <c r="E71" s="131" t="s">
        <v>1749</v>
      </c>
      <c r="F71" s="131" t="s">
        <v>1750</v>
      </c>
      <c r="G71" s="131" t="s">
        <v>1751</v>
      </c>
      <c r="H71" s="131" t="s">
        <v>1752</v>
      </c>
      <c r="I71" s="133" t="str">
        <f>IF(COUNTIF(J71:AW71,"&lt;&gt;")=0,"",SUMPRODUCT(((Recommendations[ImplStatus]="Implemented")+(Recommendations[ImplStatus]="Compensated"))*ISNUMBER(MATCH(Recommendations[Id],J71:AW71,0)))/COUNTIF(J71:AW71,"&lt;&gt;"))</f>
        <v/>
      </c>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45"/>
    </row>
    <row r="72" spans="1:49" ht="60" customHeight="1" outlineLevel="1" x14ac:dyDescent="0.35">
      <c r="A72" s="141" t="s">
        <v>1753</v>
      </c>
      <c r="B72" s="127"/>
      <c r="C72" s="126" t="s">
        <v>1754</v>
      </c>
      <c r="D72" s="130"/>
      <c r="E72" s="130"/>
      <c r="F72" s="130"/>
      <c r="G72" s="130"/>
      <c r="H72" s="130"/>
      <c r="I72" s="132" t="str">
        <f>IF(COUNTIF(J72:AW72,"&lt;&gt;")=0,"",SUMPRODUCT(((Recommendations[ImplStatus]="Implemented")+(Recommendations[ImplStatus]="Compensated"))*ISNUMBER(MATCH(Recommendations[Id],J72:AW72,0)))/COUNTIF(J72:AW72,"&lt;&gt;"))</f>
        <v/>
      </c>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44"/>
    </row>
    <row r="73" spans="1:49" ht="60" customHeight="1" x14ac:dyDescent="0.35">
      <c r="A73" s="142" t="s">
        <v>1753</v>
      </c>
      <c r="B73" s="128" t="s">
        <v>1755</v>
      </c>
      <c r="C73" s="129" t="s">
        <v>1756</v>
      </c>
      <c r="D73" s="131" t="s">
        <v>1757</v>
      </c>
      <c r="E73" s="131" t="s">
        <v>1758</v>
      </c>
      <c r="F73" s="131" t="s">
        <v>1759</v>
      </c>
      <c r="G73" s="131" t="s">
        <v>1760</v>
      </c>
      <c r="H73" s="131" t="s">
        <v>1761</v>
      </c>
      <c r="I73" s="133" t="str">
        <f>IF(COUNTIF(J73:AW73,"&lt;&gt;")=0,"",SUMPRODUCT(((Recommendations[ImplStatus]="Implemented")+(Recommendations[ImplStatus]="Compensated"))*ISNUMBER(MATCH(Recommendations[Id],J73:AW73,0)))/COUNTIF(J73:AW73,"&lt;&gt;"))</f>
        <v/>
      </c>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45"/>
    </row>
    <row r="74" spans="1:49" ht="60" customHeight="1" x14ac:dyDescent="0.35">
      <c r="A74" s="142" t="s">
        <v>1753</v>
      </c>
      <c r="B74" s="128" t="s">
        <v>1762</v>
      </c>
      <c r="C74" s="129" t="s">
        <v>1763</v>
      </c>
      <c r="D74" s="131" t="s">
        <v>1764</v>
      </c>
      <c r="E74" s="131" t="s">
        <v>1765</v>
      </c>
      <c r="F74" s="131" t="s">
        <v>1766</v>
      </c>
      <c r="G74" s="131" t="s">
        <v>1767</v>
      </c>
      <c r="H74" s="131" t="s">
        <v>1768</v>
      </c>
      <c r="I74" s="133" t="str">
        <f>IF(COUNTIF(J74:AW74,"&lt;&gt;")=0,"",SUMPRODUCT(((Recommendations[ImplStatus]="Implemented")+(Recommendations[ImplStatus]="Compensated"))*ISNUMBER(MATCH(Recommendations[Id],J74:AW74,0)))/COUNTIF(J74:AW74,"&lt;&gt;"))</f>
        <v/>
      </c>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45"/>
    </row>
    <row r="75" spans="1:49" ht="60" customHeight="1" x14ac:dyDescent="0.35">
      <c r="A75" s="142" t="s">
        <v>1753</v>
      </c>
      <c r="B75" s="128" t="s">
        <v>1769</v>
      </c>
      <c r="C75" s="129" t="s">
        <v>1770</v>
      </c>
      <c r="D75" s="131" t="s">
        <v>1771</v>
      </c>
      <c r="E75" s="131" t="s">
        <v>1772</v>
      </c>
      <c r="F75" s="131" t="s">
        <v>1773</v>
      </c>
      <c r="G75" s="131" t="s">
        <v>1774</v>
      </c>
      <c r="H75" s="131" t="s">
        <v>1775</v>
      </c>
      <c r="I75" s="133" t="str">
        <f>IF(COUNTIF(J75:AW75,"&lt;&gt;")=0,"",SUMPRODUCT(((Recommendations[ImplStatus]="Implemented")+(Recommendations[ImplStatus]="Compensated"))*ISNUMBER(MATCH(Recommendations[Id],J75:AW75,0)))/COUNTIF(J75:AW75,"&lt;&gt;"))</f>
        <v/>
      </c>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45"/>
    </row>
    <row r="76" spans="1:49" ht="60" customHeight="1" x14ac:dyDescent="0.35">
      <c r="A76" s="142" t="s">
        <v>1753</v>
      </c>
      <c r="B76" s="128" t="s">
        <v>1776</v>
      </c>
      <c r="C76" s="129" t="s">
        <v>1777</v>
      </c>
      <c r="D76" s="131" t="s">
        <v>1778</v>
      </c>
      <c r="E76" s="131" t="s">
        <v>1779</v>
      </c>
      <c r="F76" s="131" t="s">
        <v>1780</v>
      </c>
      <c r="G76" s="131" t="s">
        <v>1781</v>
      </c>
      <c r="H76" s="131" t="s">
        <v>1782</v>
      </c>
      <c r="I76" s="133" t="str">
        <f>IF(COUNTIF(J76:AW76,"&lt;&gt;")=0,"",SUMPRODUCT(((Recommendations[ImplStatus]="Implemented")+(Recommendations[ImplStatus]="Compensated"))*ISNUMBER(MATCH(Recommendations[Id],J76:AW76,0)))/COUNTIF(J76:AW76,"&lt;&gt;"))</f>
        <v/>
      </c>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45"/>
    </row>
    <row r="77" spans="1:49" ht="60" customHeight="1" x14ac:dyDescent="0.35">
      <c r="A77" s="142" t="s">
        <v>1753</v>
      </c>
      <c r="B77" s="128" t="s">
        <v>1783</v>
      </c>
      <c r="C77" s="129" t="s">
        <v>1784</v>
      </c>
      <c r="D77" s="131" t="s">
        <v>1785</v>
      </c>
      <c r="E77" s="131" t="s">
        <v>1786</v>
      </c>
      <c r="F77" s="131" t="s">
        <v>1787</v>
      </c>
      <c r="G77" s="131" t="s">
        <v>1781</v>
      </c>
      <c r="H77" s="131" t="s">
        <v>1788</v>
      </c>
      <c r="I77" s="133" t="str">
        <f>IF(COUNTIF(J77:AW77,"&lt;&gt;")=0,"",SUMPRODUCT(((Recommendations[ImplStatus]="Implemented")+(Recommendations[ImplStatus]="Compensated"))*ISNUMBER(MATCH(Recommendations[Id],J77:AW77,0)))/COUNTIF(J77:AW77,"&lt;&gt;"))</f>
        <v/>
      </c>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45"/>
    </row>
    <row r="78" spans="1:49" ht="60" customHeight="1" outlineLevel="1" x14ac:dyDescent="0.35">
      <c r="A78" s="141" t="s">
        <v>1789</v>
      </c>
      <c r="B78" s="127"/>
      <c r="C78" s="126" t="s">
        <v>1790</v>
      </c>
      <c r="D78" s="130"/>
      <c r="E78" s="130"/>
      <c r="F78" s="130"/>
      <c r="G78" s="130"/>
      <c r="H78" s="130"/>
      <c r="I78" s="132" t="str">
        <f>IF(COUNTIF(J78:AW78,"&lt;&gt;")=0,"",SUMPRODUCT(((Recommendations[ImplStatus]="Implemented")+(Recommendations[ImplStatus]="Compensated"))*ISNUMBER(MATCH(Recommendations[Id],J78:AW78,0)))/COUNTIF(J78:AW78,"&lt;&gt;"))</f>
        <v/>
      </c>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44"/>
    </row>
    <row r="79" spans="1:49" ht="60" customHeight="1" x14ac:dyDescent="0.35">
      <c r="A79" s="142" t="s">
        <v>1789</v>
      </c>
      <c r="B79" s="128" t="s">
        <v>1789</v>
      </c>
      <c r="C79" s="129" t="s">
        <v>1791</v>
      </c>
      <c r="D79" s="131" t="s">
        <v>1792</v>
      </c>
      <c r="E79" s="131" t="s">
        <v>1793</v>
      </c>
      <c r="F79" s="131" t="s">
        <v>1794</v>
      </c>
      <c r="G79" s="131" t="s">
        <v>1795</v>
      </c>
      <c r="H79" s="131" t="s">
        <v>1796</v>
      </c>
      <c r="I79" s="133" t="str">
        <f>IF(COUNTIF(J79:AW79,"&lt;&gt;")=0,"",SUMPRODUCT(((Recommendations[ImplStatus]="Implemented")+(Recommendations[ImplStatus]="Compensated"))*ISNUMBER(MATCH(Recommendations[Id],J79:AW79,0)))/COUNTIF(J79:AW79,"&lt;&gt;"))</f>
        <v/>
      </c>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45"/>
    </row>
    <row r="80" spans="1:49" ht="60" customHeight="1" x14ac:dyDescent="0.35">
      <c r="A80" s="142" t="s">
        <v>1789</v>
      </c>
      <c r="B80" s="128" t="s">
        <v>1797</v>
      </c>
      <c r="C80" s="129" t="s">
        <v>1798</v>
      </c>
      <c r="D80" s="131" t="s">
        <v>1799</v>
      </c>
      <c r="E80" s="131" t="s">
        <v>1800</v>
      </c>
      <c r="F80" s="131" t="s">
        <v>1801</v>
      </c>
      <c r="G80" s="131" t="s">
        <v>1802</v>
      </c>
      <c r="H80" s="131" t="s">
        <v>1803</v>
      </c>
      <c r="I80" s="133" t="str">
        <f>IF(COUNTIF(J80:AW80,"&lt;&gt;")=0,"",SUMPRODUCT(((Recommendations[ImplStatus]="Implemented")+(Recommendations[ImplStatus]="Compensated"))*ISNUMBER(MATCH(Recommendations[Id],J80:AW80,0)))/COUNTIF(J80:AW80,"&lt;&gt;"))</f>
        <v/>
      </c>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45"/>
    </row>
    <row r="81" spans="1:49" ht="60" customHeight="1" x14ac:dyDescent="0.35">
      <c r="A81" s="142" t="s">
        <v>1789</v>
      </c>
      <c r="B81" s="128" t="s">
        <v>1804</v>
      </c>
      <c r="C81" s="129" t="s">
        <v>1805</v>
      </c>
      <c r="D81" s="131" t="s">
        <v>1806</v>
      </c>
      <c r="E81" s="131" t="s">
        <v>1807</v>
      </c>
      <c r="F81" s="131" t="s">
        <v>1808</v>
      </c>
      <c r="G81" s="131" t="s">
        <v>1809</v>
      </c>
      <c r="H81" s="131" t="s">
        <v>1810</v>
      </c>
      <c r="I81" s="133" t="str">
        <f>IF(COUNTIF(J81:AW81,"&lt;&gt;")=0,"",SUMPRODUCT(((Recommendations[ImplStatus]="Implemented")+(Recommendations[ImplStatus]="Compensated"))*ISNUMBER(MATCH(Recommendations[Id],J81:AW81,0)))/COUNTIF(J81:AW81,"&lt;&gt;"))</f>
        <v/>
      </c>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45"/>
    </row>
    <row r="82" spans="1:49" ht="60" customHeight="1" outlineLevel="1" x14ac:dyDescent="0.35">
      <c r="A82" s="141" t="s">
        <v>1811</v>
      </c>
      <c r="B82" s="127"/>
      <c r="C82" s="126" t="s">
        <v>1812</v>
      </c>
      <c r="D82" s="130"/>
      <c r="E82" s="130"/>
      <c r="F82" s="130"/>
      <c r="G82" s="130"/>
      <c r="H82" s="130"/>
      <c r="I82" s="132" t="str">
        <f>IF(COUNTIF(J82:AW82,"&lt;&gt;")=0,"",SUMPRODUCT(((Recommendations[ImplStatus]="Implemented")+(Recommendations[ImplStatus]="Compensated"))*ISNUMBER(MATCH(Recommendations[Id],J82:AW82,0)))/COUNTIF(J82:AW82,"&lt;&gt;"))</f>
        <v/>
      </c>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44"/>
    </row>
    <row r="83" spans="1:49" ht="60" customHeight="1" x14ac:dyDescent="0.35">
      <c r="A83" s="142" t="s">
        <v>1811</v>
      </c>
      <c r="B83" s="128" t="s">
        <v>1813</v>
      </c>
      <c r="C83" s="129" t="s">
        <v>1814</v>
      </c>
      <c r="D83" s="131" t="s">
        <v>1815</v>
      </c>
      <c r="E83" s="131" t="s">
        <v>1816</v>
      </c>
      <c r="F83" s="131" t="s">
        <v>1817</v>
      </c>
      <c r="G83" s="131" t="s">
        <v>1818</v>
      </c>
      <c r="H83" s="131" t="s">
        <v>1819</v>
      </c>
      <c r="I83" s="133" t="str">
        <f>IF(COUNTIF(J83:AW83,"&lt;&gt;")=0,"",SUMPRODUCT(((Recommendations[ImplStatus]="Implemented")+(Recommendations[ImplStatus]="Compensated"))*ISNUMBER(MATCH(Recommendations[Id],J83:AW83,0)))/COUNTIF(J83:AW83,"&lt;&gt;"))</f>
        <v/>
      </c>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45"/>
    </row>
    <row r="84" spans="1:49" ht="60" customHeight="1" x14ac:dyDescent="0.35">
      <c r="A84" s="142" t="s">
        <v>1811</v>
      </c>
      <c r="B84" s="128" t="s">
        <v>1820</v>
      </c>
      <c r="C84" s="129" t="s">
        <v>1821</v>
      </c>
      <c r="D84" s="131" t="s">
        <v>1822</v>
      </c>
      <c r="E84" s="131" t="s">
        <v>1823</v>
      </c>
      <c r="F84" s="131" t="s">
        <v>1824</v>
      </c>
      <c r="G84" s="131" t="s">
        <v>1825</v>
      </c>
      <c r="H84" s="131" t="s">
        <v>1826</v>
      </c>
      <c r="I84" s="133" t="str">
        <f>IF(COUNTIF(J84:AW84,"&lt;&gt;")=0,"",SUMPRODUCT(((Recommendations[ImplStatus]="Implemented")+(Recommendations[ImplStatus]="Compensated"))*ISNUMBER(MATCH(Recommendations[Id],J84:AW84,0)))/COUNTIF(J84:AW84,"&lt;&gt;"))</f>
        <v/>
      </c>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45"/>
    </row>
    <row r="85" spans="1:49" ht="60" customHeight="1" x14ac:dyDescent="0.35">
      <c r="A85" s="142" t="s">
        <v>1811</v>
      </c>
      <c r="B85" s="128" t="s">
        <v>1827</v>
      </c>
      <c r="C85" s="129" t="s">
        <v>1828</v>
      </c>
      <c r="D85" s="131" t="s">
        <v>1829</v>
      </c>
      <c r="E85" s="131" t="s">
        <v>1830</v>
      </c>
      <c r="F85" s="131" t="s">
        <v>1831</v>
      </c>
      <c r="G85" s="131" t="s">
        <v>1832</v>
      </c>
      <c r="H85" s="131" t="s">
        <v>1833</v>
      </c>
      <c r="I85" s="133" t="str">
        <f>IF(COUNTIF(J85:AW85,"&lt;&gt;")=0,"",SUMPRODUCT(((Recommendations[ImplStatus]="Implemented")+(Recommendations[ImplStatus]="Compensated"))*ISNUMBER(MATCH(Recommendations[Id],J85:AW85,0)))/COUNTIF(J85:AW85,"&lt;&gt;"))</f>
        <v/>
      </c>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45"/>
    </row>
    <row r="86" spans="1:49" ht="60" customHeight="1" x14ac:dyDescent="0.35">
      <c r="A86" s="142" t="s">
        <v>1811</v>
      </c>
      <c r="B86" s="128" t="s">
        <v>1834</v>
      </c>
      <c r="C86" s="129" t="s">
        <v>1835</v>
      </c>
      <c r="D86" s="131" t="s">
        <v>1836</v>
      </c>
      <c r="E86" s="131" t="s">
        <v>1837</v>
      </c>
      <c r="F86" s="131" t="s">
        <v>1838</v>
      </c>
      <c r="G86" s="131" t="s">
        <v>1839</v>
      </c>
      <c r="H86" s="131" t="s">
        <v>21</v>
      </c>
      <c r="I86" s="133" t="str">
        <f>IF(COUNTIF(J86:AW86,"&lt;&gt;")=0,"",SUMPRODUCT(((Recommendations[ImplStatus]="Implemented")+(Recommendations[ImplStatus]="Compensated"))*ISNUMBER(MATCH(Recommendations[Id],J86:AW86,0)))/COUNTIF(J86:AW86,"&lt;&gt;"))</f>
        <v/>
      </c>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45"/>
    </row>
    <row r="87" spans="1:49" ht="60" customHeight="1" outlineLevel="1" x14ac:dyDescent="0.35">
      <c r="A87" s="141" t="s">
        <v>1840</v>
      </c>
      <c r="B87" s="127"/>
      <c r="C87" s="126" t="s">
        <v>1841</v>
      </c>
      <c r="D87" s="130"/>
      <c r="E87" s="130"/>
      <c r="F87" s="130"/>
      <c r="G87" s="130"/>
      <c r="H87" s="130"/>
      <c r="I87" s="132" t="str">
        <f>IF(COUNTIF(J87:AW87,"&lt;&gt;")=0,"",SUMPRODUCT(((Recommendations[ImplStatus]="Implemented")+(Recommendations[ImplStatus]="Compensated"))*ISNUMBER(MATCH(Recommendations[Id],J87:AW87,0)))/COUNTIF(J87:AW87,"&lt;&gt;"))</f>
        <v/>
      </c>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44"/>
    </row>
    <row r="88" spans="1:49" ht="60" customHeight="1" x14ac:dyDescent="0.35">
      <c r="A88" s="142" t="s">
        <v>1840</v>
      </c>
      <c r="B88" s="128" t="s">
        <v>1842</v>
      </c>
      <c r="C88" s="129" t="s">
        <v>1843</v>
      </c>
      <c r="D88" s="131" t="s">
        <v>1844</v>
      </c>
      <c r="E88" s="131" t="s">
        <v>1845</v>
      </c>
      <c r="F88" s="131" t="s">
        <v>1846</v>
      </c>
      <c r="G88" s="131" t="s">
        <v>1847</v>
      </c>
      <c r="H88" s="131" t="s">
        <v>1848</v>
      </c>
      <c r="I88" s="133" t="str">
        <f>IF(COUNTIF(J88:AW88,"&lt;&gt;")=0,"",SUMPRODUCT(((Recommendations[ImplStatus]="Implemented")+(Recommendations[ImplStatus]="Compensated"))*ISNUMBER(MATCH(Recommendations[Id],J88:AW88,0)))/COUNTIF(J88:AW88,"&lt;&gt;"))</f>
        <v/>
      </c>
      <c r="J88" s="135"/>
      <c r="K88" s="135"/>
      <c r="L88" s="135"/>
      <c r="M88" s="135"/>
      <c r="N88" s="135"/>
      <c r="O88" s="135"/>
      <c r="P88" s="135"/>
      <c r="Q88" s="135"/>
      <c r="R88" s="135"/>
      <c r="S88" s="135"/>
      <c r="T88" s="135"/>
      <c r="U88" s="135"/>
      <c r="V88" s="135"/>
      <c r="W88" s="135"/>
      <c r="X88" s="135"/>
      <c r="Y88" s="135"/>
      <c r="Z88" s="135"/>
      <c r="AA88" s="135"/>
      <c r="AB88" s="135"/>
      <c r="AC88" s="135"/>
      <c r="AD88" s="135"/>
      <c r="AE88" s="135"/>
      <c r="AF88" s="135"/>
      <c r="AG88" s="135"/>
      <c r="AH88" s="135"/>
      <c r="AI88" s="135"/>
      <c r="AJ88" s="135"/>
      <c r="AK88" s="135"/>
      <c r="AL88" s="135"/>
      <c r="AM88" s="135"/>
      <c r="AN88" s="135"/>
      <c r="AO88" s="135"/>
      <c r="AP88" s="135"/>
      <c r="AQ88" s="135"/>
      <c r="AR88" s="135"/>
      <c r="AS88" s="135"/>
      <c r="AT88" s="135"/>
      <c r="AU88" s="135"/>
      <c r="AV88" s="135"/>
      <c r="AW88" s="145"/>
    </row>
    <row r="89" spans="1:49" ht="60" customHeight="1" x14ac:dyDescent="0.35">
      <c r="A89" s="142" t="s">
        <v>1840</v>
      </c>
      <c r="B89" s="128" t="s">
        <v>1849</v>
      </c>
      <c r="C89" s="129" t="s">
        <v>1850</v>
      </c>
      <c r="D89" s="131" t="s">
        <v>1851</v>
      </c>
      <c r="E89" s="131" t="s">
        <v>1852</v>
      </c>
      <c r="F89" s="131" t="s">
        <v>1853</v>
      </c>
      <c r="G89" s="131" t="s">
        <v>1377</v>
      </c>
      <c r="H89" s="131" t="s">
        <v>1854</v>
      </c>
      <c r="I89" s="133" t="str">
        <f>IF(COUNTIF(J89:AW89,"&lt;&gt;")=0,"",SUMPRODUCT(((Recommendations[ImplStatus]="Implemented")+(Recommendations[ImplStatus]="Compensated"))*ISNUMBER(MATCH(Recommendations[Id],J89:AW89,0)))/COUNTIF(J89:AW89,"&lt;&gt;"))</f>
        <v/>
      </c>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45"/>
    </row>
    <row r="90" spans="1:49" ht="60" customHeight="1" x14ac:dyDescent="0.35">
      <c r="A90" s="142" t="s">
        <v>1840</v>
      </c>
      <c r="B90" s="128" t="s">
        <v>1855</v>
      </c>
      <c r="C90" s="129" t="s">
        <v>1856</v>
      </c>
      <c r="D90" s="131" t="s">
        <v>1857</v>
      </c>
      <c r="E90" s="131" t="s">
        <v>1858</v>
      </c>
      <c r="F90" s="131" t="s">
        <v>1859</v>
      </c>
      <c r="G90" s="131" t="s">
        <v>1847</v>
      </c>
      <c r="H90" s="131" t="s">
        <v>1860</v>
      </c>
      <c r="I90" s="133" t="str">
        <f>IF(COUNTIF(J90:AW90,"&lt;&gt;")=0,"",SUMPRODUCT(((Recommendations[ImplStatus]="Implemented")+(Recommendations[ImplStatus]="Compensated"))*ISNUMBER(MATCH(Recommendations[Id],J90:AW90,0)))/COUNTIF(J90:AW90,"&lt;&gt;"))</f>
        <v/>
      </c>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45"/>
    </row>
    <row r="91" spans="1:49" ht="60" customHeight="1" x14ac:dyDescent="0.35">
      <c r="A91" s="142" t="s">
        <v>1840</v>
      </c>
      <c r="B91" s="128" t="s">
        <v>1861</v>
      </c>
      <c r="C91" s="129" t="s">
        <v>1862</v>
      </c>
      <c r="D91" s="131" t="s">
        <v>1863</v>
      </c>
      <c r="E91" s="131" t="s">
        <v>1864</v>
      </c>
      <c r="F91" s="131" t="s">
        <v>1865</v>
      </c>
      <c r="G91" s="131" t="s">
        <v>1377</v>
      </c>
      <c r="H91" s="131" t="s">
        <v>1866</v>
      </c>
      <c r="I91" s="133">
        <f>IF(COUNTIF(J91:AW91,"&lt;&gt;")=0,"",SUMPRODUCT(((Recommendations[ImplStatus]="Implemented")+(Recommendations[ImplStatus]="Compensated"))*ISNUMBER(MATCH(Recommendations[Id],J91:AW91,0)))/COUNTIF(J91:AW91,"&lt;&gt;"))</f>
        <v>0</v>
      </c>
      <c r="J91" s="135" t="s">
        <v>14</v>
      </c>
      <c r="K91" s="135" t="s">
        <v>41</v>
      </c>
      <c r="L91" s="135" t="s">
        <v>44</v>
      </c>
      <c r="M91" s="135" t="s">
        <v>47</v>
      </c>
      <c r="N91" s="135" t="s">
        <v>50</v>
      </c>
      <c r="O91" s="135" t="s">
        <v>61</v>
      </c>
      <c r="P91" s="135" t="s">
        <v>83</v>
      </c>
      <c r="Q91" s="135" t="s">
        <v>108</v>
      </c>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45"/>
    </row>
    <row r="92" spans="1:49" ht="60" customHeight="1" x14ac:dyDescent="0.35">
      <c r="A92" s="142" t="s">
        <v>1840</v>
      </c>
      <c r="B92" s="128" t="s">
        <v>1867</v>
      </c>
      <c r="C92" s="129" t="s">
        <v>1868</v>
      </c>
      <c r="D92" s="131" t="s">
        <v>1869</v>
      </c>
      <c r="E92" s="131" t="s">
        <v>1870</v>
      </c>
      <c r="F92" s="131" t="s">
        <v>1871</v>
      </c>
      <c r="G92" s="131" t="s">
        <v>1377</v>
      </c>
      <c r="H92" s="131" t="s">
        <v>1872</v>
      </c>
      <c r="I92" s="133" t="str">
        <f>IF(COUNTIF(J92:AW92,"&lt;&gt;")=0,"",SUMPRODUCT(((Recommendations[ImplStatus]="Implemented")+(Recommendations[ImplStatus]="Compensated"))*ISNUMBER(MATCH(Recommendations[Id],J92:AW92,0)))/COUNTIF(J92:AW92,"&lt;&gt;"))</f>
        <v/>
      </c>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45"/>
    </row>
    <row r="93" spans="1:49" ht="60" customHeight="1" x14ac:dyDescent="0.35">
      <c r="A93" s="142" t="s">
        <v>1840</v>
      </c>
      <c r="B93" s="128" t="s">
        <v>1873</v>
      </c>
      <c r="C93" s="129" t="s">
        <v>1874</v>
      </c>
      <c r="D93" s="131" t="s">
        <v>1875</v>
      </c>
      <c r="E93" s="131" t="s">
        <v>1876</v>
      </c>
      <c r="F93" s="131" t="s">
        <v>1877</v>
      </c>
      <c r="G93" s="131" t="s">
        <v>1878</v>
      </c>
      <c r="H93" s="131" t="s">
        <v>1879</v>
      </c>
      <c r="I93" s="133">
        <f>IF(COUNTIF(J93:AW93,"&lt;&gt;")=0,"",SUMPRODUCT(((Recommendations[ImplStatus]="Implemented")+(Recommendations[ImplStatus]="Compensated"))*ISNUMBER(MATCH(Recommendations[Id],J93:AW93,0)))/COUNTIF(J93:AW93,"&lt;&gt;"))</f>
        <v>0</v>
      </c>
      <c r="J93" s="135" t="s">
        <v>97</v>
      </c>
      <c r="K93" s="135"/>
      <c r="L93" s="135"/>
      <c r="M93" s="135"/>
      <c r="N93" s="135"/>
      <c r="O93" s="135"/>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45"/>
    </row>
    <row r="94" spans="1:49" ht="60" customHeight="1" x14ac:dyDescent="0.35">
      <c r="A94" s="142" t="s">
        <v>1840</v>
      </c>
      <c r="B94" s="128" t="s">
        <v>1880</v>
      </c>
      <c r="C94" s="129" t="s">
        <v>1881</v>
      </c>
      <c r="D94" s="131" t="s">
        <v>1882</v>
      </c>
      <c r="E94" s="131" t="s">
        <v>1883</v>
      </c>
      <c r="F94" s="131" t="s">
        <v>1884</v>
      </c>
      <c r="G94" s="131" t="s">
        <v>1885</v>
      </c>
      <c r="H94" s="131" t="s">
        <v>1886</v>
      </c>
      <c r="I94" s="133">
        <f>IF(COUNTIF(J94:AW94,"&lt;&gt;")=0,"",SUMPRODUCT(((Recommendations[ImplStatus]="Implemented")+(Recommendations[ImplStatus]="Compensated"))*ISNUMBER(MATCH(Recommendations[Id],J94:AW94,0)))/COUNTIF(J94:AW94,"&lt;&gt;"))</f>
        <v>0</v>
      </c>
      <c r="J94" s="135" t="s">
        <v>44</v>
      </c>
      <c r="K94" s="135"/>
      <c r="L94" s="135"/>
      <c r="M94" s="135"/>
      <c r="N94" s="135"/>
      <c r="O94" s="135"/>
      <c r="P94" s="135"/>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45"/>
    </row>
    <row r="95" spans="1:49" ht="60" customHeight="1" x14ac:dyDescent="0.35">
      <c r="A95" s="142" t="s">
        <v>1840</v>
      </c>
      <c r="B95" s="128" t="s">
        <v>1887</v>
      </c>
      <c r="C95" s="129" t="s">
        <v>1888</v>
      </c>
      <c r="D95" s="131" t="s">
        <v>1889</v>
      </c>
      <c r="E95" s="131" t="s">
        <v>1890</v>
      </c>
      <c r="F95" s="131" t="s">
        <v>1891</v>
      </c>
      <c r="G95" s="131" t="s">
        <v>1892</v>
      </c>
      <c r="H95" s="131" t="s">
        <v>1893</v>
      </c>
      <c r="I95" s="133" t="str">
        <f>IF(COUNTIF(J95:AW95,"&lt;&gt;")=0,"",SUMPRODUCT(((Recommendations[ImplStatus]="Implemented")+(Recommendations[ImplStatus]="Compensated"))*ISNUMBER(MATCH(Recommendations[Id],J95:AW95,0)))/COUNTIF(J95:AW95,"&lt;&gt;"))</f>
        <v/>
      </c>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45"/>
    </row>
    <row r="96" spans="1:49" ht="60" customHeight="1" x14ac:dyDescent="0.35">
      <c r="A96" s="142" t="s">
        <v>1840</v>
      </c>
      <c r="B96" s="128" t="s">
        <v>1894</v>
      </c>
      <c r="C96" s="129" t="s">
        <v>1895</v>
      </c>
      <c r="D96" s="131" t="s">
        <v>1896</v>
      </c>
      <c r="E96" s="131" t="s">
        <v>1897</v>
      </c>
      <c r="F96" s="131" t="s">
        <v>1898</v>
      </c>
      <c r="G96" s="131" t="s">
        <v>1899</v>
      </c>
      <c r="H96" s="131" t="s">
        <v>1900</v>
      </c>
      <c r="I96" s="133" t="str">
        <f>IF(COUNTIF(J96:AW96,"&lt;&gt;")=0,"",SUMPRODUCT(((Recommendations[ImplStatus]="Implemented")+(Recommendations[ImplStatus]="Compensated"))*ISNUMBER(MATCH(Recommendations[Id],J96:AW96,0)))/COUNTIF(J96:AW96,"&lt;&gt;"))</f>
        <v/>
      </c>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45"/>
    </row>
    <row r="97" spans="1:49" ht="60" customHeight="1" x14ac:dyDescent="0.35">
      <c r="A97" s="142" t="s">
        <v>1840</v>
      </c>
      <c r="B97" s="128" t="s">
        <v>1901</v>
      </c>
      <c r="C97" s="129" t="s">
        <v>1902</v>
      </c>
      <c r="D97" s="131" t="s">
        <v>1903</v>
      </c>
      <c r="E97" s="131" t="s">
        <v>1904</v>
      </c>
      <c r="F97" s="131" t="s">
        <v>1905</v>
      </c>
      <c r="G97" s="131" t="s">
        <v>1906</v>
      </c>
      <c r="H97" s="131" t="s">
        <v>1907</v>
      </c>
      <c r="I97" s="133">
        <f>IF(COUNTIF(J97:AW97,"&lt;&gt;")=0,"",SUMPRODUCT(((Recommendations[ImplStatus]="Implemented")+(Recommendations[ImplStatus]="Compensated"))*ISNUMBER(MATCH(Recommendations[Id],J97:AW97,0)))/COUNTIF(J97:AW97,"&lt;&gt;"))</f>
        <v>0</v>
      </c>
      <c r="J97" s="135" t="s">
        <v>14</v>
      </c>
      <c r="K97" s="135" t="s">
        <v>31</v>
      </c>
      <c r="L97" s="135" t="s">
        <v>50</v>
      </c>
      <c r="M97" s="135" t="s">
        <v>61</v>
      </c>
      <c r="N97" s="135" t="s">
        <v>83</v>
      </c>
      <c r="O97" s="135" t="s">
        <v>108</v>
      </c>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45"/>
    </row>
    <row r="98" spans="1:49" ht="60" customHeight="1" outlineLevel="1" x14ac:dyDescent="0.35">
      <c r="A98" s="141" t="s">
        <v>1908</v>
      </c>
      <c r="B98" s="127"/>
      <c r="C98" s="126" t="s">
        <v>1909</v>
      </c>
      <c r="D98" s="130"/>
      <c r="E98" s="130"/>
      <c r="F98" s="130"/>
      <c r="G98" s="130"/>
      <c r="H98" s="130"/>
      <c r="I98" s="132" t="str">
        <f>IF(COUNTIF(J98:AW98,"&lt;&gt;")=0,"",SUMPRODUCT(((Recommendations[ImplStatus]="Implemented")+(Recommendations[ImplStatus]="Compensated"))*ISNUMBER(MATCH(Recommendations[Id],J98:AW98,0)))/COUNTIF(J98:AW98,"&lt;&gt;"))</f>
        <v/>
      </c>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44"/>
    </row>
    <row r="99" spans="1:49" ht="60" customHeight="1" x14ac:dyDescent="0.35">
      <c r="A99" s="142" t="s">
        <v>1908</v>
      </c>
      <c r="B99" s="128" t="s">
        <v>1910</v>
      </c>
      <c r="C99" s="129" t="s">
        <v>1911</v>
      </c>
      <c r="D99" s="131" t="s">
        <v>1912</v>
      </c>
      <c r="E99" s="131" t="s">
        <v>1913</v>
      </c>
      <c r="F99" s="131" t="s">
        <v>1914</v>
      </c>
      <c r="G99" s="131" t="s">
        <v>1915</v>
      </c>
      <c r="H99" s="131" t="s">
        <v>1916</v>
      </c>
      <c r="I99" s="133" t="str">
        <f>IF(COUNTIF(J99:AW99,"&lt;&gt;")=0,"",SUMPRODUCT(((Recommendations[ImplStatus]="Implemented")+(Recommendations[ImplStatus]="Compensated"))*ISNUMBER(MATCH(Recommendations[Id],J99:AW99,0)))/COUNTIF(J99:AW99,"&lt;&gt;"))</f>
        <v/>
      </c>
      <c r="J99" s="135"/>
      <c r="K99" s="135"/>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45"/>
    </row>
    <row r="100" spans="1:49" ht="60" customHeight="1" x14ac:dyDescent="0.35">
      <c r="A100" s="142" t="s">
        <v>1908</v>
      </c>
      <c r="B100" s="128" t="s">
        <v>1917</v>
      </c>
      <c r="C100" s="129" t="s">
        <v>1918</v>
      </c>
      <c r="D100" s="131" t="s">
        <v>1919</v>
      </c>
      <c r="E100" s="131" t="s">
        <v>1920</v>
      </c>
      <c r="F100" s="131" t="s">
        <v>1921</v>
      </c>
      <c r="G100" s="131" t="s">
        <v>1922</v>
      </c>
      <c r="H100" s="131" t="s">
        <v>1923</v>
      </c>
      <c r="I100" s="133" t="str">
        <f>IF(COUNTIF(J100:AW100,"&lt;&gt;")=0,"",SUMPRODUCT(((Recommendations[ImplStatus]="Implemented")+(Recommendations[ImplStatus]="Compensated"))*ISNUMBER(MATCH(Recommendations[Id],J100:AW100,0)))/COUNTIF(J100:AW100,"&lt;&gt;"))</f>
        <v/>
      </c>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45"/>
    </row>
    <row r="101" spans="1:49" ht="60" customHeight="1" x14ac:dyDescent="0.35">
      <c r="A101" s="142" t="s">
        <v>1908</v>
      </c>
      <c r="B101" s="128" t="s">
        <v>1924</v>
      </c>
      <c r="C101" s="129" t="s">
        <v>1925</v>
      </c>
      <c r="D101" s="131" t="s">
        <v>1926</v>
      </c>
      <c r="E101" s="131" t="s">
        <v>1927</v>
      </c>
      <c r="F101" s="131" t="s">
        <v>21</v>
      </c>
      <c r="G101" s="131" t="s">
        <v>21</v>
      </c>
      <c r="H101" s="131" t="s">
        <v>21</v>
      </c>
      <c r="I101" s="133" t="str">
        <f>IF(COUNTIF(J101:AW101,"&lt;&gt;")=0,"",SUMPRODUCT(((Recommendations[ImplStatus]="Implemented")+(Recommendations[ImplStatus]="Compensated"))*ISNUMBER(MATCH(Recommendations[Id],J101:AW101,0)))/COUNTIF(J101:AW101,"&lt;&gt;"))</f>
        <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45"/>
    </row>
    <row r="102" spans="1:49" ht="60" customHeight="1" x14ac:dyDescent="0.35">
      <c r="A102" s="142" t="s">
        <v>1908</v>
      </c>
      <c r="B102" s="128" t="s">
        <v>1928</v>
      </c>
      <c r="C102" s="129" t="s">
        <v>1929</v>
      </c>
      <c r="D102" s="131" t="s">
        <v>1930</v>
      </c>
      <c r="E102" s="131" t="s">
        <v>1931</v>
      </c>
      <c r="F102" s="131" t="s">
        <v>1932</v>
      </c>
      <c r="G102" s="131" t="s">
        <v>1933</v>
      </c>
      <c r="H102" s="131" t="s">
        <v>1934</v>
      </c>
      <c r="I102" s="133" t="str">
        <f>IF(COUNTIF(J102:AW102,"&lt;&gt;")=0,"",SUMPRODUCT(((Recommendations[ImplStatus]="Implemented")+(Recommendations[ImplStatus]="Compensated"))*ISNUMBER(MATCH(Recommendations[Id],J102:AW102,0)))/COUNTIF(J102:AW102,"&lt;&gt;"))</f>
        <v/>
      </c>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45"/>
    </row>
    <row r="103" spans="1:49" ht="60" customHeight="1" x14ac:dyDescent="0.35">
      <c r="A103" s="142" t="s">
        <v>1908</v>
      </c>
      <c r="B103" s="128" t="s">
        <v>1935</v>
      </c>
      <c r="C103" s="129" t="s">
        <v>1936</v>
      </c>
      <c r="D103" s="131" t="s">
        <v>1937</v>
      </c>
      <c r="E103" s="131" t="s">
        <v>1938</v>
      </c>
      <c r="F103" s="131" t="s">
        <v>1939</v>
      </c>
      <c r="G103" s="131" t="s">
        <v>1940</v>
      </c>
      <c r="H103" s="131" t="s">
        <v>1941</v>
      </c>
      <c r="I103" s="133" t="str">
        <f>IF(COUNTIF(J103:AW103,"&lt;&gt;")=0,"",SUMPRODUCT(((Recommendations[ImplStatus]="Implemented")+(Recommendations[ImplStatus]="Compensated"))*ISNUMBER(MATCH(Recommendations[Id],J103:AW103,0)))/COUNTIF(J103:AW103,"&lt;&gt;"))</f>
        <v/>
      </c>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45"/>
    </row>
    <row r="104" spans="1:49" ht="60" customHeight="1" outlineLevel="1" x14ac:dyDescent="0.35">
      <c r="A104" s="141" t="s">
        <v>1942</v>
      </c>
      <c r="B104" s="127"/>
      <c r="C104" s="126" t="s">
        <v>1943</v>
      </c>
      <c r="D104" s="130"/>
      <c r="E104" s="130"/>
      <c r="F104" s="130"/>
      <c r="G104" s="130"/>
      <c r="H104" s="130"/>
      <c r="I104" s="132" t="str">
        <f>IF(COUNTIF(J104:AW104,"&lt;&gt;")=0,"",SUMPRODUCT(((Recommendations[ImplStatus]="Implemented")+(Recommendations[ImplStatus]="Compensated"))*ISNUMBER(MATCH(Recommendations[Id],J104:AW104,0)))/COUNTIF(J104:AW104,"&lt;&gt;"))</f>
        <v/>
      </c>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44"/>
    </row>
    <row r="105" spans="1:49" ht="60" customHeight="1" x14ac:dyDescent="0.35">
      <c r="A105" s="142" t="s">
        <v>1942</v>
      </c>
      <c r="B105" s="128" t="s">
        <v>1944</v>
      </c>
      <c r="C105" s="129" t="s">
        <v>1945</v>
      </c>
      <c r="D105" s="131" t="s">
        <v>1946</v>
      </c>
      <c r="E105" s="131" t="s">
        <v>1947</v>
      </c>
      <c r="F105" s="131" t="s">
        <v>1948</v>
      </c>
      <c r="G105" s="131" t="s">
        <v>1949</v>
      </c>
      <c r="H105" s="131" t="s">
        <v>21</v>
      </c>
      <c r="I105" s="133" t="str">
        <f>IF(COUNTIF(J105:AW105,"&lt;&gt;")=0,"",SUMPRODUCT(((Recommendations[ImplStatus]="Implemented")+(Recommendations[ImplStatus]="Compensated"))*ISNUMBER(MATCH(Recommendations[Id],J105:AW105,0)))/COUNTIF(J105:AW105,"&lt;&gt;"))</f>
        <v/>
      </c>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45"/>
    </row>
    <row r="106" spans="1:49" ht="60" customHeight="1" x14ac:dyDescent="0.35">
      <c r="A106" s="142" t="s">
        <v>1942</v>
      </c>
      <c r="B106" s="128" t="s">
        <v>1950</v>
      </c>
      <c r="C106" s="129" t="s">
        <v>1951</v>
      </c>
      <c r="D106" s="131" t="s">
        <v>1952</v>
      </c>
      <c r="E106" s="131" t="s">
        <v>1953</v>
      </c>
      <c r="F106" s="131" t="s">
        <v>1954</v>
      </c>
      <c r="G106" s="131" t="s">
        <v>1955</v>
      </c>
      <c r="H106" s="131" t="s">
        <v>1956</v>
      </c>
      <c r="I106" s="133" t="str">
        <f>IF(COUNTIF(J106:AW106,"&lt;&gt;")=0,"",SUMPRODUCT(((Recommendations[ImplStatus]="Implemented")+(Recommendations[ImplStatus]="Compensated"))*ISNUMBER(MATCH(Recommendations[Id],J106:AW106,0)))/COUNTIF(J106:AW106,"&lt;&gt;"))</f>
        <v/>
      </c>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45"/>
    </row>
    <row r="107" spans="1:49" ht="60" customHeight="1" x14ac:dyDescent="0.35">
      <c r="A107" s="142" t="s">
        <v>1942</v>
      </c>
      <c r="B107" s="128" t="s">
        <v>1957</v>
      </c>
      <c r="C107" s="129" t="s">
        <v>1958</v>
      </c>
      <c r="D107" s="131" t="s">
        <v>1959</v>
      </c>
      <c r="E107" s="131" t="s">
        <v>1960</v>
      </c>
      <c r="F107" s="131" t="s">
        <v>1961</v>
      </c>
      <c r="G107" s="131" t="s">
        <v>1962</v>
      </c>
      <c r="H107" s="131" t="s">
        <v>1963</v>
      </c>
      <c r="I107" s="133" t="str">
        <f>IF(COUNTIF(J107:AW107,"&lt;&gt;")=0,"",SUMPRODUCT(((Recommendations[ImplStatus]="Implemented")+(Recommendations[ImplStatus]="Compensated"))*ISNUMBER(MATCH(Recommendations[Id],J107:AW107,0)))/COUNTIF(J107:AW107,"&lt;&gt;"))</f>
        <v/>
      </c>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45"/>
    </row>
    <row r="108" spans="1:49" ht="60" customHeight="1" outlineLevel="1" x14ac:dyDescent="0.35">
      <c r="A108" s="141" t="s">
        <v>1964</v>
      </c>
      <c r="B108" s="127"/>
      <c r="C108" s="126" t="s">
        <v>1965</v>
      </c>
      <c r="D108" s="130"/>
      <c r="E108" s="130"/>
      <c r="F108" s="130"/>
      <c r="G108" s="130"/>
      <c r="H108" s="130"/>
      <c r="I108" s="132" t="str">
        <f>IF(COUNTIF(J108:AW108,"&lt;&gt;")=0,"",SUMPRODUCT(((Recommendations[ImplStatus]="Implemented")+(Recommendations[ImplStatus]="Compensated"))*ISNUMBER(MATCH(Recommendations[Id],J108:AW108,0)))/COUNTIF(J108:AW108,"&lt;&gt;"))</f>
        <v/>
      </c>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4"/>
      <c r="AW108" s="144"/>
    </row>
    <row r="109" spans="1:49" ht="60" customHeight="1" x14ac:dyDescent="0.35">
      <c r="A109" s="142" t="s">
        <v>1964</v>
      </c>
      <c r="B109" s="128" t="s">
        <v>1966</v>
      </c>
      <c r="C109" s="129" t="s">
        <v>1967</v>
      </c>
      <c r="D109" s="131" t="s">
        <v>1968</v>
      </c>
      <c r="E109" s="131" t="s">
        <v>1969</v>
      </c>
      <c r="F109" s="131" t="s">
        <v>1970</v>
      </c>
      <c r="G109" s="131" t="s">
        <v>1971</v>
      </c>
      <c r="H109" s="131" t="s">
        <v>1972</v>
      </c>
      <c r="I109" s="133" t="str">
        <f>IF(COUNTIF(J109:AW109,"&lt;&gt;")=0,"",SUMPRODUCT(((Recommendations[ImplStatus]="Implemented")+(Recommendations[ImplStatus]="Compensated"))*ISNUMBER(MATCH(Recommendations[Id],J109:AW109,0)))/COUNTIF(J109:AW109,"&lt;&gt;"))</f>
        <v/>
      </c>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45"/>
    </row>
    <row r="110" spans="1:49" ht="60" customHeight="1" x14ac:dyDescent="0.35">
      <c r="A110" s="142" t="s">
        <v>1964</v>
      </c>
      <c r="B110" s="128" t="s">
        <v>1973</v>
      </c>
      <c r="C110" s="129" t="s">
        <v>1974</v>
      </c>
      <c r="D110" s="131" t="s">
        <v>1975</v>
      </c>
      <c r="E110" s="131" t="s">
        <v>1976</v>
      </c>
      <c r="F110" s="131" t="s">
        <v>1977</v>
      </c>
      <c r="G110" s="131" t="s">
        <v>1978</v>
      </c>
      <c r="H110" s="131" t="s">
        <v>1979</v>
      </c>
      <c r="I110" s="133" t="str">
        <f>IF(COUNTIF(J110:AW110,"&lt;&gt;")=0,"",SUMPRODUCT(((Recommendations[ImplStatus]="Implemented")+(Recommendations[ImplStatus]="Compensated"))*ISNUMBER(MATCH(Recommendations[Id],J110:AW110,0)))/COUNTIF(J110:AW110,"&lt;&gt;"))</f>
        <v/>
      </c>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45"/>
    </row>
    <row r="111" spans="1:49" ht="60" customHeight="1" x14ac:dyDescent="0.35">
      <c r="A111" s="142" t="s">
        <v>1964</v>
      </c>
      <c r="B111" s="128" t="s">
        <v>1980</v>
      </c>
      <c r="C111" s="129" t="s">
        <v>1981</v>
      </c>
      <c r="D111" s="131" t="s">
        <v>1982</v>
      </c>
      <c r="E111" s="131" t="s">
        <v>1983</v>
      </c>
      <c r="F111" s="131" t="s">
        <v>1984</v>
      </c>
      <c r="G111" s="131" t="s">
        <v>1985</v>
      </c>
      <c r="H111" s="131" t="s">
        <v>1986</v>
      </c>
      <c r="I111" s="133" t="str">
        <f>IF(COUNTIF(J111:AW111,"&lt;&gt;")=0,"",SUMPRODUCT(((Recommendations[ImplStatus]="Implemented")+(Recommendations[ImplStatus]="Compensated"))*ISNUMBER(MATCH(Recommendations[Id],J111:AW111,0)))/COUNTIF(J111:AW111,"&lt;&gt;"))</f>
        <v/>
      </c>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45"/>
    </row>
    <row r="112" spans="1:49" ht="60" customHeight="1" outlineLevel="1" x14ac:dyDescent="0.35">
      <c r="A112" s="141" t="s">
        <v>1987</v>
      </c>
      <c r="B112" s="127"/>
      <c r="C112" s="126" t="s">
        <v>1988</v>
      </c>
      <c r="D112" s="130"/>
      <c r="E112" s="130"/>
      <c r="F112" s="130"/>
      <c r="G112" s="130"/>
      <c r="H112" s="130"/>
      <c r="I112" s="132" t="str">
        <f>IF(COUNTIF(J112:AW112,"&lt;&gt;")=0,"",SUMPRODUCT(((Recommendations[ImplStatus]="Implemented")+(Recommendations[ImplStatus]="Compensated"))*ISNUMBER(MATCH(Recommendations[Id],J112:AW112,0)))/COUNTIF(J112:AW112,"&lt;&gt;"))</f>
        <v/>
      </c>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44"/>
    </row>
    <row r="113" spans="1:49" ht="60" customHeight="1" x14ac:dyDescent="0.35">
      <c r="A113" s="142" t="s">
        <v>1987</v>
      </c>
      <c r="B113" s="128" t="s">
        <v>1989</v>
      </c>
      <c r="C113" s="129" t="s">
        <v>1990</v>
      </c>
      <c r="D113" s="131" t="s">
        <v>1991</v>
      </c>
      <c r="E113" s="131" t="s">
        <v>1992</v>
      </c>
      <c r="F113" s="131" t="s">
        <v>1993</v>
      </c>
      <c r="G113" s="131" t="s">
        <v>1994</v>
      </c>
      <c r="H113" s="131" t="s">
        <v>1995</v>
      </c>
      <c r="I113" s="133" t="str">
        <f>IF(COUNTIF(J113:AW113,"&lt;&gt;")=0,"",SUMPRODUCT(((Recommendations[ImplStatus]="Implemented")+(Recommendations[ImplStatus]="Compensated"))*ISNUMBER(MATCH(Recommendations[Id],J113:AW113,0)))/COUNTIF(J113:AW113,"&lt;&gt;"))</f>
        <v/>
      </c>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45"/>
    </row>
    <row r="114" spans="1:49" ht="60" customHeight="1" x14ac:dyDescent="0.35">
      <c r="A114" s="142" t="s">
        <v>1987</v>
      </c>
      <c r="B114" s="128" t="s">
        <v>1996</v>
      </c>
      <c r="C114" s="129" t="s">
        <v>1997</v>
      </c>
      <c r="D114" s="131" t="s">
        <v>1998</v>
      </c>
      <c r="E114" s="131" t="s">
        <v>1999</v>
      </c>
      <c r="F114" s="131" t="s">
        <v>2000</v>
      </c>
      <c r="G114" s="131" t="s">
        <v>1994</v>
      </c>
      <c r="H114" s="131" t="s">
        <v>2001</v>
      </c>
      <c r="I114" s="133" t="str">
        <f>IF(COUNTIF(J114:AW114,"&lt;&gt;")=0,"",SUMPRODUCT(((Recommendations[ImplStatus]="Implemented")+(Recommendations[ImplStatus]="Compensated"))*ISNUMBER(MATCH(Recommendations[Id],J114:AW114,0)))/COUNTIF(J114:AW114,"&lt;&gt;"))</f>
        <v/>
      </c>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45"/>
    </row>
    <row r="115" spans="1:49" ht="60" customHeight="1" x14ac:dyDescent="0.35">
      <c r="A115" s="143" t="s">
        <v>1987</v>
      </c>
      <c r="B115" s="136" t="s">
        <v>2002</v>
      </c>
      <c r="C115" s="137" t="s">
        <v>2003</v>
      </c>
      <c r="D115" s="138" t="s">
        <v>2004</v>
      </c>
      <c r="E115" s="138" t="s">
        <v>2005</v>
      </c>
      <c r="F115" s="138" t="s">
        <v>2006</v>
      </c>
      <c r="G115" s="138" t="s">
        <v>2007</v>
      </c>
      <c r="H115" s="138" t="s">
        <v>2008</v>
      </c>
      <c r="I115" s="139" t="str">
        <f>IF(COUNTIF(J115:AW115,"&lt;&gt;")=0,"",SUMPRODUCT(((Recommendations[ImplStatus]="Implemented")+(Recommendations[ImplStatus]="Compensated"))*ISNUMBER(MATCH(Recommendations[Id],J115:AW115,0)))/COUNTIF(J115:AW115,"&lt;&gt;"))</f>
        <v/>
      </c>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6"/>
    </row>
    <row r="119" spans="1:49" ht="32" customHeight="1" x14ac:dyDescent="0.35">
      <c r="A119" s="291" t="s">
        <v>124</v>
      </c>
      <c r="B119" s="291"/>
      <c r="C119" s="291"/>
      <c r="D119" s="291"/>
      <c r="E119" s="291"/>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IFERROR(INDEX('Recommendations'!$H$2:$H$22, MATCH(J2,'Recommendations'!$A$2:$A$22,0))="Implemented", FALSE))</xm:f>
            <x14:dxf>
              <font>
                <color rgb="FF000000"/>
              </font>
              <fill>
                <patternFill>
                  <bgColor rgb="FF3C7D22"/>
                </patternFill>
              </fill>
            </x14:dxf>
          </x14:cfRule>
          <x14:cfRule type="expression" priority="2" id="{00000000-000E-0000-0600-000002000000}">
            <xm:f>AND(J2&lt;&gt;"", IFERROR(INDEX('Recommendations'!$H$2:$H$22, MATCH(J2,'Recommendations'!$A$2:$A$22,0))="Compensated", FALSE))</xm:f>
            <x14:dxf>
              <font>
                <color rgb="FF000000"/>
              </font>
              <fill>
                <patternFill>
                  <bgColor rgb="FFC6E0B4"/>
                </patternFill>
              </fill>
            </x14:dxf>
          </x14:cfRule>
          <x14:cfRule type="expression" priority="3" id="{00000000-000E-0000-0600-000003000000}">
            <xm:f>AND(J2&lt;&gt;"", IFERROR(INDEX('Recommendations'!$H$2:$H$22, MATCH(J2,'Recommendations'!$A$2:$A$22,0))="Testing", FALSE))</xm:f>
            <x14:dxf>
              <font>
                <color rgb="FF000000"/>
              </font>
              <fill>
                <patternFill>
                  <bgColor rgb="FFFFC000"/>
                </patternFill>
              </fill>
            </x14:dxf>
          </x14:cfRule>
          <x14:cfRule type="expression" priority="4" id="{00000000-000E-0000-0600-000004000000}">
            <xm:f>AND(J2&lt;&gt;"", IFERROR(INDEX('Recommendations'!$H$2:$H$22, MATCH(J2,'Recommendations'!$A$2:$A$22,0))="Failed", FALSE))</xm:f>
            <x14:dxf>
              <font>
                <color rgb="FF000000"/>
              </font>
              <fill>
                <patternFill>
                  <bgColor rgb="FFD82891"/>
                </patternFill>
              </fill>
            </x14:dxf>
          </x14:cfRule>
          <x14:cfRule type="expression" priority="5" id="{00000000-000E-0000-0600-000005000000}">
            <xm:f>AND(J2&lt;&gt;"", IFERROR(INDEX('Recommendations'!$H$2:$H$22, MATCH(J2,'Recommendations'!$A$2:$A$22,0))="Risk Accepted", FALSE))</xm:f>
            <x14:dxf>
              <font>
                <color rgb="FF000000"/>
              </font>
              <fill>
                <patternFill>
                  <bgColor rgb="FFD9D9D9"/>
                </patternFill>
              </fill>
            </x14:dxf>
          </x14:cfRule>
          <x14:cfRule type="expression" priority="6" id="{00000000-000E-0000-0600-000006000000}">
            <xm:f>AND(J2&lt;&gt;"", IFERROR(INDEX('Recommendations'!$H$2:$H$22, MATCH(J2,'Recommendations'!$A$2:$A$22,0))="N/A",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6" t="s">
        <v>2009</v>
      </c>
      <c r="B1" s="187" t="s">
        <v>2010</v>
      </c>
      <c r="C1" s="187" t="s">
        <v>0</v>
      </c>
      <c r="D1" s="187" t="s">
        <v>2011</v>
      </c>
      <c r="E1" s="187" t="s">
        <v>2012</v>
      </c>
      <c r="F1" s="187" t="s">
        <v>2013</v>
      </c>
      <c r="G1" s="187" t="s">
        <v>378</v>
      </c>
      <c r="H1" s="187" t="s">
        <v>379</v>
      </c>
      <c r="I1" s="187" t="s">
        <v>380</v>
      </c>
      <c r="J1" s="187" t="s">
        <v>381</v>
      </c>
      <c r="K1" s="187" t="s">
        <v>382</v>
      </c>
      <c r="L1" s="187" t="s">
        <v>383</v>
      </c>
      <c r="M1" s="187" t="s">
        <v>384</v>
      </c>
      <c r="N1" s="187" t="s">
        <v>385</v>
      </c>
      <c r="O1" s="187" t="s">
        <v>386</v>
      </c>
      <c r="P1" s="187" t="s">
        <v>387</v>
      </c>
      <c r="Q1" s="187" t="s">
        <v>388</v>
      </c>
      <c r="R1" s="187" t="s">
        <v>389</v>
      </c>
      <c r="S1" s="187" t="s">
        <v>390</v>
      </c>
      <c r="T1" s="187" t="s">
        <v>391</v>
      </c>
      <c r="U1" s="187" t="s">
        <v>392</v>
      </c>
      <c r="V1" s="187" t="s">
        <v>393</v>
      </c>
      <c r="W1" s="187" t="s">
        <v>394</v>
      </c>
      <c r="X1" s="187" t="s">
        <v>395</v>
      </c>
      <c r="Y1" s="187" t="s">
        <v>396</v>
      </c>
      <c r="Z1" s="187" t="s">
        <v>397</v>
      </c>
      <c r="AA1" s="187" t="s">
        <v>398</v>
      </c>
      <c r="AB1" s="187" t="s">
        <v>399</v>
      </c>
      <c r="AC1" s="187" t="s">
        <v>400</v>
      </c>
      <c r="AD1" s="187" t="s">
        <v>401</v>
      </c>
      <c r="AE1" s="187" t="s">
        <v>402</v>
      </c>
      <c r="AF1" s="187" t="s">
        <v>403</v>
      </c>
      <c r="AG1" s="187" t="s">
        <v>404</v>
      </c>
      <c r="AH1" s="187" t="s">
        <v>405</v>
      </c>
      <c r="AI1" s="187" t="s">
        <v>406</v>
      </c>
      <c r="AJ1" s="187" t="s">
        <v>407</v>
      </c>
      <c r="AK1" s="187" t="s">
        <v>408</v>
      </c>
      <c r="AL1" s="187" t="s">
        <v>409</v>
      </c>
      <c r="AM1" s="187" t="s">
        <v>410</v>
      </c>
      <c r="AN1" s="187" t="s">
        <v>411</v>
      </c>
      <c r="AO1" s="187" t="s">
        <v>412</v>
      </c>
      <c r="AP1" s="187" t="s">
        <v>413</v>
      </c>
      <c r="AQ1" s="187" t="s">
        <v>414</v>
      </c>
      <c r="AR1" s="187" t="s">
        <v>415</v>
      </c>
      <c r="AS1" s="187" t="s">
        <v>416</v>
      </c>
      <c r="AT1" s="187" t="s">
        <v>417</v>
      </c>
      <c r="AU1" s="188" t="s">
        <v>418</v>
      </c>
    </row>
    <row r="2" spans="1:47" ht="60" customHeight="1" outlineLevel="1" x14ac:dyDescent="0.35">
      <c r="A2" s="178" t="s">
        <v>2014</v>
      </c>
      <c r="B2" s="152" t="s">
        <v>21</v>
      </c>
      <c r="C2" s="150" t="s">
        <v>2015</v>
      </c>
      <c r="D2" s="156" t="s">
        <v>2016</v>
      </c>
      <c r="E2" s="159" t="s">
        <v>21</v>
      </c>
      <c r="F2" s="162" t="s">
        <v>21</v>
      </c>
      <c r="G2" s="165" t="str">
        <f>IF(COUNTIF(H2:AU2,"&lt;&gt;")=0,"",SUMPRODUCT(((Recommendations[ImplStatus]="Implemented")+(Recommendations[ImplStatus]="Compensated"))*ISNUMBER(MATCH(Recommendations[Id],H2:AU2,0)))/COUNTIF(H2:AU2,"&lt;&gt;"))</f>
        <v/>
      </c>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82"/>
    </row>
    <row r="3" spans="1:47" ht="60" customHeight="1" outlineLevel="1" x14ac:dyDescent="0.35">
      <c r="A3" s="179" t="s">
        <v>2014</v>
      </c>
      <c r="B3" s="153" t="s">
        <v>2017</v>
      </c>
      <c r="C3" s="151" t="s">
        <v>2018</v>
      </c>
      <c r="D3" s="157" t="s">
        <v>2019</v>
      </c>
      <c r="E3" s="160" t="s">
        <v>21</v>
      </c>
      <c r="F3" s="163" t="s">
        <v>21</v>
      </c>
      <c r="G3" s="166" t="str">
        <f>IF(COUNTIF(H3:AU3,"&lt;&gt;")=0,"",SUMPRODUCT(((Recommendations[ImplStatus]="Implemented")+(Recommendations[ImplStatus]="Compensated"))*ISNUMBER(MATCH(Recommendations[Id],H3:AU3,0)))/COUNTIF(H3:AU3,"&lt;&gt;"))</f>
        <v/>
      </c>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83"/>
    </row>
    <row r="4" spans="1:47" ht="60" customHeight="1" x14ac:dyDescent="0.35">
      <c r="A4" s="180" t="s">
        <v>2014</v>
      </c>
      <c r="B4" s="154" t="s">
        <v>2017</v>
      </c>
      <c r="C4" s="155" t="s">
        <v>2020</v>
      </c>
      <c r="D4" s="158" t="s">
        <v>2021</v>
      </c>
      <c r="E4" s="161" t="s">
        <v>2022</v>
      </c>
      <c r="F4" s="164" t="s">
        <v>2023</v>
      </c>
      <c r="G4" s="167" t="str">
        <f>IF(COUNTIF(H4:AU4,"&lt;&gt;")=0,"",SUMPRODUCT(((Recommendations[ImplStatus]="Implemented")+(Recommendations[ImplStatus]="Compensated"))*ISNUMBER(MATCH(Recommendations[Id],H4:AU4,0)))/COUNTIF(H4:AU4,"&lt;&gt;"))</f>
        <v/>
      </c>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84"/>
    </row>
    <row r="5" spans="1:47" ht="60" customHeight="1" x14ac:dyDescent="0.35">
      <c r="A5" s="180" t="s">
        <v>2014</v>
      </c>
      <c r="B5" s="154" t="s">
        <v>2017</v>
      </c>
      <c r="C5" s="155" t="s">
        <v>2024</v>
      </c>
      <c r="D5" s="158" t="s">
        <v>2025</v>
      </c>
      <c r="E5" s="161" t="s">
        <v>2026</v>
      </c>
      <c r="F5" s="164" t="s">
        <v>2027</v>
      </c>
      <c r="G5" s="167" t="str">
        <f>IF(COUNTIF(H5:AU5,"&lt;&gt;")=0,"",SUMPRODUCT(((Recommendations[ImplStatus]="Implemented")+(Recommendations[ImplStatus]="Compensated"))*ISNUMBER(MATCH(Recommendations[Id],H5:AU5,0)))/COUNTIF(H5:AU5,"&lt;&gt;"))</f>
        <v/>
      </c>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84"/>
    </row>
    <row r="6" spans="1:47" ht="60" customHeight="1" x14ac:dyDescent="0.35">
      <c r="A6" s="180" t="s">
        <v>2014</v>
      </c>
      <c r="B6" s="154" t="s">
        <v>2017</v>
      </c>
      <c r="C6" s="155" t="s">
        <v>2028</v>
      </c>
      <c r="D6" s="158" t="s">
        <v>2029</v>
      </c>
      <c r="E6" s="161" t="s">
        <v>2030</v>
      </c>
      <c r="F6" s="164" t="s">
        <v>2027</v>
      </c>
      <c r="G6" s="167" t="str">
        <f>IF(COUNTIF(H6:AU6,"&lt;&gt;")=0,"",SUMPRODUCT(((Recommendations[ImplStatus]="Implemented")+(Recommendations[ImplStatus]="Compensated"))*ISNUMBER(MATCH(Recommendations[Id],H6:AU6,0)))/COUNTIF(H6:AU6,"&lt;&gt;"))</f>
        <v/>
      </c>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84"/>
    </row>
    <row r="7" spans="1:47" ht="60" customHeight="1" x14ac:dyDescent="0.35">
      <c r="A7" s="180" t="s">
        <v>2014</v>
      </c>
      <c r="B7" s="154" t="s">
        <v>2017</v>
      </c>
      <c r="C7" s="155" t="s">
        <v>2031</v>
      </c>
      <c r="D7" s="158" t="s">
        <v>2032</v>
      </c>
      <c r="E7" s="161" t="s">
        <v>2033</v>
      </c>
      <c r="F7" s="164" t="s">
        <v>2027</v>
      </c>
      <c r="G7" s="167" t="str">
        <f>IF(COUNTIF(H7:AU7,"&lt;&gt;")=0,"",SUMPRODUCT(((Recommendations[ImplStatus]="Implemented")+(Recommendations[ImplStatus]="Compensated"))*ISNUMBER(MATCH(Recommendations[Id],H7:AU7,0)))/COUNTIF(H7:AU7,"&lt;&gt;"))</f>
        <v/>
      </c>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84"/>
    </row>
    <row r="8" spans="1:47" ht="60" customHeight="1" x14ac:dyDescent="0.35">
      <c r="A8" s="180" t="s">
        <v>2014</v>
      </c>
      <c r="B8" s="154" t="s">
        <v>2017</v>
      </c>
      <c r="C8" s="155" t="s">
        <v>2034</v>
      </c>
      <c r="D8" s="158" t="s">
        <v>2035</v>
      </c>
      <c r="E8" s="161" t="s">
        <v>2036</v>
      </c>
      <c r="F8" s="164" t="s">
        <v>2037</v>
      </c>
      <c r="G8" s="167" t="str">
        <f>IF(COUNTIF(H8:AU8,"&lt;&gt;")=0,"",SUMPRODUCT(((Recommendations[ImplStatus]="Implemented")+(Recommendations[ImplStatus]="Compensated"))*ISNUMBER(MATCH(Recommendations[Id],H8:AU8,0)))/COUNTIF(H8:AU8,"&lt;&gt;"))</f>
        <v/>
      </c>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84"/>
    </row>
    <row r="9" spans="1:47" ht="60" customHeight="1" outlineLevel="1" x14ac:dyDescent="0.35">
      <c r="A9" s="179" t="s">
        <v>2014</v>
      </c>
      <c r="B9" s="153" t="s">
        <v>2038</v>
      </c>
      <c r="C9" s="151" t="s">
        <v>2039</v>
      </c>
      <c r="D9" s="157" t="s">
        <v>2040</v>
      </c>
      <c r="E9" s="160" t="s">
        <v>21</v>
      </c>
      <c r="F9" s="163" t="s">
        <v>21</v>
      </c>
      <c r="G9" s="166" t="str">
        <f>IF(COUNTIF(H9:AU9,"&lt;&gt;")=0,"",SUMPRODUCT(((Recommendations[ImplStatus]="Implemented")+(Recommendations[ImplStatus]="Compensated"))*ISNUMBER(MATCH(Recommendations[Id],H9:AU9,0)))/COUNTIF(H9:AU9,"&lt;&gt;"))</f>
        <v/>
      </c>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83"/>
    </row>
    <row r="10" spans="1:47" ht="60" customHeight="1" x14ac:dyDescent="0.35">
      <c r="A10" s="180" t="s">
        <v>2014</v>
      </c>
      <c r="B10" s="154" t="s">
        <v>2038</v>
      </c>
      <c r="C10" s="155" t="s">
        <v>2041</v>
      </c>
      <c r="D10" s="158" t="s">
        <v>2042</v>
      </c>
      <c r="E10" s="161" t="s">
        <v>2043</v>
      </c>
      <c r="F10" s="164" t="s">
        <v>2023</v>
      </c>
      <c r="G10" s="167" t="str">
        <f>IF(COUNTIF(H10:AU10,"&lt;&gt;")=0,"",SUMPRODUCT(((Recommendations[ImplStatus]="Implemented")+(Recommendations[ImplStatus]="Compensated"))*ISNUMBER(MATCH(Recommendations[Id],H10:AU10,0)))/COUNTIF(H10:AU10,"&lt;&gt;"))</f>
        <v/>
      </c>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84"/>
    </row>
    <row r="11" spans="1:47" ht="60" customHeight="1" x14ac:dyDescent="0.35">
      <c r="A11" s="180" t="s">
        <v>2014</v>
      </c>
      <c r="B11" s="154" t="s">
        <v>2038</v>
      </c>
      <c r="C11" s="155" t="s">
        <v>2044</v>
      </c>
      <c r="D11" s="158" t="s">
        <v>2045</v>
      </c>
      <c r="E11" s="161" t="s">
        <v>2046</v>
      </c>
      <c r="F11" s="164" t="s">
        <v>2023</v>
      </c>
      <c r="G11" s="167" t="str">
        <f>IF(COUNTIF(H11:AU11,"&lt;&gt;")=0,"",SUMPRODUCT(((Recommendations[ImplStatus]="Implemented")+(Recommendations[ImplStatus]="Compensated"))*ISNUMBER(MATCH(Recommendations[Id],H11:AU11,0)))/COUNTIF(H11:AU11,"&lt;&gt;"))</f>
        <v/>
      </c>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84"/>
    </row>
    <row r="12" spans="1:47" ht="60" customHeight="1" x14ac:dyDescent="0.35">
      <c r="A12" s="180" t="s">
        <v>2014</v>
      </c>
      <c r="B12" s="154" t="s">
        <v>2038</v>
      </c>
      <c r="C12" s="155" t="s">
        <v>2047</v>
      </c>
      <c r="D12" s="158" t="s">
        <v>2048</v>
      </c>
      <c r="E12" s="161" t="s">
        <v>2049</v>
      </c>
      <c r="F12" s="164" t="s">
        <v>2023</v>
      </c>
      <c r="G12" s="167" t="str">
        <f>IF(COUNTIF(H12:AU12,"&lt;&gt;")=0,"",SUMPRODUCT(((Recommendations[ImplStatus]="Implemented")+(Recommendations[ImplStatus]="Compensated"))*ISNUMBER(MATCH(Recommendations[Id],H12:AU12,0)))/COUNTIF(H12:AU12,"&lt;&gt;"))</f>
        <v/>
      </c>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84"/>
    </row>
    <row r="13" spans="1:47" ht="60" customHeight="1" outlineLevel="1" x14ac:dyDescent="0.35">
      <c r="A13" s="179" t="s">
        <v>2014</v>
      </c>
      <c r="B13" s="153" t="s">
        <v>2050</v>
      </c>
      <c r="C13" s="151" t="s">
        <v>2051</v>
      </c>
      <c r="D13" s="157" t="s">
        <v>2052</v>
      </c>
      <c r="E13" s="160" t="s">
        <v>21</v>
      </c>
      <c r="F13" s="163" t="s">
        <v>21</v>
      </c>
      <c r="G13" s="166" t="str">
        <f>IF(COUNTIF(H13:AU13,"&lt;&gt;")=0,"",SUMPRODUCT(((Recommendations[ImplStatus]="Implemented")+(Recommendations[ImplStatus]="Compensated"))*ISNUMBER(MATCH(Recommendations[Id],H13:AU13,0)))/COUNTIF(H13:AU13,"&lt;&gt;"))</f>
        <v/>
      </c>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83"/>
    </row>
    <row r="14" spans="1:47" ht="60" customHeight="1" x14ac:dyDescent="0.35">
      <c r="A14" s="180" t="s">
        <v>2014</v>
      </c>
      <c r="B14" s="154" t="s">
        <v>2050</v>
      </c>
      <c r="C14" s="155" t="s">
        <v>2053</v>
      </c>
      <c r="D14" s="158" t="s">
        <v>2054</v>
      </c>
      <c r="E14" s="161" t="s">
        <v>2055</v>
      </c>
      <c r="F14" s="164" t="s">
        <v>2023</v>
      </c>
      <c r="G14" s="167" t="str">
        <f>IF(COUNTIF(H14:AU14,"&lt;&gt;")=0,"",SUMPRODUCT(((Recommendations[ImplStatus]="Implemented")+(Recommendations[ImplStatus]="Compensated"))*ISNUMBER(MATCH(Recommendations[Id],H14:AU14,0)))/COUNTIF(H14:AU14,"&lt;&gt;"))</f>
        <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84"/>
    </row>
    <row r="15" spans="1:47" ht="60" customHeight="1" x14ac:dyDescent="0.35">
      <c r="A15" s="180" t="s">
        <v>2014</v>
      </c>
      <c r="B15" s="154" t="s">
        <v>2050</v>
      </c>
      <c r="C15" s="155" t="s">
        <v>2056</v>
      </c>
      <c r="D15" s="158" t="s">
        <v>2057</v>
      </c>
      <c r="E15" s="161" t="s">
        <v>2058</v>
      </c>
      <c r="F15" s="164" t="s">
        <v>2023</v>
      </c>
      <c r="G15" s="167" t="str">
        <f>IF(COUNTIF(H15:AU15,"&lt;&gt;")=0,"",SUMPRODUCT(((Recommendations[ImplStatus]="Implemented")+(Recommendations[ImplStatus]="Compensated"))*ISNUMBER(MATCH(Recommendations[Id],H15:AU15,0)))/COUNTIF(H15:AU15,"&lt;&gt;"))</f>
        <v/>
      </c>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84"/>
    </row>
    <row r="16" spans="1:47" ht="60" customHeight="1" outlineLevel="1" x14ac:dyDescent="0.35">
      <c r="A16" s="179" t="s">
        <v>2014</v>
      </c>
      <c r="B16" s="153" t="s">
        <v>2059</v>
      </c>
      <c r="C16" s="151" t="s">
        <v>2060</v>
      </c>
      <c r="D16" s="157" t="s">
        <v>2061</v>
      </c>
      <c r="E16" s="160" t="s">
        <v>21</v>
      </c>
      <c r="F16" s="163" t="s">
        <v>21</v>
      </c>
      <c r="G16" s="166" t="str">
        <f>IF(COUNTIF(H16:AU16,"&lt;&gt;")=0,"",SUMPRODUCT(((Recommendations[ImplStatus]="Implemented")+(Recommendations[ImplStatus]="Compensated"))*ISNUMBER(MATCH(Recommendations[Id],H16:AU16,0)))/COUNTIF(H16:AU16,"&lt;&gt;"))</f>
        <v/>
      </c>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83"/>
    </row>
    <row r="17" spans="1:47" ht="60" customHeight="1" x14ac:dyDescent="0.35">
      <c r="A17" s="180" t="s">
        <v>2014</v>
      </c>
      <c r="B17" s="154" t="s">
        <v>2059</v>
      </c>
      <c r="C17" s="155" t="s">
        <v>2062</v>
      </c>
      <c r="D17" s="158" t="s">
        <v>2063</v>
      </c>
      <c r="E17" s="161" t="s">
        <v>2064</v>
      </c>
      <c r="F17" s="164" t="s">
        <v>2023</v>
      </c>
      <c r="G17" s="167" t="str">
        <f>IF(COUNTIF(H17:AU17,"&lt;&gt;")=0,"",SUMPRODUCT(((Recommendations[ImplStatus]="Implemented")+(Recommendations[ImplStatus]="Compensated"))*ISNUMBER(MATCH(Recommendations[Id],H17:AU17,0)))/COUNTIF(H17:AU17,"&lt;&gt;"))</f>
        <v/>
      </c>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84"/>
    </row>
    <row r="18" spans="1:47" ht="60" customHeight="1" x14ac:dyDescent="0.35">
      <c r="A18" s="180" t="s">
        <v>2014</v>
      </c>
      <c r="B18" s="154" t="s">
        <v>2059</v>
      </c>
      <c r="C18" s="155" t="s">
        <v>2065</v>
      </c>
      <c r="D18" s="158" t="s">
        <v>2066</v>
      </c>
      <c r="E18" s="161" t="s">
        <v>2067</v>
      </c>
      <c r="F18" s="164" t="s">
        <v>2027</v>
      </c>
      <c r="G18" s="167" t="str">
        <f>IF(COUNTIF(H18:AU18,"&lt;&gt;")=0,"",SUMPRODUCT(((Recommendations[ImplStatus]="Implemented")+(Recommendations[ImplStatus]="Compensated"))*ISNUMBER(MATCH(Recommendations[Id],H18:AU18,0)))/COUNTIF(H18:AU18,"&lt;&gt;"))</f>
        <v/>
      </c>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84"/>
    </row>
    <row r="19" spans="1:47" ht="60" customHeight="1" x14ac:dyDescent="0.35">
      <c r="A19" s="180" t="s">
        <v>2014</v>
      </c>
      <c r="B19" s="154" t="s">
        <v>2059</v>
      </c>
      <c r="C19" s="155" t="s">
        <v>2068</v>
      </c>
      <c r="D19" s="158" t="s">
        <v>2069</v>
      </c>
      <c r="E19" s="161" t="s">
        <v>2070</v>
      </c>
      <c r="F19" s="164" t="s">
        <v>2023</v>
      </c>
      <c r="G19" s="167" t="str">
        <f>IF(COUNTIF(H19:AU19,"&lt;&gt;")=0,"",SUMPRODUCT(((Recommendations[ImplStatus]="Implemented")+(Recommendations[ImplStatus]="Compensated"))*ISNUMBER(MATCH(Recommendations[Id],H19:AU19,0)))/COUNTIF(H19:AU19,"&lt;&gt;"))</f>
        <v/>
      </c>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84"/>
    </row>
    <row r="20" spans="1:47" ht="60" customHeight="1" x14ac:dyDescent="0.35">
      <c r="A20" s="180" t="s">
        <v>2014</v>
      </c>
      <c r="B20" s="154" t="s">
        <v>2059</v>
      </c>
      <c r="C20" s="155" t="s">
        <v>2071</v>
      </c>
      <c r="D20" s="158" t="s">
        <v>2072</v>
      </c>
      <c r="E20" s="161" t="s">
        <v>2073</v>
      </c>
      <c r="F20" s="164" t="s">
        <v>2023</v>
      </c>
      <c r="G20" s="167" t="str">
        <f>IF(COUNTIF(H20:AU20,"&lt;&gt;")=0,"",SUMPRODUCT(((Recommendations[ImplStatus]="Implemented")+(Recommendations[ImplStatus]="Compensated"))*ISNUMBER(MATCH(Recommendations[Id],H20:AU20,0)))/COUNTIF(H20:AU20,"&lt;&gt;"))</f>
        <v/>
      </c>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84"/>
    </row>
    <row r="21" spans="1:47" ht="60" customHeight="1" x14ac:dyDescent="0.35">
      <c r="A21" s="180" t="s">
        <v>2014</v>
      </c>
      <c r="B21" s="154" t="s">
        <v>2059</v>
      </c>
      <c r="C21" s="155" t="s">
        <v>2074</v>
      </c>
      <c r="D21" s="158" t="s">
        <v>2075</v>
      </c>
      <c r="E21" s="161" t="s">
        <v>2076</v>
      </c>
      <c r="F21" s="164" t="s">
        <v>2027</v>
      </c>
      <c r="G21" s="167" t="str">
        <f>IF(COUNTIF(H21:AU21,"&lt;&gt;")=0,"",SUMPRODUCT(((Recommendations[ImplStatus]="Implemented")+(Recommendations[ImplStatus]="Compensated"))*ISNUMBER(MATCH(Recommendations[Id],H21:AU21,0)))/COUNTIF(H21:AU21,"&lt;&gt;"))</f>
        <v/>
      </c>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84"/>
    </row>
    <row r="22" spans="1:47" ht="60" customHeight="1" x14ac:dyDescent="0.35">
      <c r="A22" s="180" t="s">
        <v>2014</v>
      </c>
      <c r="B22" s="154" t="s">
        <v>2059</v>
      </c>
      <c r="C22" s="155" t="s">
        <v>2077</v>
      </c>
      <c r="D22" s="158" t="s">
        <v>2078</v>
      </c>
      <c r="E22" s="161" t="s">
        <v>2079</v>
      </c>
      <c r="F22" s="164" t="s">
        <v>2023</v>
      </c>
      <c r="G22" s="167" t="str">
        <f>IF(COUNTIF(H22:AU22,"&lt;&gt;")=0,"",SUMPRODUCT(((Recommendations[ImplStatus]="Implemented")+(Recommendations[ImplStatus]="Compensated"))*ISNUMBER(MATCH(Recommendations[Id],H22:AU22,0)))/COUNTIF(H22:AU22,"&lt;&gt;"))</f>
        <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84"/>
    </row>
    <row r="23" spans="1:47" ht="60" customHeight="1" x14ac:dyDescent="0.35">
      <c r="A23" s="180" t="s">
        <v>2014</v>
      </c>
      <c r="B23" s="154" t="s">
        <v>2059</v>
      </c>
      <c r="C23" s="155" t="s">
        <v>2080</v>
      </c>
      <c r="D23" s="158" t="s">
        <v>2081</v>
      </c>
      <c r="E23" s="161" t="s">
        <v>2082</v>
      </c>
      <c r="F23" s="164" t="s">
        <v>2023</v>
      </c>
      <c r="G23" s="167" t="str">
        <f>IF(COUNTIF(H23:AU23,"&lt;&gt;")=0,"",SUMPRODUCT(((Recommendations[ImplStatus]="Implemented")+(Recommendations[ImplStatus]="Compensated"))*ISNUMBER(MATCH(Recommendations[Id],H23:AU23,0)))/COUNTIF(H23:AU23,"&lt;&gt;"))</f>
        <v/>
      </c>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84"/>
    </row>
    <row r="24" spans="1:47" ht="60" customHeight="1" outlineLevel="1" x14ac:dyDescent="0.35">
      <c r="A24" s="179" t="s">
        <v>2014</v>
      </c>
      <c r="B24" s="153" t="s">
        <v>2083</v>
      </c>
      <c r="C24" s="151" t="s">
        <v>2084</v>
      </c>
      <c r="D24" s="157" t="s">
        <v>2085</v>
      </c>
      <c r="E24" s="160" t="s">
        <v>21</v>
      </c>
      <c r="F24" s="163" t="s">
        <v>21</v>
      </c>
      <c r="G24" s="166" t="str">
        <f>IF(COUNTIF(H24:AU24,"&lt;&gt;")=0,"",SUMPRODUCT(((Recommendations[ImplStatus]="Implemented")+(Recommendations[ImplStatus]="Compensated"))*ISNUMBER(MATCH(Recommendations[Id],H24:AU24,0)))/COUNTIF(H24:AU24,"&lt;&gt;"))</f>
        <v/>
      </c>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83"/>
    </row>
    <row r="25" spans="1:47" ht="60" customHeight="1" x14ac:dyDescent="0.35">
      <c r="A25" s="180" t="s">
        <v>2014</v>
      </c>
      <c r="B25" s="154" t="s">
        <v>2083</v>
      </c>
      <c r="C25" s="155" t="s">
        <v>2086</v>
      </c>
      <c r="D25" s="158" t="s">
        <v>2087</v>
      </c>
      <c r="E25" s="161" t="s">
        <v>2088</v>
      </c>
      <c r="F25" s="164" t="s">
        <v>2023</v>
      </c>
      <c r="G25" s="167" t="str">
        <f>IF(COUNTIF(H25:AU25,"&lt;&gt;")=0,"",SUMPRODUCT(((Recommendations[ImplStatus]="Implemented")+(Recommendations[ImplStatus]="Compensated"))*ISNUMBER(MATCH(Recommendations[Id],H25:AU25,0)))/COUNTIF(H25:AU25,"&lt;&gt;"))</f>
        <v/>
      </c>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84"/>
    </row>
    <row r="26" spans="1:47" ht="60" customHeight="1" x14ac:dyDescent="0.35">
      <c r="A26" s="180" t="s">
        <v>2014</v>
      </c>
      <c r="B26" s="154" t="s">
        <v>2083</v>
      </c>
      <c r="C26" s="155" t="s">
        <v>2089</v>
      </c>
      <c r="D26" s="158" t="s">
        <v>2090</v>
      </c>
      <c r="E26" s="161" t="s">
        <v>2091</v>
      </c>
      <c r="F26" s="164" t="s">
        <v>2023</v>
      </c>
      <c r="G26" s="167" t="str">
        <f>IF(COUNTIF(H26:AU26,"&lt;&gt;")=0,"",SUMPRODUCT(((Recommendations[ImplStatus]="Implemented")+(Recommendations[ImplStatus]="Compensated"))*ISNUMBER(MATCH(Recommendations[Id],H26:AU26,0)))/COUNTIF(H26:AU26,"&lt;&gt;"))</f>
        <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84"/>
    </row>
    <row r="27" spans="1:47" ht="60" customHeight="1" x14ac:dyDescent="0.35">
      <c r="A27" s="180" t="s">
        <v>2014</v>
      </c>
      <c r="B27" s="154" t="s">
        <v>2083</v>
      </c>
      <c r="C27" s="155" t="s">
        <v>2092</v>
      </c>
      <c r="D27" s="158" t="s">
        <v>2093</v>
      </c>
      <c r="E27" s="161" t="s">
        <v>2094</v>
      </c>
      <c r="F27" s="164" t="s">
        <v>2027</v>
      </c>
      <c r="G27" s="167" t="str">
        <f>IF(COUNTIF(H27:AU27,"&lt;&gt;")=0,"",SUMPRODUCT(((Recommendations[ImplStatus]="Implemented")+(Recommendations[ImplStatus]="Compensated"))*ISNUMBER(MATCH(Recommendations[Id],H27:AU27,0)))/COUNTIF(H27:AU27,"&lt;&gt;"))</f>
        <v/>
      </c>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84"/>
    </row>
    <row r="28" spans="1:47" ht="60" customHeight="1" x14ac:dyDescent="0.35">
      <c r="A28" s="180" t="s">
        <v>2014</v>
      </c>
      <c r="B28" s="154" t="s">
        <v>2083</v>
      </c>
      <c r="C28" s="155" t="s">
        <v>2095</v>
      </c>
      <c r="D28" s="158" t="s">
        <v>2096</v>
      </c>
      <c r="E28" s="161" t="s">
        <v>2097</v>
      </c>
      <c r="F28" s="164" t="s">
        <v>2023</v>
      </c>
      <c r="G28" s="167" t="str">
        <f>IF(COUNTIF(H28:AU28,"&lt;&gt;")=0,"",SUMPRODUCT(((Recommendations[ImplStatus]="Implemented")+(Recommendations[ImplStatus]="Compensated"))*ISNUMBER(MATCH(Recommendations[Id],H28:AU28,0)))/COUNTIF(H28:AU28,"&lt;&gt;"))</f>
        <v/>
      </c>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84"/>
    </row>
    <row r="29" spans="1:47" ht="60" customHeight="1" outlineLevel="1" x14ac:dyDescent="0.35">
      <c r="A29" s="179" t="s">
        <v>2014</v>
      </c>
      <c r="B29" s="153" t="s">
        <v>2098</v>
      </c>
      <c r="C29" s="151" t="s">
        <v>2099</v>
      </c>
      <c r="D29" s="157" t="s">
        <v>2100</v>
      </c>
      <c r="E29" s="160" t="s">
        <v>21</v>
      </c>
      <c r="F29" s="163" t="s">
        <v>21</v>
      </c>
      <c r="G29" s="166" t="str">
        <f>IF(COUNTIF(H29:AU29,"&lt;&gt;")=0,"",SUMPRODUCT(((Recommendations[ImplStatus]="Implemented")+(Recommendations[ImplStatus]="Compensated"))*ISNUMBER(MATCH(Recommendations[Id],H29:AU29,0)))/COUNTIF(H29:AU29,"&lt;&gt;"))</f>
        <v/>
      </c>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83"/>
    </row>
    <row r="30" spans="1:47" ht="60" customHeight="1" x14ac:dyDescent="0.35">
      <c r="A30" s="180" t="s">
        <v>2014</v>
      </c>
      <c r="B30" s="154" t="s">
        <v>2098</v>
      </c>
      <c r="C30" s="155" t="s">
        <v>2101</v>
      </c>
      <c r="D30" s="158" t="s">
        <v>2102</v>
      </c>
      <c r="E30" s="161" t="s">
        <v>2103</v>
      </c>
      <c r="F30" s="164" t="s">
        <v>2037</v>
      </c>
      <c r="G30" s="167" t="str">
        <f>IF(COUNTIF(H30:AU30,"&lt;&gt;")=0,"",SUMPRODUCT(((Recommendations[ImplStatus]="Implemented")+(Recommendations[ImplStatus]="Compensated"))*ISNUMBER(MATCH(Recommendations[Id],H30:AU30,0)))/COUNTIF(H30:AU30,"&lt;&gt;"))</f>
        <v/>
      </c>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84"/>
    </row>
    <row r="31" spans="1:47" ht="60" customHeight="1" x14ac:dyDescent="0.35">
      <c r="A31" s="180" t="s">
        <v>2014</v>
      </c>
      <c r="B31" s="154" t="s">
        <v>2098</v>
      </c>
      <c r="C31" s="155" t="s">
        <v>2104</v>
      </c>
      <c r="D31" s="158" t="s">
        <v>2105</v>
      </c>
      <c r="E31" s="161" t="s">
        <v>2106</v>
      </c>
      <c r="F31" s="164" t="s">
        <v>2037</v>
      </c>
      <c r="G31" s="167" t="str">
        <f>IF(COUNTIF(H31:AU31,"&lt;&gt;")=0,"",SUMPRODUCT(((Recommendations[ImplStatus]="Implemented")+(Recommendations[ImplStatus]="Compensated"))*ISNUMBER(MATCH(Recommendations[Id],H31:AU31,0)))/COUNTIF(H31:AU31,"&lt;&gt;"))</f>
        <v/>
      </c>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84"/>
    </row>
    <row r="32" spans="1:47" ht="60" customHeight="1" x14ac:dyDescent="0.35">
      <c r="A32" s="180" t="s">
        <v>2014</v>
      </c>
      <c r="B32" s="154" t="s">
        <v>2098</v>
      </c>
      <c r="C32" s="155" t="s">
        <v>2107</v>
      </c>
      <c r="D32" s="158" t="s">
        <v>2108</v>
      </c>
      <c r="E32" s="161" t="s">
        <v>2109</v>
      </c>
      <c r="F32" s="164" t="s">
        <v>2037</v>
      </c>
      <c r="G32" s="167" t="str">
        <f>IF(COUNTIF(H32:AU32,"&lt;&gt;")=0,"",SUMPRODUCT(((Recommendations[ImplStatus]="Implemented")+(Recommendations[ImplStatus]="Compensated"))*ISNUMBER(MATCH(Recommendations[Id],H32:AU32,0)))/COUNTIF(H32:AU32,"&lt;&gt;"))</f>
        <v/>
      </c>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84"/>
    </row>
    <row r="33" spans="1:47" ht="60" customHeight="1" x14ac:dyDescent="0.35">
      <c r="A33" s="180" t="s">
        <v>2014</v>
      </c>
      <c r="B33" s="154" t="s">
        <v>2098</v>
      </c>
      <c r="C33" s="155" t="s">
        <v>2110</v>
      </c>
      <c r="D33" s="158" t="s">
        <v>2111</v>
      </c>
      <c r="E33" s="161" t="s">
        <v>2112</v>
      </c>
      <c r="F33" s="164" t="s">
        <v>2037</v>
      </c>
      <c r="G33" s="167" t="str">
        <f>IF(COUNTIF(H33:AU33,"&lt;&gt;")=0,"",SUMPRODUCT(((Recommendations[ImplStatus]="Implemented")+(Recommendations[ImplStatus]="Compensated"))*ISNUMBER(MATCH(Recommendations[Id],H33:AU33,0)))/COUNTIF(H33:AU33,"&lt;&gt;"))</f>
        <v/>
      </c>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84"/>
    </row>
    <row r="34" spans="1:47" ht="60" customHeight="1" x14ac:dyDescent="0.35">
      <c r="A34" s="180" t="s">
        <v>2014</v>
      </c>
      <c r="B34" s="154" t="s">
        <v>2098</v>
      </c>
      <c r="C34" s="155" t="s">
        <v>2113</v>
      </c>
      <c r="D34" s="158" t="s">
        <v>2114</v>
      </c>
      <c r="E34" s="161" t="s">
        <v>2115</v>
      </c>
      <c r="F34" s="164" t="s">
        <v>2037</v>
      </c>
      <c r="G34" s="167" t="str">
        <f>IF(COUNTIF(H34:AU34,"&lt;&gt;")=0,"",SUMPRODUCT(((Recommendations[ImplStatus]="Implemented")+(Recommendations[ImplStatus]="Compensated"))*ISNUMBER(MATCH(Recommendations[Id],H34:AU34,0)))/COUNTIF(H34:AU34,"&lt;&gt;"))</f>
        <v/>
      </c>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84"/>
    </row>
    <row r="35" spans="1:47" ht="60" customHeight="1" x14ac:dyDescent="0.35">
      <c r="A35" s="180" t="s">
        <v>2014</v>
      </c>
      <c r="B35" s="154" t="s">
        <v>2098</v>
      </c>
      <c r="C35" s="155" t="s">
        <v>2116</v>
      </c>
      <c r="D35" s="158" t="s">
        <v>2117</v>
      </c>
      <c r="E35" s="161" t="s">
        <v>2118</v>
      </c>
      <c r="F35" s="164" t="s">
        <v>2037</v>
      </c>
      <c r="G35" s="167" t="str">
        <f>IF(COUNTIF(H35:AU35,"&lt;&gt;")=0,"",SUMPRODUCT(((Recommendations[ImplStatus]="Implemented")+(Recommendations[ImplStatus]="Compensated"))*ISNUMBER(MATCH(Recommendations[Id],H35:AU35,0)))/COUNTIF(H35:AU35,"&lt;&gt;"))</f>
        <v/>
      </c>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84"/>
    </row>
    <row r="36" spans="1:47" ht="60" customHeight="1" x14ac:dyDescent="0.35">
      <c r="A36" s="180" t="s">
        <v>2014</v>
      </c>
      <c r="B36" s="154" t="s">
        <v>2098</v>
      </c>
      <c r="C36" s="155" t="s">
        <v>2119</v>
      </c>
      <c r="D36" s="158" t="s">
        <v>2120</v>
      </c>
      <c r="E36" s="161" t="s">
        <v>2121</v>
      </c>
      <c r="F36" s="164" t="s">
        <v>2037</v>
      </c>
      <c r="G36" s="167" t="str">
        <f>IF(COUNTIF(H36:AU36,"&lt;&gt;")=0,"",SUMPRODUCT(((Recommendations[ImplStatus]="Implemented")+(Recommendations[ImplStatus]="Compensated"))*ISNUMBER(MATCH(Recommendations[Id],H36:AU36,0)))/COUNTIF(H36:AU36,"&lt;&gt;"))</f>
        <v/>
      </c>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84"/>
    </row>
    <row r="37" spans="1:47" ht="60" customHeight="1" x14ac:dyDescent="0.35">
      <c r="A37" s="180" t="s">
        <v>2014</v>
      </c>
      <c r="B37" s="154" t="s">
        <v>2098</v>
      </c>
      <c r="C37" s="155" t="s">
        <v>2122</v>
      </c>
      <c r="D37" s="158" t="s">
        <v>2123</v>
      </c>
      <c r="E37" s="161" t="s">
        <v>2124</v>
      </c>
      <c r="F37" s="164" t="s">
        <v>2037</v>
      </c>
      <c r="G37" s="167" t="str">
        <f>IF(COUNTIF(H37:AU37,"&lt;&gt;")=0,"",SUMPRODUCT(((Recommendations[ImplStatus]="Implemented")+(Recommendations[ImplStatus]="Compensated"))*ISNUMBER(MATCH(Recommendations[Id],H37:AU37,0)))/COUNTIF(H37:AU37,"&lt;&gt;"))</f>
        <v/>
      </c>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84"/>
    </row>
    <row r="38" spans="1:47" ht="60" customHeight="1" x14ac:dyDescent="0.35">
      <c r="A38" s="180" t="s">
        <v>2014</v>
      </c>
      <c r="B38" s="154" t="s">
        <v>2098</v>
      </c>
      <c r="C38" s="155" t="s">
        <v>2125</v>
      </c>
      <c r="D38" s="158" t="s">
        <v>2126</v>
      </c>
      <c r="E38" s="161" t="s">
        <v>2127</v>
      </c>
      <c r="F38" s="164" t="s">
        <v>2037</v>
      </c>
      <c r="G38" s="167" t="str">
        <f>IF(COUNTIF(H38:AU38,"&lt;&gt;")=0,"",SUMPRODUCT(((Recommendations[ImplStatus]="Implemented")+(Recommendations[ImplStatus]="Compensated"))*ISNUMBER(MATCH(Recommendations[Id],H38:AU38,0)))/COUNTIF(H38:AU38,"&lt;&gt;"))</f>
        <v/>
      </c>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84"/>
    </row>
    <row r="39" spans="1:47" ht="60" customHeight="1" x14ac:dyDescent="0.35">
      <c r="A39" s="180" t="s">
        <v>2014</v>
      </c>
      <c r="B39" s="154" t="s">
        <v>2098</v>
      </c>
      <c r="C39" s="155" t="s">
        <v>2128</v>
      </c>
      <c r="D39" s="158" t="s">
        <v>2129</v>
      </c>
      <c r="E39" s="161" t="s">
        <v>2130</v>
      </c>
      <c r="F39" s="164" t="s">
        <v>2037</v>
      </c>
      <c r="G39" s="167" t="str">
        <f>IF(COUNTIF(H39:AU39,"&lt;&gt;")=0,"",SUMPRODUCT(((Recommendations[ImplStatus]="Implemented")+(Recommendations[ImplStatus]="Compensated"))*ISNUMBER(MATCH(Recommendations[Id],H39:AU39,0)))/COUNTIF(H39:AU39,"&lt;&gt;"))</f>
        <v/>
      </c>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84"/>
    </row>
    <row r="40" spans="1:47" ht="60" customHeight="1" outlineLevel="1" x14ac:dyDescent="0.35">
      <c r="A40" s="178" t="s">
        <v>2131</v>
      </c>
      <c r="B40" s="152" t="s">
        <v>21</v>
      </c>
      <c r="C40" s="150" t="s">
        <v>2132</v>
      </c>
      <c r="D40" s="156" t="s">
        <v>2133</v>
      </c>
      <c r="E40" s="159" t="s">
        <v>21</v>
      </c>
      <c r="F40" s="162" t="s">
        <v>21</v>
      </c>
      <c r="G40" s="165" t="str">
        <f>IF(COUNTIF(H40:AU40,"&lt;&gt;")=0,"",SUMPRODUCT(((Recommendations[ImplStatus]="Implemented")+(Recommendations[ImplStatus]="Compensated"))*ISNUMBER(MATCH(Recommendations[Id],H40:AU40,0)))/COUNTIF(H40:AU40,"&lt;&gt;"))</f>
        <v/>
      </c>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82"/>
    </row>
    <row r="41" spans="1:47" ht="60" customHeight="1" outlineLevel="1" x14ac:dyDescent="0.35">
      <c r="A41" s="179" t="s">
        <v>2131</v>
      </c>
      <c r="B41" s="153" t="s">
        <v>2134</v>
      </c>
      <c r="C41" s="151" t="s">
        <v>2135</v>
      </c>
      <c r="D41" s="157" t="s">
        <v>2136</v>
      </c>
      <c r="E41" s="160" t="s">
        <v>21</v>
      </c>
      <c r="F41" s="163" t="s">
        <v>21</v>
      </c>
      <c r="G41" s="166" t="str">
        <f>IF(COUNTIF(H41:AU41,"&lt;&gt;")=0,"",SUMPRODUCT(((Recommendations[ImplStatus]="Implemented")+(Recommendations[ImplStatus]="Compensated"))*ISNUMBER(MATCH(Recommendations[Id],H41:AU41,0)))/COUNTIF(H41:AU41,"&lt;&gt;"))</f>
        <v/>
      </c>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83"/>
    </row>
    <row r="42" spans="1:47" ht="60" customHeight="1" x14ac:dyDescent="0.35">
      <c r="A42" s="180" t="s">
        <v>2131</v>
      </c>
      <c r="B42" s="154" t="s">
        <v>2134</v>
      </c>
      <c r="C42" s="155" t="s">
        <v>2137</v>
      </c>
      <c r="D42" s="158" t="s">
        <v>2138</v>
      </c>
      <c r="E42" s="161" t="s">
        <v>2139</v>
      </c>
      <c r="F42" s="164" t="s">
        <v>2023</v>
      </c>
      <c r="G42" s="167" t="str">
        <f>IF(COUNTIF(H42:AU42,"&lt;&gt;")=0,"",SUMPRODUCT(((Recommendations[ImplStatus]="Implemented")+(Recommendations[ImplStatus]="Compensated"))*ISNUMBER(MATCH(Recommendations[Id],H42:AU42,0)))/COUNTIF(H42:AU42,"&lt;&gt;"))</f>
        <v/>
      </c>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84"/>
    </row>
    <row r="43" spans="1:47" ht="60" customHeight="1" x14ac:dyDescent="0.35">
      <c r="A43" s="180" t="s">
        <v>2131</v>
      </c>
      <c r="B43" s="154" t="s">
        <v>2134</v>
      </c>
      <c r="C43" s="155" t="s">
        <v>2140</v>
      </c>
      <c r="D43" s="158" t="s">
        <v>2141</v>
      </c>
      <c r="E43" s="161" t="s">
        <v>2142</v>
      </c>
      <c r="F43" s="164" t="s">
        <v>2023</v>
      </c>
      <c r="G43" s="167" t="str">
        <f>IF(COUNTIF(H43:AU43,"&lt;&gt;")=0,"",SUMPRODUCT(((Recommendations[ImplStatus]="Implemented")+(Recommendations[ImplStatus]="Compensated"))*ISNUMBER(MATCH(Recommendations[Id],H43:AU43,0)))/COUNTIF(H43:AU43,"&lt;&gt;"))</f>
        <v/>
      </c>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84"/>
    </row>
    <row r="44" spans="1:47" ht="60" customHeight="1" x14ac:dyDescent="0.35">
      <c r="A44" s="180" t="s">
        <v>2131</v>
      </c>
      <c r="B44" s="154" t="s">
        <v>2134</v>
      </c>
      <c r="C44" s="155" t="s">
        <v>2143</v>
      </c>
      <c r="D44" s="158" t="s">
        <v>2144</v>
      </c>
      <c r="E44" s="161" t="s">
        <v>2145</v>
      </c>
      <c r="F44" s="164" t="s">
        <v>2027</v>
      </c>
      <c r="G44" s="167" t="str">
        <f>IF(COUNTIF(H44:AU44,"&lt;&gt;")=0,"",SUMPRODUCT(((Recommendations[ImplStatus]="Implemented")+(Recommendations[ImplStatus]="Compensated"))*ISNUMBER(MATCH(Recommendations[Id],H44:AU44,0)))/COUNTIF(H44:AU44,"&lt;&gt;"))</f>
        <v/>
      </c>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84"/>
    </row>
    <row r="45" spans="1:47" ht="60" customHeight="1" x14ac:dyDescent="0.35">
      <c r="A45" s="180" t="s">
        <v>2131</v>
      </c>
      <c r="B45" s="154" t="s">
        <v>2134</v>
      </c>
      <c r="C45" s="155" t="s">
        <v>2146</v>
      </c>
      <c r="D45" s="158" t="s">
        <v>2147</v>
      </c>
      <c r="E45" s="161" t="s">
        <v>2148</v>
      </c>
      <c r="F45" s="164" t="s">
        <v>2037</v>
      </c>
      <c r="G45" s="167" t="str">
        <f>IF(COUNTIF(H45:AU45,"&lt;&gt;")=0,"",SUMPRODUCT(((Recommendations[ImplStatus]="Implemented")+(Recommendations[ImplStatus]="Compensated"))*ISNUMBER(MATCH(Recommendations[Id],H45:AU45,0)))/COUNTIF(H45:AU45,"&lt;&gt;"))</f>
        <v/>
      </c>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84"/>
    </row>
    <row r="46" spans="1:47" ht="60" customHeight="1" x14ac:dyDescent="0.35">
      <c r="A46" s="180" t="s">
        <v>2131</v>
      </c>
      <c r="B46" s="154" t="s">
        <v>2134</v>
      </c>
      <c r="C46" s="155" t="s">
        <v>2149</v>
      </c>
      <c r="D46" s="158" t="s">
        <v>2150</v>
      </c>
      <c r="E46" s="161" t="s">
        <v>2151</v>
      </c>
      <c r="F46" s="164" t="s">
        <v>2023</v>
      </c>
      <c r="G46" s="167" t="str">
        <f>IF(COUNTIF(H46:AU46,"&lt;&gt;")=0,"",SUMPRODUCT(((Recommendations[ImplStatus]="Implemented")+(Recommendations[ImplStatus]="Compensated"))*ISNUMBER(MATCH(Recommendations[Id],H46:AU46,0)))/COUNTIF(H46:AU46,"&lt;&gt;"))</f>
        <v/>
      </c>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84"/>
    </row>
    <row r="47" spans="1:47" ht="60" customHeight="1" x14ac:dyDescent="0.35">
      <c r="A47" s="180" t="s">
        <v>2131</v>
      </c>
      <c r="B47" s="154" t="s">
        <v>2134</v>
      </c>
      <c r="C47" s="155" t="s">
        <v>2152</v>
      </c>
      <c r="D47" s="158" t="s">
        <v>2153</v>
      </c>
      <c r="E47" s="161"/>
      <c r="F47" s="164" t="s">
        <v>21</v>
      </c>
      <c r="G47" s="167" t="str">
        <f>IF(COUNTIF(H47:AU47,"&lt;&gt;")=0,"",SUMPRODUCT(((Recommendations[ImplStatus]="Implemented")+(Recommendations[ImplStatus]="Compensated"))*ISNUMBER(MATCH(Recommendations[Id],H47:AU47,0)))/COUNTIF(H47:AU47,"&lt;&gt;"))</f>
        <v/>
      </c>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84"/>
    </row>
    <row r="48" spans="1:47" ht="60" customHeight="1" x14ac:dyDescent="0.35">
      <c r="A48" s="180" t="s">
        <v>2131</v>
      </c>
      <c r="B48" s="154" t="s">
        <v>2134</v>
      </c>
      <c r="C48" s="155" t="s">
        <v>2154</v>
      </c>
      <c r="D48" s="158" t="s">
        <v>2155</v>
      </c>
      <c r="E48" s="161" t="s">
        <v>2156</v>
      </c>
      <c r="F48" s="164" t="s">
        <v>2023</v>
      </c>
      <c r="G48" s="167" t="str">
        <f>IF(COUNTIF(H48:AU48,"&lt;&gt;")=0,"",SUMPRODUCT(((Recommendations[ImplStatus]="Implemented")+(Recommendations[ImplStatus]="Compensated"))*ISNUMBER(MATCH(Recommendations[Id],H48:AU48,0)))/COUNTIF(H48:AU48,"&lt;&gt;"))</f>
        <v/>
      </c>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84"/>
    </row>
    <row r="49" spans="1:47" ht="60" customHeight="1" x14ac:dyDescent="0.35">
      <c r="A49" s="180" t="s">
        <v>2131</v>
      </c>
      <c r="B49" s="154" t="s">
        <v>2134</v>
      </c>
      <c r="C49" s="155" t="s">
        <v>2157</v>
      </c>
      <c r="D49" s="158" t="s">
        <v>2158</v>
      </c>
      <c r="E49" s="161" t="s">
        <v>2159</v>
      </c>
      <c r="F49" s="164" t="s">
        <v>2027</v>
      </c>
      <c r="G49" s="167" t="str">
        <f>IF(COUNTIF(H49:AU49,"&lt;&gt;")=0,"",SUMPRODUCT(((Recommendations[ImplStatus]="Implemented")+(Recommendations[ImplStatus]="Compensated"))*ISNUMBER(MATCH(Recommendations[Id],H49:AU49,0)))/COUNTIF(H49:AU49,"&lt;&gt;"))</f>
        <v/>
      </c>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84"/>
    </row>
    <row r="50" spans="1:47" ht="60" customHeight="1" outlineLevel="1" x14ac:dyDescent="0.35">
      <c r="A50" s="179" t="s">
        <v>2131</v>
      </c>
      <c r="B50" s="153" t="s">
        <v>2160</v>
      </c>
      <c r="C50" s="151" t="s">
        <v>2161</v>
      </c>
      <c r="D50" s="157"/>
      <c r="E50" s="160" t="s">
        <v>21</v>
      </c>
      <c r="F50" s="163" t="s">
        <v>21</v>
      </c>
      <c r="G50" s="166" t="str">
        <f>IF(COUNTIF(H50:AU50,"&lt;&gt;")=0,"",SUMPRODUCT(((Recommendations[ImplStatus]="Implemented")+(Recommendations[ImplStatus]="Compensated"))*ISNUMBER(MATCH(Recommendations[Id],H50:AU50,0)))/COUNTIF(H50:AU50,"&lt;&gt;"))</f>
        <v/>
      </c>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83"/>
    </row>
    <row r="51" spans="1:47" ht="60" customHeight="1" x14ac:dyDescent="0.35">
      <c r="A51" s="180" t="s">
        <v>2131</v>
      </c>
      <c r="B51" s="154" t="s">
        <v>2160</v>
      </c>
      <c r="C51" s="155" t="s">
        <v>2162</v>
      </c>
      <c r="D51" s="158" t="s">
        <v>2163</v>
      </c>
      <c r="E51" s="161"/>
      <c r="F51" s="164" t="s">
        <v>21</v>
      </c>
      <c r="G51" s="167" t="str">
        <f>IF(COUNTIF(H51:AU51,"&lt;&gt;")=0,"",SUMPRODUCT(((Recommendations[ImplStatus]="Implemented")+(Recommendations[ImplStatus]="Compensated"))*ISNUMBER(MATCH(Recommendations[Id],H51:AU51,0)))/COUNTIF(H51:AU51,"&lt;&gt;"))</f>
        <v/>
      </c>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84"/>
    </row>
    <row r="52" spans="1:47" ht="60" customHeight="1" x14ac:dyDescent="0.35">
      <c r="A52" s="180" t="s">
        <v>2131</v>
      </c>
      <c r="B52" s="154" t="s">
        <v>2160</v>
      </c>
      <c r="C52" s="155" t="s">
        <v>2164</v>
      </c>
      <c r="D52" s="158" t="s">
        <v>2165</v>
      </c>
      <c r="E52" s="161"/>
      <c r="F52" s="164" t="s">
        <v>21</v>
      </c>
      <c r="G52" s="167" t="str">
        <f>IF(COUNTIF(H52:AU52,"&lt;&gt;")=0,"",SUMPRODUCT(((Recommendations[ImplStatus]="Implemented")+(Recommendations[ImplStatus]="Compensated"))*ISNUMBER(MATCH(Recommendations[Id],H52:AU52,0)))/COUNTIF(H52:AU52,"&lt;&gt;"))</f>
        <v/>
      </c>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84"/>
    </row>
    <row r="53" spans="1:47" ht="60" customHeight="1" x14ac:dyDescent="0.35">
      <c r="A53" s="180" t="s">
        <v>2131</v>
      </c>
      <c r="B53" s="154" t="s">
        <v>2160</v>
      </c>
      <c r="C53" s="155" t="s">
        <v>2166</v>
      </c>
      <c r="D53" s="158" t="s">
        <v>2167</v>
      </c>
      <c r="E53" s="161"/>
      <c r="F53" s="164" t="s">
        <v>21</v>
      </c>
      <c r="G53" s="167" t="str">
        <f>IF(COUNTIF(H53:AU53,"&lt;&gt;")=0,"",SUMPRODUCT(((Recommendations[ImplStatus]="Implemented")+(Recommendations[ImplStatus]="Compensated"))*ISNUMBER(MATCH(Recommendations[Id],H53:AU53,0)))/COUNTIF(H53:AU53,"&lt;&gt;"))</f>
        <v/>
      </c>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84"/>
    </row>
    <row r="54" spans="1:47" ht="60" customHeight="1" x14ac:dyDescent="0.35">
      <c r="A54" s="180" t="s">
        <v>2131</v>
      </c>
      <c r="B54" s="154" t="s">
        <v>2160</v>
      </c>
      <c r="C54" s="155" t="s">
        <v>2168</v>
      </c>
      <c r="D54" s="158" t="s">
        <v>2169</v>
      </c>
      <c r="E54" s="161"/>
      <c r="F54" s="164" t="s">
        <v>21</v>
      </c>
      <c r="G54" s="167" t="str">
        <f>IF(COUNTIF(H54:AU54,"&lt;&gt;")=0,"",SUMPRODUCT(((Recommendations[ImplStatus]="Implemented")+(Recommendations[ImplStatus]="Compensated"))*ISNUMBER(MATCH(Recommendations[Id],H54:AU54,0)))/COUNTIF(H54:AU54,"&lt;&gt;"))</f>
        <v/>
      </c>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84"/>
    </row>
    <row r="55" spans="1:47" ht="60" customHeight="1" x14ac:dyDescent="0.35">
      <c r="A55" s="180" t="s">
        <v>2131</v>
      </c>
      <c r="B55" s="154" t="s">
        <v>2160</v>
      </c>
      <c r="C55" s="155" t="s">
        <v>2170</v>
      </c>
      <c r="D55" s="158" t="s">
        <v>2171</v>
      </c>
      <c r="E55" s="161"/>
      <c r="F55" s="164" t="s">
        <v>21</v>
      </c>
      <c r="G55" s="167" t="str">
        <f>IF(COUNTIF(H55:AU55,"&lt;&gt;")=0,"",SUMPRODUCT(((Recommendations[ImplStatus]="Implemented")+(Recommendations[ImplStatus]="Compensated"))*ISNUMBER(MATCH(Recommendations[Id],H55:AU55,0)))/COUNTIF(H55:AU55,"&lt;&gt;"))</f>
        <v/>
      </c>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84"/>
    </row>
    <row r="56" spans="1:47" ht="60" customHeight="1" outlineLevel="1" x14ac:dyDescent="0.35">
      <c r="A56" s="179" t="s">
        <v>2131</v>
      </c>
      <c r="B56" s="153" t="s">
        <v>285</v>
      </c>
      <c r="C56" s="151" t="s">
        <v>2172</v>
      </c>
      <c r="D56" s="157"/>
      <c r="E56" s="160" t="s">
        <v>21</v>
      </c>
      <c r="F56" s="163" t="s">
        <v>21</v>
      </c>
      <c r="G56" s="166" t="str">
        <f>IF(COUNTIF(H56:AU56,"&lt;&gt;")=0,"",SUMPRODUCT(((Recommendations[ImplStatus]="Implemented")+(Recommendations[ImplStatus]="Compensated"))*ISNUMBER(MATCH(Recommendations[Id],H56:AU56,0)))/COUNTIF(H56:AU56,"&lt;&gt;"))</f>
        <v/>
      </c>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83"/>
    </row>
    <row r="57" spans="1:47" ht="60" customHeight="1" x14ac:dyDescent="0.35">
      <c r="A57" s="180" t="s">
        <v>2131</v>
      </c>
      <c r="B57" s="154" t="s">
        <v>285</v>
      </c>
      <c r="C57" s="155" t="s">
        <v>2173</v>
      </c>
      <c r="D57" s="158" t="s">
        <v>2174</v>
      </c>
      <c r="E57" s="161"/>
      <c r="F57" s="164" t="s">
        <v>21</v>
      </c>
      <c r="G57" s="167" t="str">
        <f>IF(COUNTIF(H57:AU57,"&lt;&gt;")=0,"",SUMPRODUCT(((Recommendations[ImplStatus]="Implemented")+(Recommendations[ImplStatus]="Compensated"))*ISNUMBER(MATCH(Recommendations[Id],H57:AU57,0)))/COUNTIF(H57:AU57,"&lt;&gt;"))</f>
        <v/>
      </c>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84"/>
    </row>
    <row r="58" spans="1:47" ht="60" customHeight="1" x14ac:dyDescent="0.35">
      <c r="A58" s="180" t="s">
        <v>2131</v>
      </c>
      <c r="B58" s="154" t="s">
        <v>285</v>
      </c>
      <c r="C58" s="155" t="s">
        <v>2175</v>
      </c>
      <c r="D58" s="158" t="s">
        <v>2176</v>
      </c>
      <c r="E58" s="161"/>
      <c r="F58" s="164" t="s">
        <v>21</v>
      </c>
      <c r="G58" s="167" t="str">
        <f>IF(COUNTIF(H58:AU58,"&lt;&gt;")=0,"",SUMPRODUCT(((Recommendations[ImplStatus]="Implemented")+(Recommendations[ImplStatus]="Compensated"))*ISNUMBER(MATCH(Recommendations[Id],H58:AU58,0)))/COUNTIF(H58:AU58,"&lt;&gt;"))</f>
        <v/>
      </c>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84"/>
    </row>
    <row r="59" spans="1:47" ht="60" customHeight="1" x14ac:dyDescent="0.35">
      <c r="A59" s="180" t="s">
        <v>2131</v>
      </c>
      <c r="B59" s="154" t="s">
        <v>285</v>
      </c>
      <c r="C59" s="155" t="s">
        <v>2177</v>
      </c>
      <c r="D59" s="158" t="s">
        <v>2178</v>
      </c>
      <c r="E59" s="161"/>
      <c r="F59" s="164" t="s">
        <v>21</v>
      </c>
      <c r="G59" s="167" t="str">
        <f>IF(COUNTIF(H59:AU59,"&lt;&gt;")=0,"",SUMPRODUCT(((Recommendations[ImplStatus]="Implemented")+(Recommendations[ImplStatus]="Compensated"))*ISNUMBER(MATCH(Recommendations[Id],H59:AU59,0)))/COUNTIF(H59:AU59,"&lt;&gt;"))</f>
        <v/>
      </c>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84"/>
    </row>
    <row r="60" spans="1:47" ht="60" customHeight="1" x14ac:dyDescent="0.35">
      <c r="A60" s="180" t="s">
        <v>2131</v>
      </c>
      <c r="B60" s="154" t="s">
        <v>285</v>
      </c>
      <c r="C60" s="155" t="s">
        <v>2179</v>
      </c>
      <c r="D60" s="158" t="s">
        <v>2180</v>
      </c>
      <c r="E60" s="161"/>
      <c r="F60" s="164" t="s">
        <v>21</v>
      </c>
      <c r="G60" s="167" t="str">
        <f>IF(COUNTIF(H60:AU60,"&lt;&gt;")=0,"",SUMPRODUCT(((Recommendations[ImplStatus]="Implemented")+(Recommendations[ImplStatus]="Compensated"))*ISNUMBER(MATCH(Recommendations[Id],H60:AU60,0)))/COUNTIF(H60:AU60,"&lt;&gt;"))</f>
        <v/>
      </c>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84"/>
    </row>
    <row r="61" spans="1:47" ht="60" customHeight="1" outlineLevel="1" x14ac:dyDescent="0.35">
      <c r="A61" s="179" t="s">
        <v>2131</v>
      </c>
      <c r="B61" s="153" t="s">
        <v>2181</v>
      </c>
      <c r="C61" s="151" t="s">
        <v>2182</v>
      </c>
      <c r="D61" s="157" t="s">
        <v>2183</v>
      </c>
      <c r="E61" s="160" t="s">
        <v>21</v>
      </c>
      <c r="F61" s="163" t="s">
        <v>21</v>
      </c>
      <c r="G61" s="166" t="str">
        <f>IF(COUNTIF(H61:AU61,"&lt;&gt;")=0,"",SUMPRODUCT(((Recommendations[ImplStatus]="Implemented")+(Recommendations[ImplStatus]="Compensated"))*ISNUMBER(MATCH(Recommendations[Id],H61:AU61,0)))/COUNTIF(H61:AU61,"&lt;&gt;"))</f>
        <v/>
      </c>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83"/>
    </row>
    <row r="62" spans="1:47" ht="60" customHeight="1" x14ac:dyDescent="0.35">
      <c r="A62" s="180" t="s">
        <v>2131</v>
      </c>
      <c r="B62" s="154" t="s">
        <v>2181</v>
      </c>
      <c r="C62" s="155" t="s">
        <v>2184</v>
      </c>
      <c r="D62" s="158" t="s">
        <v>2185</v>
      </c>
      <c r="E62" s="161" t="s">
        <v>2186</v>
      </c>
      <c r="F62" s="164" t="s">
        <v>2023</v>
      </c>
      <c r="G62" s="167" t="str">
        <f>IF(COUNTIF(H62:AU62,"&lt;&gt;")=0,"",SUMPRODUCT(((Recommendations[ImplStatus]="Implemented")+(Recommendations[ImplStatus]="Compensated"))*ISNUMBER(MATCH(Recommendations[Id],H62:AU62,0)))/COUNTIF(H62:AU62,"&lt;&gt;"))</f>
        <v/>
      </c>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84"/>
    </row>
    <row r="63" spans="1:47" ht="60" customHeight="1" x14ac:dyDescent="0.35">
      <c r="A63" s="180" t="s">
        <v>2131</v>
      </c>
      <c r="B63" s="154" t="s">
        <v>2181</v>
      </c>
      <c r="C63" s="155" t="s">
        <v>2187</v>
      </c>
      <c r="D63" s="158" t="s">
        <v>2188</v>
      </c>
      <c r="E63" s="161" t="s">
        <v>2189</v>
      </c>
      <c r="F63" s="164" t="s">
        <v>2027</v>
      </c>
      <c r="G63" s="167" t="str">
        <f>IF(COUNTIF(H63:AU63,"&lt;&gt;")=0,"",SUMPRODUCT(((Recommendations[ImplStatus]="Implemented")+(Recommendations[ImplStatus]="Compensated"))*ISNUMBER(MATCH(Recommendations[Id],H63:AU63,0)))/COUNTIF(H63:AU63,"&lt;&gt;"))</f>
        <v/>
      </c>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84"/>
    </row>
    <row r="64" spans="1:47" ht="60" customHeight="1" x14ac:dyDescent="0.35">
      <c r="A64" s="180" t="s">
        <v>2131</v>
      </c>
      <c r="B64" s="154" t="s">
        <v>2181</v>
      </c>
      <c r="C64" s="155" t="s">
        <v>2190</v>
      </c>
      <c r="D64" s="158" t="s">
        <v>2191</v>
      </c>
      <c r="E64" s="161" t="s">
        <v>2192</v>
      </c>
      <c r="F64" s="164" t="s">
        <v>2023</v>
      </c>
      <c r="G64" s="167" t="str">
        <f>IF(COUNTIF(H64:AU64,"&lt;&gt;")=0,"",SUMPRODUCT(((Recommendations[ImplStatus]="Implemented")+(Recommendations[ImplStatus]="Compensated"))*ISNUMBER(MATCH(Recommendations[Id],H64:AU64,0)))/COUNTIF(H64:AU64,"&lt;&gt;"))</f>
        <v/>
      </c>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84"/>
    </row>
    <row r="65" spans="1:47" ht="60" customHeight="1" x14ac:dyDescent="0.35">
      <c r="A65" s="180" t="s">
        <v>2131</v>
      </c>
      <c r="B65" s="154" t="s">
        <v>2181</v>
      </c>
      <c r="C65" s="155" t="s">
        <v>2193</v>
      </c>
      <c r="D65" s="158" t="s">
        <v>2194</v>
      </c>
      <c r="E65" s="161" t="s">
        <v>2195</v>
      </c>
      <c r="F65" s="164" t="s">
        <v>2023</v>
      </c>
      <c r="G65" s="167" t="str">
        <f>IF(COUNTIF(H65:AU65,"&lt;&gt;")=0,"",SUMPRODUCT(((Recommendations[ImplStatus]="Implemented")+(Recommendations[ImplStatus]="Compensated"))*ISNUMBER(MATCH(Recommendations[Id],H65:AU65,0)))/COUNTIF(H65:AU65,"&lt;&gt;"))</f>
        <v/>
      </c>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84"/>
    </row>
    <row r="66" spans="1:47" ht="60" customHeight="1" outlineLevel="1" x14ac:dyDescent="0.35">
      <c r="A66" s="179" t="s">
        <v>2131</v>
      </c>
      <c r="B66" s="153" t="s">
        <v>1789</v>
      </c>
      <c r="C66" s="151" t="s">
        <v>2196</v>
      </c>
      <c r="D66" s="157" t="s">
        <v>2197</v>
      </c>
      <c r="E66" s="160" t="s">
        <v>21</v>
      </c>
      <c r="F66" s="163" t="s">
        <v>21</v>
      </c>
      <c r="G66" s="166" t="str">
        <f>IF(COUNTIF(H66:AU66,"&lt;&gt;")=0,"",SUMPRODUCT(((Recommendations[ImplStatus]="Implemented")+(Recommendations[ImplStatus]="Compensated"))*ISNUMBER(MATCH(Recommendations[Id],H66:AU66,0)))/COUNTIF(H66:AU66,"&lt;&gt;"))</f>
        <v/>
      </c>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83"/>
    </row>
    <row r="67" spans="1:47" ht="60" customHeight="1" x14ac:dyDescent="0.35">
      <c r="A67" s="180" t="s">
        <v>2131</v>
      </c>
      <c r="B67" s="154" t="s">
        <v>1789</v>
      </c>
      <c r="C67" s="155" t="s">
        <v>2198</v>
      </c>
      <c r="D67" s="158" t="s">
        <v>2199</v>
      </c>
      <c r="E67" s="161" t="s">
        <v>2200</v>
      </c>
      <c r="F67" s="164" t="s">
        <v>2023</v>
      </c>
      <c r="G67" s="167" t="str">
        <f>IF(COUNTIF(H67:AU67,"&lt;&gt;")=0,"",SUMPRODUCT(((Recommendations[ImplStatus]="Implemented")+(Recommendations[ImplStatus]="Compensated"))*ISNUMBER(MATCH(Recommendations[Id],H67:AU67,0)))/COUNTIF(H67:AU67,"&lt;&gt;"))</f>
        <v/>
      </c>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84"/>
    </row>
    <row r="68" spans="1:47" ht="60" customHeight="1" x14ac:dyDescent="0.35">
      <c r="A68" s="180" t="s">
        <v>2131</v>
      </c>
      <c r="B68" s="154" t="s">
        <v>1789</v>
      </c>
      <c r="C68" s="155" t="s">
        <v>2201</v>
      </c>
      <c r="D68" s="158" t="s">
        <v>2202</v>
      </c>
      <c r="E68" s="161" t="s">
        <v>2203</v>
      </c>
      <c r="F68" s="164" t="s">
        <v>2023</v>
      </c>
      <c r="G68" s="167" t="str">
        <f>IF(COUNTIF(H68:AU68,"&lt;&gt;")=0,"",SUMPRODUCT(((Recommendations[ImplStatus]="Implemented")+(Recommendations[ImplStatus]="Compensated"))*ISNUMBER(MATCH(Recommendations[Id],H68:AU68,0)))/COUNTIF(H68:AU68,"&lt;&gt;"))</f>
        <v/>
      </c>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84"/>
    </row>
    <row r="69" spans="1:47" ht="60" customHeight="1" x14ac:dyDescent="0.35">
      <c r="A69" s="180" t="s">
        <v>2131</v>
      </c>
      <c r="B69" s="154" t="s">
        <v>1789</v>
      </c>
      <c r="C69" s="155" t="s">
        <v>2204</v>
      </c>
      <c r="D69" s="158" t="s">
        <v>2205</v>
      </c>
      <c r="E69" s="161" t="s">
        <v>2206</v>
      </c>
      <c r="F69" s="164" t="s">
        <v>2027</v>
      </c>
      <c r="G69" s="167" t="str">
        <f>IF(COUNTIF(H69:AU69,"&lt;&gt;")=0,"",SUMPRODUCT(((Recommendations[ImplStatus]="Implemented")+(Recommendations[ImplStatus]="Compensated"))*ISNUMBER(MATCH(Recommendations[Id],H69:AU69,0)))/COUNTIF(H69:AU69,"&lt;&gt;"))</f>
        <v/>
      </c>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84"/>
    </row>
    <row r="70" spans="1:47" ht="60" customHeight="1" x14ac:dyDescent="0.35">
      <c r="A70" s="180" t="s">
        <v>2131</v>
      </c>
      <c r="B70" s="154" t="s">
        <v>1789</v>
      </c>
      <c r="C70" s="155" t="s">
        <v>2207</v>
      </c>
      <c r="D70" s="158" t="s">
        <v>2208</v>
      </c>
      <c r="E70" s="161" t="s">
        <v>2209</v>
      </c>
      <c r="F70" s="164" t="s">
        <v>2023</v>
      </c>
      <c r="G70" s="167" t="str">
        <f>IF(COUNTIF(H70:AU70,"&lt;&gt;")=0,"",SUMPRODUCT(((Recommendations[ImplStatus]="Implemented")+(Recommendations[ImplStatus]="Compensated"))*ISNUMBER(MATCH(Recommendations[Id],H70:AU70,0)))/COUNTIF(H70:AU70,"&lt;&gt;"))</f>
        <v/>
      </c>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84"/>
    </row>
    <row r="71" spans="1:47" ht="60" customHeight="1" x14ac:dyDescent="0.35">
      <c r="A71" s="180" t="s">
        <v>2131</v>
      </c>
      <c r="B71" s="154" t="s">
        <v>1789</v>
      </c>
      <c r="C71" s="155" t="s">
        <v>2210</v>
      </c>
      <c r="D71" s="158" t="s">
        <v>2211</v>
      </c>
      <c r="E71" s="161" t="s">
        <v>2212</v>
      </c>
      <c r="F71" s="164" t="s">
        <v>2023</v>
      </c>
      <c r="G71" s="167" t="str">
        <f>IF(COUNTIF(H71:AU71,"&lt;&gt;")=0,"",SUMPRODUCT(((Recommendations[ImplStatus]="Implemented")+(Recommendations[ImplStatus]="Compensated"))*ISNUMBER(MATCH(Recommendations[Id],H71:AU71,0)))/COUNTIF(H71:AU71,"&lt;&gt;"))</f>
        <v/>
      </c>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84"/>
    </row>
    <row r="72" spans="1:47" ht="60" customHeight="1" x14ac:dyDescent="0.35">
      <c r="A72" s="180" t="s">
        <v>2131</v>
      </c>
      <c r="B72" s="154" t="s">
        <v>1789</v>
      </c>
      <c r="C72" s="155" t="s">
        <v>2213</v>
      </c>
      <c r="D72" s="158" t="s">
        <v>2214</v>
      </c>
      <c r="E72" s="161" t="s">
        <v>2215</v>
      </c>
      <c r="F72" s="164" t="s">
        <v>2023</v>
      </c>
      <c r="G72" s="167" t="str">
        <f>IF(COUNTIF(H72:AU72,"&lt;&gt;")=0,"",SUMPRODUCT(((Recommendations[ImplStatus]="Implemented")+(Recommendations[ImplStatus]="Compensated"))*ISNUMBER(MATCH(Recommendations[Id],H72:AU72,0)))/COUNTIF(H72:AU72,"&lt;&gt;"))</f>
        <v/>
      </c>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84"/>
    </row>
    <row r="73" spans="1:47" ht="60" customHeight="1" x14ac:dyDescent="0.35">
      <c r="A73" s="180" t="s">
        <v>2131</v>
      </c>
      <c r="B73" s="154" t="s">
        <v>1789</v>
      </c>
      <c r="C73" s="155" t="s">
        <v>2216</v>
      </c>
      <c r="D73" s="158" t="s">
        <v>2217</v>
      </c>
      <c r="E73" s="161" t="s">
        <v>2218</v>
      </c>
      <c r="F73" s="164" t="s">
        <v>21</v>
      </c>
      <c r="G73" s="167" t="str">
        <f>IF(COUNTIF(H73:AU73,"&lt;&gt;")=0,"",SUMPRODUCT(((Recommendations[ImplStatus]="Implemented")+(Recommendations[ImplStatus]="Compensated"))*ISNUMBER(MATCH(Recommendations[Id],H73:AU73,0)))/COUNTIF(H73:AU73,"&lt;&gt;"))</f>
        <v/>
      </c>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84"/>
    </row>
    <row r="74" spans="1:47" ht="60" customHeight="1" x14ac:dyDescent="0.35">
      <c r="A74" s="180" t="s">
        <v>2131</v>
      </c>
      <c r="B74" s="154" t="s">
        <v>1789</v>
      </c>
      <c r="C74" s="155" t="s">
        <v>2219</v>
      </c>
      <c r="D74" s="158" t="s">
        <v>2220</v>
      </c>
      <c r="E74" s="161" t="s">
        <v>2221</v>
      </c>
      <c r="F74" s="164" t="s">
        <v>2027</v>
      </c>
      <c r="G74" s="167" t="str">
        <f>IF(COUNTIF(H74:AU74,"&lt;&gt;")=0,"",SUMPRODUCT(((Recommendations[ImplStatus]="Implemented")+(Recommendations[ImplStatus]="Compensated"))*ISNUMBER(MATCH(Recommendations[Id],H74:AU74,0)))/COUNTIF(H74:AU74,"&lt;&gt;"))</f>
        <v/>
      </c>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84"/>
    </row>
    <row r="75" spans="1:47" ht="60" customHeight="1" x14ac:dyDescent="0.35">
      <c r="A75" s="180" t="s">
        <v>2131</v>
      </c>
      <c r="B75" s="154" t="s">
        <v>1789</v>
      </c>
      <c r="C75" s="155" t="s">
        <v>2222</v>
      </c>
      <c r="D75" s="158" t="s">
        <v>2223</v>
      </c>
      <c r="E75" s="161" t="s">
        <v>2224</v>
      </c>
      <c r="F75" s="164" t="s">
        <v>2037</v>
      </c>
      <c r="G75" s="167" t="str">
        <f>IF(COUNTIF(H75:AU75,"&lt;&gt;")=0,"",SUMPRODUCT(((Recommendations[ImplStatus]="Implemented")+(Recommendations[ImplStatus]="Compensated"))*ISNUMBER(MATCH(Recommendations[Id],H75:AU75,0)))/COUNTIF(H75:AU75,"&lt;&gt;"))</f>
        <v/>
      </c>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84"/>
    </row>
    <row r="76" spans="1:47" ht="60" customHeight="1" x14ac:dyDescent="0.35">
      <c r="A76" s="180" t="s">
        <v>2131</v>
      </c>
      <c r="B76" s="154" t="s">
        <v>1789</v>
      </c>
      <c r="C76" s="155" t="s">
        <v>2225</v>
      </c>
      <c r="D76" s="158" t="s">
        <v>2226</v>
      </c>
      <c r="E76" s="161" t="s">
        <v>2227</v>
      </c>
      <c r="F76" s="164" t="s">
        <v>21</v>
      </c>
      <c r="G76" s="167" t="str">
        <f>IF(COUNTIF(H76:AU76,"&lt;&gt;")=0,"",SUMPRODUCT(((Recommendations[ImplStatus]="Implemented")+(Recommendations[ImplStatus]="Compensated"))*ISNUMBER(MATCH(Recommendations[Id],H76:AU76,0)))/COUNTIF(H76:AU76,"&lt;&gt;"))</f>
        <v/>
      </c>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84"/>
    </row>
    <row r="77" spans="1:47" ht="60" customHeight="1" outlineLevel="1" x14ac:dyDescent="0.35">
      <c r="A77" s="179" t="s">
        <v>2131</v>
      </c>
      <c r="B77" s="153" t="s">
        <v>2059</v>
      </c>
      <c r="C77" s="151" t="s">
        <v>2228</v>
      </c>
      <c r="D77" s="157"/>
      <c r="E77" s="160" t="s">
        <v>21</v>
      </c>
      <c r="F77" s="163" t="s">
        <v>21</v>
      </c>
      <c r="G77" s="166" t="str">
        <f>IF(COUNTIF(H77:AU77,"&lt;&gt;")=0,"",SUMPRODUCT(((Recommendations[ImplStatus]="Implemented")+(Recommendations[ImplStatus]="Compensated"))*ISNUMBER(MATCH(Recommendations[Id],H77:AU77,0)))/COUNTIF(H77:AU77,"&lt;&gt;"))</f>
        <v/>
      </c>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83"/>
    </row>
    <row r="78" spans="1:47" ht="60" customHeight="1" x14ac:dyDescent="0.35">
      <c r="A78" s="180" t="s">
        <v>2131</v>
      </c>
      <c r="B78" s="154" t="s">
        <v>2059</v>
      </c>
      <c r="C78" s="155" t="s">
        <v>2229</v>
      </c>
      <c r="D78" s="158" t="s">
        <v>2230</v>
      </c>
      <c r="E78" s="161"/>
      <c r="F78" s="164" t="s">
        <v>21</v>
      </c>
      <c r="G78" s="167" t="str">
        <f>IF(COUNTIF(H78:AU78,"&lt;&gt;")=0,"",SUMPRODUCT(((Recommendations[ImplStatus]="Implemented")+(Recommendations[ImplStatus]="Compensated"))*ISNUMBER(MATCH(Recommendations[Id],H78:AU78,0)))/COUNTIF(H78:AU78,"&lt;&gt;"))</f>
        <v/>
      </c>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84"/>
    </row>
    <row r="79" spans="1:47" ht="60" customHeight="1" x14ac:dyDescent="0.35">
      <c r="A79" s="180" t="s">
        <v>2131</v>
      </c>
      <c r="B79" s="154" t="s">
        <v>2059</v>
      </c>
      <c r="C79" s="155" t="s">
        <v>2231</v>
      </c>
      <c r="D79" s="158" t="s">
        <v>2232</v>
      </c>
      <c r="E79" s="161"/>
      <c r="F79" s="164" t="s">
        <v>21</v>
      </c>
      <c r="G79" s="167" t="str">
        <f>IF(COUNTIF(H79:AU79,"&lt;&gt;")=0,"",SUMPRODUCT(((Recommendations[ImplStatus]="Implemented")+(Recommendations[ImplStatus]="Compensated"))*ISNUMBER(MATCH(Recommendations[Id],H79:AU79,0)))/COUNTIF(H79:AU79,"&lt;&gt;"))</f>
        <v/>
      </c>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84"/>
    </row>
    <row r="80" spans="1:47" ht="60" customHeight="1" x14ac:dyDescent="0.35">
      <c r="A80" s="180" t="s">
        <v>2131</v>
      </c>
      <c r="B80" s="154" t="s">
        <v>2059</v>
      </c>
      <c r="C80" s="155" t="s">
        <v>2233</v>
      </c>
      <c r="D80" s="158" t="s">
        <v>2234</v>
      </c>
      <c r="E80" s="161"/>
      <c r="F80" s="164" t="s">
        <v>21</v>
      </c>
      <c r="G80" s="167" t="str">
        <f>IF(COUNTIF(H80:AU80,"&lt;&gt;")=0,"",SUMPRODUCT(((Recommendations[ImplStatus]="Implemented")+(Recommendations[ImplStatus]="Compensated"))*ISNUMBER(MATCH(Recommendations[Id],H80:AU80,0)))/COUNTIF(H80:AU80,"&lt;&gt;"))</f>
        <v/>
      </c>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84"/>
    </row>
    <row r="81" spans="1:47" ht="60" customHeight="1" outlineLevel="1" x14ac:dyDescent="0.35">
      <c r="A81" s="179" t="s">
        <v>2131</v>
      </c>
      <c r="B81" s="153" t="s">
        <v>1987</v>
      </c>
      <c r="C81" s="151" t="s">
        <v>2235</v>
      </c>
      <c r="D81" s="157"/>
      <c r="E81" s="160" t="s">
        <v>21</v>
      </c>
      <c r="F81" s="163" t="s">
        <v>21</v>
      </c>
      <c r="G81" s="166" t="str">
        <f>IF(COUNTIF(H81:AU81,"&lt;&gt;")=0,"",SUMPRODUCT(((Recommendations[ImplStatus]="Implemented")+(Recommendations[ImplStatus]="Compensated"))*ISNUMBER(MATCH(Recommendations[Id],H81:AU81,0)))/COUNTIF(H81:AU81,"&lt;&gt;"))</f>
        <v/>
      </c>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83"/>
    </row>
    <row r="82" spans="1:47" ht="60" customHeight="1" x14ac:dyDescent="0.35">
      <c r="A82" s="180" t="s">
        <v>2131</v>
      </c>
      <c r="B82" s="154" t="s">
        <v>1987</v>
      </c>
      <c r="C82" s="155" t="s">
        <v>2236</v>
      </c>
      <c r="D82" s="158" t="s">
        <v>2237</v>
      </c>
      <c r="E82" s="161"/>
      <c r="F82" s="164" t="s">
        <v>21</v>
      </c>
      <c r="G82" s="167" t="str">
        <f>IF(COUNTIF(H82:AU82,"&lt;&gt;")=0,"",SUMPRODUCT(((Recommendations[ImplStatus]="Implemented")+(Recommendations[ImplStatus]="Compensated"))*ISNUMBER(MATCH(Recommendations[Id],H82:AU82,0)))/COUNTIF(H82:AU82,"&lt;&gt;"))</f>
        <v/>
      </c>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84"/>
    </row>
    <row r="83" spans="1:47" ht="60" customHeight="1" x14ac:dyDescent="0.35">
      <c r="A83" s="180" t="s">
        <v>2131</v>
      </c>
      <c r="B83" s="154" t="s">
        <v>1987</v>
      </c>
      <c r="C83" s="155" t="s">
        <v>2238</v>
      </c>
      <c r="D83" s="158" t="s">
        <v>2239</v>
      </c>
      <c r="E83" s="161"/>
      <c r="F83" s="164" t="s">
        <v>21</v>
      </c>
      <c r="G83" s="167" t="str">
        <f>IF(COUNTIF(H83:AU83,"&lt;&gt;")=0,"",SUMPRODUCT(((Recommendations[ImplStatus]="Implemented")+(Recommendations[ImplStatus]="Compensated"))*ISNUMBER(MATCH(Recommendations[Id],H83:AU83,0)))/COUNTIF(H83:AU83,"&lt;&gt;"))</f>
        <v/>
      </c>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84"/>
    </row>
    <row r="84" spans="1:47" ht="60" customHeight="1" x14ac:dyDescent="0.35">
      <c r="A84" s="180" t="s">
        <v>2131</v>
      </c>
      <c r="B84" s="154" t="s">
        <v>1987</v>
      </c>
      <c r="C84" s="155" t="s">
        <v>2240</v>
      </c>
      <c r="D84" s="158" t="s">
        <v>2241</v>
      </c>
      <c r="E84" s="161"/>
      <c r="F84" s="164" t="s">
        <v>21</v>
      </c>
      <c r="G84" s="167" t="str">
        <f>IF(COUNTIF(H84:AU84,"&lt;&gt;")=0,"",SUMPRODUCT(((Recommendations[ImplStatus]="Implemented")+(Recommendations[ImplStatus]="Compensated"))*ISNUMBER(MATCH(Recommendations[Id],H84:AU84,0)))/COUNTIF(H84:AU84,"&lt;&gt;"))</f>
        <v/>
      </c>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84"/>
    </row>
    <row r="85" spans="1:47" ht="60" customHeight="1" x14ac:dyDescent="0.35">
      <c r="A85" s="180" t="s">
        <v>2131</v>
      </c>
      <c r="B85" s="154" t="s">
        <v>1987</v>
      </c>
      <c r="C85" s="155" t="s">
        <v>2242</v>
      </c>
      <c r="D85" s="158" t="s">
        <v>2243</v>
      </c>
      <c r="E85" s="161"/>
      <c r="F85" s="164" t="s">
        <v>21</v>
      </c>
      <c r="G85" s="167" t="str">
        <f>IF(COUNTIF(H85:AU85,"&lt;&gt;")=0,"",SUMPRODUCT(((Recommendations[ImplStatus]="Implemented")+(Recommendations[ImplStatus]="Compensated"))*ISNUMBER(MATCH(Recommendations[Id],H85:AU85,0)))/COUNTIF(H85:AU85,"&lt;&gt;"))</f>
        <v/>
      </c>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84"/>
    </row>
    <row r="86" spans="1:47" ht="60" customHeight="1" x14ac:dyDescent="0.35">
      <c r="A86" s="180" t="s">
        <v>2131</v>
      </c>
      <c r="B86" s="154" t="s">
        <v>1987</v>
      </c>
      <c r="C86" s="155" t="s">
        <v>2244</v>
      </c>
      <c r="D86" s="158" t="s">
        <v>2245</v>
      </c>
      <c r="E86" s="161"/>
      <c r="F86" s="164" t="s">
        <v>21</v>
      </c>
      <c r="G86" s="167" t="str">
        <f>IF(COUNTIF(H86:AU86,"&lt;&gt;")=0,"",SUMPRODUCT(((Recommendations[ImplStatus]="Implemented")+(Recommendations[ImplStatus]="Compensated"))*ISNUMBER(MATCH(Recommendations[Id],H86:AU86,0)))/COUNTIF(H86:AU86,"&lt;&gt;"))</f>
        <v/>
      </c>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84"/>
    </row>
    <row r="87" spans="1:47" ht="60" customHeight="1" outlineLevel="1" x14ac:dyDescent="0.35">
      <c r="A87" s="178" t="s">
        <v>2246</v>
      </c>
      <c r="B87" s="152" t="s">
        <v>21</v>
      </c>
      <c r="C87" s="150" t="s">
        <v>2247</v>
      </c>
      <c r="D87" s="156" t="s">
        <v>2248</v>
      </c>
      <c r="E87" s="159" t="s">
        <v>21</v>
      </c>
      <c r="F87" s="162" t="s">
        <v>21</v>
      </c>
      <c r="G87" s="165" t="str">
        <f>IF(COUNTIF(H87:AU87,"&lt;&gt;")=0,"",SUMPRODUCT(((Recommendations[ImplStatus]="Implemented")+(Recommendations[ImplStatus]="Compensated"))*ISNUMBER(MATCH(Recommendations[Id],H87:AU87,0)))/COUNTIF(H87:AU87,"&lt;&gt;"))</f>
        <v/>
      </c>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82"/>
    </row>
    <row r="88" spans="1:47" ht="60" customHeight="1" outlineLevel="1" x14ac:dyDescent="0.35">
      <c r="A88" s="179" t="s">
        <v>2246</v>
      </c>
      <c r="B88" s="153" t="s">
        <v>2249</v>
      </c>
      <c r="C88" s="151" t="s">
        <v>2250</v>
      </c>
      <c r="D88" s="157" t="s">
        <v>2251</v>
      </c>
      <c r="E88" s="160" t="s">
        <v>21</v>
      </c>
      <c r="F88" s="163" t="s">
        <v>21</v>
      </c>
      <c r="G88" s="166" t="str">
        <f>IF(COUNTIF(H88:AU88,"&lt;&gt;")=0,"",SUMPRODUCT(((Recommendations[ImplStatus]="Implemented")+(Recommendations[ImplStatus]="Compensated"))*ISNUMBER(MATCH(Recommendations[Id],H88:AU88,0)))/COUNTIF(H88:AU88,"&lt;&gt;"))</f>
        <v/>
      </c>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83"/>
    </row>
    <row r="89" spans="1:47" ht="60" customHeight="1" x14ac:dyDescent="0.35">
      <c r="A89" s="180" t="s">
        <v>2246</v>
      </c>
      <c r="B89" s="154" t="s">
        <v>2249</v>
      </c>
      <c r="C89" s="155" t="s">
        <v>2252</v>
      </c>
      <c r="D89" s="158" t="s">
        <v>2253</v>
      </c>
      <c r="E89" s="161" t="s">
        <v>2254</v>
      </c>
      <c r="F89" s="164" t="s">
        <v>2023</v>
      </c>
      <c r="G89" s="167">
        <f>IF(COUNTIF(H89:AU89,"&lt;&gt;")=0,"",SUMPRODUCT(((Recommendations[ImplStatus]="Implemented")+(Recommendations[ImplStatus]="Compensated"))*ISNUMBER(MATCH(Recommendations[Id],H89:AU89,0)))/COUNTIF(H89:AU89,"&lt;&gt;"))</f>
        <v>0</v>
      </c>
      <c r="H89" s="170" t="s">
        <v>36</v>
      </c>
      <c r="I89" s="170"/>
      <c r="J89" s="170"/>
      <c r="K89" s="170"/>
      <c r="L89" s="170"/>
      <c r="M89" s="170"/>
      <c r="N89" s="170"/>
      <c r="O89" s="170"/>
      <c r="P89" s="170"/>
      <c r="Q89" s="170"/>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70"/>
      <c r="AO89" s="170"/>
      <c r="AP89" s="170"/>
      <c r="AQ89" s="170"/>
      <c r="AR89" s="170"/>
      <c r="AS89" s="170"/>
      <c r="AT89" s="170"/>
      <c r="AU89" s="184"/>
    </row>
    <row r="90" spans="1:47" ht="60" customHeight="1" x14ac:dyDescent="0.35">
      <c r="A90" s="180" t="s">
        <v>2246</v>
      </c>
      <c r="B90" s="154" t="s">
        <v>2249</v>
      </c>
      <c r="C90" s="155" t="s">
        <v>2255</v>
      </c>
      <c r="D90" s="158" t="s">
        <v>2256</v>
      </c>
      <c r="E90" s="161" t="s">
        <v>2257</v>
      </c>
      <c r="F90" s="164" t="s">
        <v>2027</v>
      </c>
      <c r="G90" s="167">
        <f>IF(COUNTIF(H90:AU90,"&lt;&gt;")=0,"",SUMPRODUCT(((Recommendations[ImplStatus]="Implemented")+(Recommendations[ImplStatus]="Compensated"))*ISNUMBER(MATCH(Recommendations[Id],H90:AU90,0)))/COUNTIF(H90:AU90,"&lt;&gt;"))</f>
        <v>0</v>
      </c>
      <c r="H90" s="170" t="s">
        <v>97</v>
      </c>
      <c r="I90" s="170"/>
      <c r="J90" s="170"/>
      <c r="K90" s="170"/>
      <c r="L90" s="170"/>
      <c r="M90" s="170"/>
      <c r="N90" s="170"/>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c r="AS90" s="170"/>
      <c r="AT90" s="170"/>
      <c r="AU90" s="184"/>
    </row>
    <row r="91" spans="1:47" ht="60" customHeight="1" x14ac:dyDescent="0.35">
      <c r="A91" s="180" t="s">
        <v>2246</v>
      </c>
      <c r="B91" s="154" t="s">
        <v>2249</v>
      </c>
      <c r="C91" s="155" t="s">
        <v>2258</v>
      </c>
      <c r="D91" s="158" t="s">
        <v>2259</v>
      </c>
      <c r="E91" s="161" t="s">
        <v>2260</v>
      </c>
      <c r="F91" s="164" t="s">
        <v>2023</v>
      </c>
      <c r="G91" s="167">
        <f>IF(COUNTIF(H91:AU91,"&lt;&gt;")=0,"",SUMPRODUCT(((Recommendations[ImplStatus]="Implemented")+(Recommendations[ImplStatus]="Compensated"))*ISNUMBER(MATCH(Recommendations[Id],H91:AU91,0)))/COUNTIF(H91:AU91,"&lt;&gt;"))</f>
        <v>0</v>
      </c>
      <c r="H91" s="170" t="s">
        <v>56</v>
      </c>
      <c r="I91" s="170" t="s">
        <v>102</v>
      </c>
      <c r="J91" s="170"/>
      <c r="K91" s="170"/>
      <c r="L91" s="170"/>
      <c r="M91" s="170"/>
      <c r="N91" s="170"/>
      <c r="O91" s="170"/>
      <c r="P91" s="170"/>
      <c r="Q91" s="170"/>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84"/>
    </row>
    <row r="92" spans="1:47" ht="60" customHeight="1" x14ac:dyDescent="0.35">
      <c r="A92" s="180" t="s">
        <v>2246</v>
      </c>
      <c r="B92" s="154" t="s">
        <v>2249</v>
      </c>
      <c r="C92" s="155" t="s">
        <v>2261</v>
      </c>
      <c r="D92" s="158" t="s">
        <v>2262</v>
      </c>
      <c r="E92" s="161" t="s">
        <v>2263</v>
      </c>
      <c r="F92" s="164" t="s">
        <v>2023</v>
      </c>
      <c r="G92" s="167" t="str">
        <f>IF(COUNTIF(H92:AU92,"&lt;&gt;")=0,"",SUMPRODUCT(((Recommendations[ImplStatus]="Implemented")+(Recommendations[ImplStatus]="Compensated"))*ISNUMBER(MATCH(Recommendations[Id],H92:AU92,0)))/COUNTIF(H92:AU92,"&lt;&gt;"))</f>
        <v/>
      </c>
      <c r="H92" s="170"/>
      <c r="I92" s="170"/>
      <c r="J92" s="170"/>
      <c r="K92" s="170"/>
      <c r="L92" s="170"/>
      <c r="M92" s="170"/>
      <c r="N92" s="170"/>
      <c r="O92" s="170"/>
      <c r="P92" s="170"/>
      <c r="Q92" s="170"/>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84"/>
    </row>
    <row r="93" spans="1:47" ht="60" customHeight="1" x14ac:dyDescent="0.35">
      <c r="A93" s="180" t="s">
        <v>2246</v>
      </c>
      <c r="B93" s="154" t="s">
        <v>2249</v>
      </c>
      <c r="C93" s="155" t="s">
        <v>2264</v>
      </c>
      <c r="D93" s="158" t="s">
        <v>2265</v>
      </c>
      <c r="E93" s="161" t="s">
        <v>2266</v>
      </c>
      <c r="F93" s="164" t="s">
        <v>2023</v>
      </c>
      <c r="G93" s="167" t="str">
        <f>IF(COUNTIF(H93:AU93,"&lt;&gt;")=0,"",SUMPRODUCT(((Recommendations[ImplStatus]="Implemented")+(Recommendations[ImplStatus]="Compensated"))*ISNUMBER(MATCH(Recommendations[Id],H93:AU93,0)))/COUNTIF(H93:AU93,"&lt;&gt;"))</f>
        <v/>
      </c>
      <c r="H93" s="170"/>
      <c r="I93" s="170"/>
      <c r="J93" s="170"/>
      <c r="K93" s="170"/>
      <c r="L93" s="170"/>
      <c r="M93" s="170"/>
      <c r="N93" s="170"/>
      <c r="O93" s="170"/>
      <c r="P93" s="170"/>
      <c r="Q93" s="170"/>
      <c r="R93" s="170"/>
      <c r="S93" s="170"/>
      <c r="T93" s="170"/>
      <c r="U93" s="170"/>
      <c r="V93" s="170"/>
      <c r="W93" s="170"/>
      <c r="X93" s="170"/>
      <c r="Y93" s="170"/>
      <c r="Z93" s="170"/>
      <c r="AA93" s="170"/>
      <c r="AB93" s="170"/>
      <c r="AC93" s="170"/>
      <c r="AD93" s="170"/>
      <c r="AE93" s="170"/>
      <c r="AF93" s="170"/>
      <c r="AG93" s="170"/>
      <c r="AH93" s="170"/>
      <c r="AI93" s="170"/>
      <c r="AJ93" s="170"/>
      <c r="AK93" s="170"/>
      <c r="AL93" s="170"/>
      <c r="AM93" s="170"/>
      <c r="AN93" s="170"/>
      <c r="AO93" s="170"/>
      <c r="AP93" s="170"/>
      <c r="AQ93" s="170"/>
      <c r="AR93" s="170"/>
      <c r="AS93" s="170"/>
      <c r="AT93" s="170"/>
      <c r="AU93" s="184"/>
    </row>
    <row r="94" spans="1:47" ht="60" customHeight="1" x14ac:dyDescent="0.35">
      <c r="A94" s="180" t="s">
        <v>2246</v>
      </c>
      <c r="B94" s="154" t="s">
        <v>2249</v>
      </c>
      <c r="C94" s="155" t="s">
        <v>2267</v>
      </c>
      <c r="D94" s="158" t="s">
        <v>2268</v>
      </c>
      <c r="E94" s="161" t="s">
        <v>2269</v>
      </c>
      <c r="F94" s="164" t="s">
        <v>2027</v>
      </c>
      <c r="G94" s="167" t="str">
        <f>IF(COUNTIF(H94:AU94,"&lt;&gt;")=0,"",SUMPRODUCT(((Recommendations[ImplStatus]="Implemented")+(Recommendations[ImplStatus]="Compensated"))*ISNUMBER(MATCH(Recommendations[Id],H94:AU94,0)))/COUNTIF(H94:AU94,"&lt;&gt;"))</f>
        <v/>
      </c>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84"/>
    </row>
    <row r="95" spans="1:47" ht="60" customHeight="1" outlineLevel="1" x14ac:dyDescent="0.35">
      <c r="A95" s="179" t="s">
        <v>2246</v>
      </c>
      <c r="B95" s="153" t="s">
        <v>2270</v>
      </c>
      <c r="C95" s="151" t="s">
        <v>2271</v>
      </c>
      <c r="D95" s="157"/>
      <c r="E95" s="160" t="s">
        <v>21</v>
      </c>
      <c r="F95" s="163" t="s">
        <v>21</v>
      </c>
      <c r="G95" s="166" t="str">
        <f>IF(COUNTIF(H95:AU95,"&lt;&gt;")=0,"",SUMPRODUCT(((Recommendations[ImplStatus]="Implemented")+(Recommendations[ImplStatus]="Compensated"))*ISNUMBER(MATCH(Recommendations[Id],H95:AU95,0)))/COUNTIF(H95:AU95,"&lt;&gt;"))</f>
        <v/>
      </c>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83"/>
    </row>
    <row r="96" spans="1:47" ht="60" customHeight="1" x14ac:dyDescent="0.35">
      <c r="A96" s="180" t="s">
        <v>2246</v>
      </c>
      <c r="B96" s="154" t="s">
        <v>2270</v>
      </c>
      <c r="C96" s="155" t="s">
        <v>2272</v>
      </c>
      <c r="D96" s="158" t="s">
        <v>2273</v>
      </c>
      <c r="E96" s="161"/>
      <c r="F96" s="164" t="s">
        <v>21</v>
      </c>
      <c r="G96" s="167" t="str">
        <f>IF(COUNTIF(H96:AU96,"&lt;&gt;")=0,"",SUMPRODUCT(((Recommendations[ImplStatus]="Implemented")+(Recommendations[ImplStatus]="Compensated"))*ISNUMBER(MATCH(Recommendations[Id],H96:AU96,0)))/COUNTIF(H96:AU96,"&lt;&gt;"))</f>
        <v/>
      </c>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84"/>
    </row>
    <row r="97" spans="1:47" ht="60" customHeight="1" x14ac:dyDescent="0.35">
      <c r="A97" s="180" t="s">
        <v>2246</v>
      </c>
      <c r="B97" s="154" t="s">
        <v>2270</v>
      </c>
      <c r="C97" s="155" t="s">
        <v>2274</v>
      </c>
      <c r="D97" s="158" t="s">
        <v>2275</v>
      </c>
      <c r="E97" s="161"/>
      <c r="F97" s="164" t="s">
        <v>21</v>
      </c>
      <c r="G97" s="167" t="str">
        <f>IF(COUNTIF(H97:AU97,"&lt;&gt;")=0,"",SUMPRODUCT(((Recommendations[ImplStatus]="Implemented")+(Recommendations[ImplStatus]="Compensated"))*ISNUMBER(MATCH(Recommendations[Id],H97:AU97,0)))/COUNTIF(H97:AU97,"&lt;&gt;"))</f>
        <v/>
      </c>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84"/>
    </row>
    <row r="98" spans="1:47" ht="60" customHeight="1" x14ac:dyDescent="0.35">
      <c r="A98" s="180" t="s">
        <v>2246</v>
      </c>
      <c r="B98" s="154" t="s">
        <v>2270</v>
      </c>
      <c r="C98" s="155" t="s">
        <v>2276</v>
      </c>
      <c r="D98" s="158" t="s">
        <v>2277</v>
      </c>
      <c r="E98" s="161"/>
      <c r="F98" s="164" t="s">
        <v>21</v>
      </c>
      <c r="G98" s="167" t="str">
        <f>IF(COUNTIF(H98:AU98,"&lt;&gt;")=0,"",SUMPRODUCT(((Recommendations[ImplStatus]="Implemented")+(Recommendations[ImplStatus]="Compensated"))*ISNUMBER(MATCH(Recommendations[Id],H98:AU98,0)))/COUNTIF(H98:AU98,"&lt;&gt;"))</f>
        <v/>
      </c>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84"/>
    </row>
    <row r="99" spans="1:47" ht="60" customHeight="1" x14ac:dyDescent="0.35">
      <c r="A99" s="180" t="s">
        <v>2246</v>
      </c>
      <c r="B99" s="154" t="s">
        <v>2270</v>
      </c>
      <c r="C99" s="155" t="s">
        <v>2278</v>
      </c>
      <c r="D99" s="158" t="s">
        <v>2279</v>
      </c>
      <c r="E99" s="161"/>
      <c r="F99" s="164" t="s">
        <v>21</v>
      </c>
      <c r="G99" s="167" t="str">
        <f>IF(COUNTIF(H99:AU99,"&lt;&gt;")=0,"",SUMPRODUCT(((Recommendations[ImplStatus]="Implemented")+(Recommendations[ImplStatus]="Compensated"))*ISNUMBER(MATCH(Recommendations[Id],H99:AU99,0)))/COUNTIF(H99:AU99,"&lt;&gt;"))</f>
        <v/>
      </c>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84"/>
    </row>
    <row r="100" spans="1:47" ht="60" customHeight="1" x14ac:dyDescent="0.35">
      <c r="A100" s="180" t="s">
        <v>2246</v>
      </c>
      <c r="B100" s="154" t="s">
        <v>2270</v>
      </c>
      <c r="C100" s="155" t="s">
        <v>2280</v>
      </c>
      <c r="D100" s="158" t="s">
        <v>2281</v>
      </c>
      <c r="E100" s="161"/>
      <c r="F100" s="164" t="s">
        <v>21</v>
      </c>
      <c r="G100" s="167" t="str">
        <f>IF(COUNTIF(H100:AU100,"&lt;&gt;")=0,"",SUMPRODUCT(((Recommendations[ImplStatus]="Implemented")+(Recommendations[ImplStatus]="Compensated"))*ISNUMBER(MATCH(Recommendations[Id],H100:AU100,0)))/COUNTIF(H100:AU100,"&lt;&gt;"))</f>
        <v/>
      </c>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84"/>
    </row>
    <row r="101" spans="1:47" ht="60" customHeight="1" x14ac:dyDescent="0.35">
      <c r="A101" s="180" t="s">
        <v>2246</v>
      </c>
      <c r="B101" s="154" t="s">
        <v>2270</v>
      </c>
      <c r="C101" s="155" t="s">
        <v>2282</v>
      </c>
      <c r="D101" s="158" t="s">
        <v>2283</v>
      </c>
      <c r="E101" s="161"/>
      <c r="F101" s="164" t="s">
        <v>21</v>
      </c>
      <c r="G101" s="167" t="str">
        <f>IF(COUNTIF(H101:AU101,"&lt;&gt;")=0,"",SUMPRODUCT(((Recommendations[ImplStatus]="Implemented")+(Recommendations[ImplStatus]="Compensated"))*ISNUMBER(MATCH(Recommendations[Id],H101:AU101,0)))/COUNTIF(H101:AU101,"&lt;&gt;"))</f>
        <v/>
      </c>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84"/>
    </row>
    <row r="102" spans="1:47" ht="60" customHeight="1" x14ac:dyDescent="0.35">
      <c r="A102" s="180" t="s">
        <v>2246</v>
      </c>
      <c r="B102" s="154" t="s">
        <v>2270</v>
      </c>
      <c r="C102" s="155" t="s">
        <v>2284</v>
      </c>
      <c r="D102" s="158" t="s">
        <v>2285</v>
      </c>
      <c r="E102" s="161"/>
      <c r="F102" s="164" t="s">
        <v>21</v>
      </c>
      <c r="G102" s="167" t="str">
        <f>IF(COUNTIF(H102:AU102,"&lt;&gt;")=0,"",SUMPRODUCT(((Recommendations[ImplStatus]="Implemented")+(Recommendations[ImplStatus]="Compensated"))*ISNUMBER(MATCH(Recommendations[Id],H102:AU102,0)))/COUNTIF(H102:AU102,"&lt;&gt;"))</f>
        <v/>
      </c>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84"/>
    </row>
    <row r="103" spans="1:47" ht="60" customHeight="1" outlineLevel="1" x14ac:dyDescent="0.35">
      <c r="A103" s="179" t="s">
        <v>2246</v>
      </c>
      <c r="B103" s="153" t="s">
        <v>1430</v>
      </c>
      <c r="C103" s="151" t="s">
        <v>2286</v>
      </c>
      <c r="D103" s="157" t="s">
        <v>2287</v>
      </c>
      <c r="E103" s="160" t="s">
        <v>21</v>
      </c>
      <c r="F103" s="163" t="s">
        <v>21</v>
      </c>
      <c r="G103" s="166" t="str">
        <f>IF(COUNTIF(H103:AU103,"&lt;&gt;")=0,"",SUMPRODUCT(((Recommendations[ImplStatus]="Implemented")+(Recommendations[ImplStatus]="Compensated"))*ISNUMBER(MATCH(Recommendations[Id],H103:AU103,0)))/COUNTIF(H103:AU103,"&lt;&gt;"))</f>
        <v/>
      </c>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83"/>
    </row>
    <row r="104" spans="1:47" ht="60" customHeight="1" x14ac:dyDescent="0.35">
      <c r="A104" s="180" t="s">
        <v>2246</v>
      </c>
      <c r="B104" s="154" t="s">
        <v>1430</v>
      </c>
      <c r="C104" s="155" t="s">
        <v>2288</v>
      </c>
      <c r="D104" s="158" t="s">
        <v>2289</v>
      </c>
      <c r="E104" s="161" t="s">
        <v>2290</v>
      </c>
      <c r="F104" s="164" t="s">
        <v>2023</v>
      </c>
      <c r="G104" s="167" t="str">
        <f>IF(COUNTIF(H104:AU104,"&lt;&gt;")=0,"",SUMPRODUCT(((Recommendations[ImplStatus]="Implemented")+(Recommendations[ImplStatus]="Compensated"))*ISNUMBER(MATCH(Recommendations[Id],H104:AU104,0)))/COUNTIF(H104:AU104,"&lt;&gt;"))</f>
        <v/>
      </c>
      <c r="H104" s="170"/>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84"/>
    </row>
    <row r="105" spans="1:47" ht="60" customHeight="1" x14ac:dyDescent="0.35">
      <c r="A105" s="180" t="s">
        <v>2246</v>
      </c>
      <c r="B105" s="154" t="s">
        <v>1430</v>
      </c>
      <c r="C105" s="155" t="s">
        <v>2291</v>
      </c>
      <c r="D105" s="158" t="s">
        <v>2292</v>
      </c>
      <c r="E105" s="161" t="s">
        <v>2293</v>
      </c>
      <c r="F105" s="164" t="s">
        <v>2027</v>
      </c>
      <c r="G105" s="167" t="str">
        <f>IF(COUNTIF(H105:AU105,"&lt;&gt;")=0,"",SUMPRODUCT(((Recommendations[ImplStatus]="Implemented")+(Recommendations[ImplStatus]="Compensated"))*ISNUMBER(MATCH(Recommendations[Id],H105:AU105,0)))/COUNTIF(H105:AU105,"&lt;&gt;"))</f>
        <v/>
      </c>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84"/>
    </row>
    <row r="106" spans="1:47" ht="60" customHeight="1" x14ac:dyDescent="0.35">
      <c r="A106" s="180" t="s">
        <v>2246</v>
      </c>
      <c r="B106" s="154" t="s">
        <v>1430</v>
      </c>
      <c r="C106" s="155" t="s">
        <v>2294</v>
      </c>
      <c r="D106" s="158" t="s">
        <v>2295</v>
      </c>
      <c r="E106" s="161"/>
      <c r="F106" s="164" t="s">
        <v>21</v>
      </c>
      <c r="G106" s="167" t="str">
        <f>IF(COUNTIF(H106:AU106,"&lt;&gt;")=0,"",SUMPRODUCT(((Recommendations[ImplStatus]="Implemented")+(Recommendations[ImplStatus]="Compensated"))*ISNUMBER(MATCH(Recommendations[Id],H106:AU106,0)))/COUNTIF(H106:AU106,"&lt;&gt;"))</f>
        <v/>
      </c>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84"/>
    </row>
    <row r="107" spans="1:47" ht="60" customHeight="1" x14ac:dyDescent="0.35">
      <c r="A107" s="180" t="s">
        <v>2246</v>
      </c>
      <c r="B107" s="154" t="s">
        <v>1430</v>
      </c>
      <c r="C107" s="155" t="s">
        <v>2296</v>
      </c>
      <c r="D107" s="158" t="s">
        <v>2297</v>
      </c>
      <c r="E107" s="161"/>
      <c r="F107" s="164" t="s">
        <v>21</v>
      </c>
      <c r="G107" s="167" t="str">
        <f>IF(COUNTIF(H107:AU107,"&lt;&gt;")=0,"",SUMPRODUCT(((Recommendations[ImplStatus]="Implemented")+(Recommendations[ImplStatus]="Compensated"))*ISNUMBER(MATCH(Recommendations[Id],H107:AU107,0)))/COUNTIF(H107:AU107,"&lt;&gt;"))</f>
        <v/>
      </c>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84"/>
    </row>
    <row r="108" spans="1:47" ht="60" customHeight="1" x14ac:dyDescent="0.35">
      <c r="A108" s="180" t="s">
        <v>2246</v>
      </c>
      <c r="B108" s="154" t="s">
        <v>1430</v>
      </c>
      <c r="C108" s="155" t="s">
        <v>2298</v>
      </c>
      <c r="D108" s="158" t="s">
        <v>2299</v>
      </c>
      <c r="E108" s="161"/>
      <c r="F108" s="164" t="s">
        <v>21</v>
      </c>
      <c r="G108" s="167" t="str">
        <f>IF(COUNTIF(H108:AU108,"&lt;&gt;")=0,"",SUMPRODUCT(((Recommendations[ImplStatus]="Implemented")+(Recommendations[ImplStatus]="Compensated"))*ISNUMBER(MATCH(Recommendations[Id],H108:AU108,0)))/COUNTIF(H108:AU108,"&lt;&gt;"))</f>
        <v/>
      </c>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84"/>
    </row>
    <row r="109" spans="1:47" ht="60" customHeight="1" outlineLevel="1" x14ac:dyDescent="0.35">
      <c r="A109" s="179" t="s">
        <v>2246</v>
      </c>
      <c r="B109" s="153" t="s">
        <v>2300</v>
      </c>
      <c r="C109" s="151" t="s">
        <v>2301</v>
      </c>
      <c r="D109" s="157" t="s">
        <v>2302</v>
      </c>
      <c r="E109" s="160" t="s">
        <v>21</v>
      </c>
      <c r="F109" s="163" t="s">
        <v>21</v>
      </c>
      <c r="G109" s="166" t="str">
        <f>IF(COUNTIF(H109:AU109,"&lt;&gt;")=0,"",SUMPRODUCT(((Recommendations[ImplStatus]="Implemented")+(Recommendations[ImplStatus]="Compensated"))*ISNUMBER(MATCH(Recommendations[Id],H109:AU109,0)))/COUNTIF(H109:AU109,"&lt;&gt;"))</f>
        <v/>
      </c>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83"/>
    </row>
    <row r="110" spans="1:47" ht="60" customHeight="1" x14ac:dyDescent="0.35">
      <c r="A110" s="180" t="s">
        <v>2246</v>
      </c>
      <c r="B110" s="154" t="s">
        <v>2300</v>
      </c>
      <c r="C110" s="155" t="s">
        <v>2303</v>
      </c>
      <c r="D110" s="158" t="s">
        <v>2304</v>
      </c>
      <c r="E110" s="161" t="s">
        <v>2305</v>
      </c>
      <c r="F110" s="164" t="s">
        <v>2023</v>
      </c>
      <c r="G110" s="167" t="str">
        <f>IF(COUNTIF(H110:AU110,"&lt;&gt;")=0,"",SUMPRODUCT(((Recommendations[ImplStatus]="Implemented")+(Recommendations[ImplStatus]="Compensated"))*ISNUMBER(MATCH(Recommendations[Id],H110:AU110,0)))/COUNTIF(H110:AU110,"&lt;&gt;"))</f>
        <v/>
      </c>
      <c r="H110" s="170"/>
      <c r="I110" s="170"/>
      <c r="J110" s="170"/>
      <c r="K110" s="170"/>
      <c r="L110" s="170"/>
      <c r="M110" s="170"/>
      <c r="N110" s="170"/>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84"/>
    </row>
    <row r="111" spans="1:47" ht="60" customHeight="1" x14ac:dyDescent="0.35">
      <c r="A111" s="180" t="s">
        <v>2246</v>
      </c>
      <c r="B111" s="154" t="s">
        <v>2300</v>
      </c>
      <c r="C111" s="155" t="s">
        <v>2306</v>
      </c>
      <c r="D111" s="158" t="s">
        <v>2307</v>
      </c>
      <c r="E111" s="161" t="s">
        <v>2308</v>
      </c>
      <c r="F111" s="164" t="s">
        <v>2023</v>
      </c>
      <c r="G111" s="167">
        <f>IF(COUNTIF(H111:AU111,"&lt;&gt;")=0,"",SUMPRODUCT(((Recommendations[ImplStatus]="Implemented")+(Recommendations[ImplStatus]="Compensated"))*ISNUMBER(MATCH(Recommendations[Id],H111:AU111,0)))/COUNTIF(H111:AU111,"&lt;&gt;"))</f>
        <v>0</v>
      </c>
      <c r="H111" s="170" t="s">
        <v>14</v>
      </c>
      <c r="I111" s="170" t="s">
        <v>31</v>
      </c>
      <c r="J111" s="170" t="s">
        <v>41</v>
      </c>
      <c r="K111" s="170" t="s">
        <v>44</v>
      </c>
      <c r="L111" s="170" t="s">
        <v>47</v>
      </c>
      <c r="M111" s="170" t="s">
        <v>50</v>
      </c>
      <c r="N111" s="170" t="s">
        <v>61</v>
      </c>
      <c r="O111" s="170" t="s">
        <v>83</v>
      </c>
      <c r="P111" s="170" t="s">
        <v>97</v>
      </c>
      <c r="Q111" s="170" t="s">
        <v>108</v>
      </c>
      <c r="R111" s="170"/>
      <c r="S111" s="170"/>
      <c r="T111" s="170"/>
      <c r="U111" s="170"/>
      <c r="V111" s="170"/>
      <c r="W111" s="170"/>
      <c r="X111" s="170"/>
      <c r="Y111" s="170"/>
      <c r="Z111" s="170"/>
      <c r="AA111" s="170"/>
      <c r="AB111" s="170"/>
      <c r="AC111" s="170"/>
      <c r="AD111" s="170"/>
      <c r="AE111" s="170"/>
      <c r="AF111" s="170"/>
      <c r="AG111" s="170"/>
      <c r="AH111" s="170"/>
      <c r="AI111" s="170"/>
      <c r="AJ111" s="170"/>
      <c r="AK111" s="170"/>
      <c r="AL111" s="170"/>
      <c r="AM111" s="170"/>
      <c r="AN111" s="170"/>
      <c r="AO111" s="170"/>
      <c r="AP111" s="170"/>
      <c r="AQ111" s="170"/>
      <c r="AR111" s="170"/>
      <c r="AS111" s="170"/>
      <c r="AT111" s="170"/>
      <c r="AU111" s="184"/>
    </row>
    <row r="112" spans="1:47" ht="60" customHeight="1" x14ac:dyDescent="0.35">
      <c r="A112" s="180" t="s">
        <v>2246</v>
      </c>
      <c r="B112" s="154" t="s">
        <v>2300</v>
      </c>
      <c r="C112" s="155" t="s">
        <v>2309</v>
      </c>
      <c r="D112" s="158" t="s">
        <v>2310</v>
      </c>
      <c r="E112" s="161"/>
      <c r="F112" s="164" t="s">
        <v>21</v>
      </c>
      <c r="G112" s="167" t="str">
        <f>IF(COUNTIF(H112:AU112,"&lt;&gt;")=0,"",SUMPRODUCT(((Recommendations[ImplStatus]="Implemented")+(Recommendations[ImplStatus]="Compensated"))*ISNUMBER(MATCH(Recommendations[Id],H112:AU112,0)))/COUNTIF(H112:AU112,"&lt;&gt;"))</f>
        <v/>
      </c>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84"/>
    </row>
    <row r="113" spans="1:47" ht="60" customHeight="1" x14ac:dyDescent="0.35">
      <c r="A113" s="180" t="s">
        <v>2246</v>
      </c>
      <c r="B113" s="154" t="s">
        <v>2300</v>
      </c>
      <c r="C113" s="155" t="s">
        <v>2311</v>
      </c>
      <c r="D113" s="158" t="s">
        <v>2312</v>
      </c>
      <c r="E113" s="161"/>
      <c r="F113" s="164" t="s">
        <v>21</v>
      </c>
      <c r="G113" s="167" t="str">
        <f>IF(COUNTIF(H113:AU113,"&lt;&gt;")=0,"",SUMPRODUCT(((Recommendations[ImplStatus]="Implemented")+(Recommendations[ImplStatus]="Compensated"))*ISNUMBER(MATCH(Recommendations[Id],H113:AU113,0)))/COUNTIF(H113:AU113,"&lt;&gt;"))</f>
        <v/>
      </c>
      <c r="H113" s="170"/>
      <c r="I113" s="170"/>
      <c r="J113" s="170"/>
      <c r="K113" s="170"/>
      <c r="L113" s="170"/>
      <c r="M113" s="170"/>
      <c r="N113" s="170"/>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c r="AS113" s="170"/>
      <c r="AT113" s="170"/>
      <c r="AU113" s="184"/>
    </row>
    <row r="114" spans="1:47" ht="60" customHeight="1" x14ac:dyDescent="0.35">
      <c r="A114" s="180" t="s">
        <v>2246</v>
      </c>
      <c r="B114" s="154" t="s">
        <v>2300</v>
      </c>
      <c r="C114" s="155" t="s">
        <v>2313</v>
      </c>
      <c r="D114" s="158" t="s">
        <v>2314</v>
      </c>
      <c r="E114" s="161"/>
      <c r="F114" s="164" t="s">
        <v>21</v>
      </c>
      <c r="G114" s="167" t="str">
        <f>IF(COUNTIF(H114:AU114,"&lt;&gt;")=0,"",SUMPRODUCT(((Recommendations[ImplStatus]="Implemented")+(Recommendations[ImplStatus]="Compensated"))*ISNUMBER(MATCH(Recommendations[Id],H114:AU114,0)))/COUNTIF(H114:AU114,"&lt;&gt;"))</f>
        <v/>
      </c>
      <c r="H114" s="170"/>
      <c r="I114" s="170"/>
      <c r="J114" s="170"/>
      <c r="K114" s="170"/>
      <c r="L114" s="170"/>
      <c r="M114" s="170"/>
      <c r="N114" s="170"/>
      <c r="O114" s="170"/>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84"/>
    </row>
    <row r="115" spans="1:47" ht="60" customHeight="1" x14ac:dyDescent="0.35">
      <c r="A115" s="180" t="s">
        <v>2246</v>
      </c>
      <c r="B115" s="154" t="s">
        <v>2300</v>
      </c>
      <c r="C115" s="155" t="s">
        <v>2315</v>
      </c>
      <c r="D115" s="158" t="s">
        <v>2316</v>
      </c>
      <c r="E115" s="161"/>
      <c r="F115" s="164" t="s">
        <v>21</v>
      </c>
      <c r="G115" s="167" t="str">
        <f>IF(COUNTIF(H115:AU115,"&lt;&gt;")=0,"",SUMPRODUCT(((Recommendations[ImplStatus]="Implemented")+(Recommendations[ImplStatus]="Compensated"))*ISNUMBER(MATCH(Recommendations[Id],H115:AU115,0)))/COUNTIF(H115:AU115,"&lt;&gt;"))</f>
        <v/>
      </c>
      <c r="H115" s="170"/>
      <c r="I115" s="170"/>
      <c r="J115" s="170"/>
      <c r="K115" s="170"/>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84"/>
    </row>
    <row r="116" spans="1:47" ht="60" customHeight="1" x14ac:dyDescent="0.35">
      <c r="A116" s="180" t="s">
        <v>2246</v>
      </c>
      <c r="B116" s="154" t="s">
        <v>2300</v>
      </c>
      <c r="C116" s="155" t="s">
        <v>2317</v>
      </c>
      <c r="D116" s="158" t="s">
        <v>2318</v>
      </c>
      <c r="E116" s="161"/>
      <c r="F116" s="164" t="s">
        <v>21</v>
      </c>
      <c r="G116" s="167" t="str">
        <f>IF(COUNTIF(H116:AU116,"&lt;&gt;")=0,"",SUMPRODUCT(((Recommendations[ImplStatus]="Implemented")+(Recommendations[ImplStatus]="Compensated"))*ISNUMBER(MATCH(Recommendations[Id],H116:AU116,0)))/COUNTIF(H116:AU116,"&lt;&gt;"))</f>
        <v/>
      </c>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84"/>
    </row>
    <row r="117" spans="1:47" ht="60" customHeight="1" x14ac:dyDescent="0.35">
      <c r="A117" s="180" t="s">
        <v>2246</v>
      </c>
      <c r="B117" s="154" t="s">
        <v>2300</v>
      </c>
      <c r="C117" s="155" t="s">
        <v>2319</v>
      </c>
      <c r="D117" s="158" t="s">
        <v>2320</v>
      </c>
      <c r="E117" s="161"/>
      <c r="F117" s="164" t="s">
        <v>21</v>
      </c>
      <c r="G117" s="167" t="str">
        <f>IF(COUNTIF(H117:AU117,"&lt;&gt;")=0,"",SUMPRODUCT(((Recommendations[ImplStatus]="Implemented")+(Recommendations[ImplStatus]="Compensated"))*ISNUMBER(MATCH(Recommendations[Id],H117:AU117,0)))/COUNTIF(H117:AU117,"&lt;&gt;"))</f>
        <v/>
      </c>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84"/>
    </row>
    <row r="118" spans="1:47" ht="60" customHeight="1" x14ac:dyDescent="0.35">
      <c r="A118" s="180" t="s">
        <v>2246</v>
      </c>
      <c r="B118" s="154" t="s">
        <v>2300</v>
      </c>
      <c r="C118" s="155" t="s">
        <v>2321</v>
      </c>
      <c r="D118" s="158" t="s">
        <v>2322</v>
      </c>
      <c r="E118" s="161" t="s">
        <v>2323</v>
      </c>
      <c r="F118" s="164" t="s">
        <v>2023</v>
      </c>
      <c r="G118" s="167" t="str">
        <f>IF(COUNTIF(H118:AU118,"&lt;&gt;")=0,"",SUMPRODUCT(((Recommendations[ImplStatus]="Implemented")+(Recommendations[ImplStatus]="Compensated"))*ISNUMBER(MATCH(Recommendations[Id],H118:AU118,0)))/COUNTIF(H118:AU118,"&lt;&gt;"))</f>
        <v/>
      </c>
      <c r="H118" s="170"/>
      <c r="I118" s="170"/>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84"/>
    </row>
    <row r="119" spans="1:47" ht="60" customHeight="1" x14ac:dyDescent="0.35">
      <c r="A119" s="180" t="s">
        <v>2246</v>
      </c>
      <c r="B119" s="154" t="s">
        <v>2300</v>
      </c>
      <c r="C119" s="155" t="s">
        <v>2324</v>
      </c>
      <c r="D119" s="158" t="s">
        <v>2325</v>
      </c>
      <c r="E119" s="161" t="s">
        <v>2326</v>
      </c>
      <c r="F119" s="164" t="s">
        <v>2023</v>
      </c>
      <c r="G119" s="167" t="str">
        <f>IF(COUNTIF(H119:AU119,"&lt;&gt;")=0,"",SUMPRODUCT(((Recommendations[ImplStatus]="Implemented")+(Recommendations[ImplStatus]="Compensated"))*ISNUMBER(MATCH(Recommendations[Id],H119:AU119,0)))/COUNTIF(H119:AU119,"&lt;&gt;"))</f>
        <v/>
      </c>
      <c r="H119" s="170"/>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84"/>
    </row>
    <row r="120" spans="1:47" ht="60" customHeight="1" outlineLevel="1" x14ac:dyDescent="0.35">
      <c r="A120" s="179" t="s">
        <v>2246</v>
      </c>
      <c r="B120" s="153" t="s">
        <v>2327</v>
      </c>
      <c r="C120" s="151" t="s">
        <v>2328</v>
      </c>
      <c r="D120" s="157"/>
      <c r="E120" s="160" t="s">
        <v>21</v>
      </c>
      <c r="F120" s="163" t="s">
        <v>21</v>
      </c>
      <c r="G120" s="166" t="str">
        <f>IF(COUNTIF(H120:AU120,"&lt;&gt;")=0,"",SUMPRODUCT(((Recommendations[ImplStatus]="Implemented")+(Recommendations[ImplStatus]="Compensated"))*ISNUMBER(MATCH(Recommendations[Id],H120:AU120,0)))/COUNTIF(H120:AU120,"&lt;&gt;"))</f>
        <v/>
      </c>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83"/>
    </row>
    <row r="121" spans="1:47" ht="60" customHeight="1" x14ac:dyDescent="0.35">
      <c r="A121" s="180" t="s">
        <v>2246</v>
      </c>
      <c r="B121" s="154" t="s">
        <v>2327</v>
      </c>
      <c r="C121" s="155" t="s">
        <v>2329</v>
      </c>
      <c r="D121" s="158" t="s">
        <v>2330</v>
      </c>
      <c r="E121" s="161"/>
      <c r="F121" s="164" t="s">
        <v>21</v>
      </c>
      <c r="G121" s="167" t="str">
        <f>IF(COUNTIF(H121:AU121,"&lt;&gt;")=0,"",SUMPRODUCT(((Recommendations[ImplStatus]="Implemented")+(Recommendations[ImplStatus]="Compensated"))*ISNUMBER(MATCH(Recommendations[Id],H121:AU121,0)))/COUNTIF(H121:AU121,"&lt;&gt;"))</f>
        <v/>
      </c>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84"/>
    </row>
    <row r="122" spans="1:47" ht="60" customHeight="1" x14ac:dyDescent="0.35">
      <c r="A122" s="180" t="s">
        <v>2246</v>
      </c>
      <c r="B122" s="154" t="s">
        <v>2327</v>
      </c>
      <c r="C122" s="155" t="s">
        <v>2331</v>
      </c>
      <c r="D122" s="158" t="s">
        <v>2332</v>
      </c>
      <c r="E122" s="161"/>
      <c r="F122" s="164" t="s">
        <v>21</v>
      </c>
      <c r="G122" s="167" t="str">
        <f>IF(COUNTIF(H122:AU122,"&lt;&gt;")=0,"",SUMPRODUCT(((Recommendations[ImplStatus]="Implemented")+(Recommendations[ImplStatus]="Compensated"))*ISNUMBER(MATCH(Recommendations[Id],H122:AU122,0)))/COUNTIF(H122:AU122,"&lt;&gt;"))</f>
        <v/>
      </c>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84"/>
    </row>
    <row r="123" spans="1:47" ht="60" customHeight="1" x14ac:dyDescent="0.35">
      <c r="A123" s="180" t="s">
        <v>2246</v>
      </c>
      <c r="B123" s="154" t="s">
        <v>2327</v>
      </c>
      <c r="C123" s="155" t="s">
        <v>2333</v>
      </c>
      <c r="D123" s="158" t="s">
        <v>2334</v>
      </c>
      <c r="E123" s="161"/>
      <c r="F123" s="164" t="s">
        <v>21</v>
      </c>
      <c r="G123" s="167" t="str">
        <f>IF(COUNTIF(H123:AU123,"&lt;&gt;")=0,"",SUMPRODUCT(((Recommendations[ImplStatus]="Implemented")+(Recommendations[ImplStatus]="Compensated"))*ISNUMBER(MATCH(Recommendations[Id],H123:AU123,0)))/COUNTIF(H123:AU123,"&lt;&gt;"))</f>
        <v/>
      </c>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84"/>
    </row>
    <row r="124" spans="1:47" ht="60" customHeight="1" x14ac:dyDescent="0.35">
      <c r="A124" s="180" t="s">
        <v>2246</v>
      </c>
      <c r="B124" s="154" t="s">
        <v>2327</v>
      </c>
      <c r="C124" s="155" t="s">
        <v>2335</v>
      </c>
      <c r="D124" s="158" t="s">
        <v>2336</v>
      </c>
      <c r="E124" s="161"/>
      <c r="F124" s="164" t="s">
        <v>21</v>
      </c>
      <c r="G124" s="167" t="str">
        <f>IF(COUNTIF(H124:AU124,"&lt;&gt;")=0,"",SUMPRODUCT(((Recommendations[ImplStatus]="Implemented")+(Recommendations[ImplStatus]="Compensated"))*ISNUMBER(MATCH(Recommendations[Id],H124:AU124,0)))/COUNTIF(H124:AU124,"&lt;&gt;"))</f>
        <v/>
      </c>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84"/>
    </row>
    <row r="125" spans="1:47" ht="60" customHeight="1" x14ac:dyDescent="0.35">
      <c r="A125" s="180" t="s">
        <v>2246</v>
      </c>
      <c r="B125" s="154" t="s">
        <v>2327</v>
      </c>
      <c r="C125" s="155" t="s">
        <v>2337</v>
      </c>
      <c r="D125" s="158" t="s">
        <v>2338</v>
      </c>
      <c r="E125" s="161"/>
      <c r="F125" s="164" t="s">
        <v>21</v>
      </c>
      <c r="G125" s="167" t="str">
        <f>IF(COUNTIF(H125:AU125,"&lt;&gt;")=0,"",SUMPRODUCT(((Recommendations[ImplStatus]="Implemented")+(Recommendations[ImplStatus]="Compensated"))*ISNUMBER(MATCH(Recommendations[Id],H125:AU125,0)))/COUNTIF(H125:AU125,"&lt;&gt;"))</f>
        <v/>
      </c>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84"/>
    </row>
    <row r="126" spans="1:47" ht="60" customHeight="1" x14ac:dyDescent="0.35">
      <c r="A126" s="180" t="s">
        <v>2246</v>
      </c>
      <c r="B126" s="154" t="s">
        <v>2327</v>
      </c>
      <c r="C126" s="155" t="s">
        <v>2339</v>
      </c>
      <c r="D126" s="158" t="s">
        <v>2340</v>
      </c>
      <c r="E126" s="161"/>
      <c r="F126" s="164" t="s">
        <v>21</v>
      </c>
      <c r="G126" s="167" t="str">
        <f>IF(COUNTIF(H126:AU126,"&lt;&gt;")=0,"",SUMPRODUCT(((Recommendations[ImplStatus]="Implemented")+(Recommendations[ImplStatus]="Compensated"))*ISNUMBER(MATCH(Recommendations[Id],H126:AU126,0)))/COUNTIF(H126:AU126,"&lt;&gt;"))</f>
        <v/>
      </c>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84"/>
    </row>
    <row r="127" spans="1:47" ht="60" customHeight="1" x14ac:dyDescent="0.35">
      <c r="A127" s="180" t="s">
        <v>2246</v>
      </c>
      <c r="B127" s="154" t="s">
        <v>2327</v>
      </c>
      <c r="C127" s="155" t="s">
        <v>2341</v>
      </c>
      <c r="D127" s="158" t="s">
        <v>2342</v>
      </c>
      <c r="E127" s="161"/>
      <c r="F127" s="164" t="s">
        <v>21</v>
      </c>
      <c r="G127" s="167" t="str">
        <f>IF(COUNTIF(H127:AU127,"&lt;&gt;")=0,"",SUMPRODUCT(((Recommendations[ImplStatus]="Implemented")+(Recommendations[ImplStatus]="Compensated"))*ISNUMBER(MATCH(Recommendations[Id],H127:AU127,0)))/COUNTIF(H127:AU127,"&lt;&gt;"))</f>
        <v/>
      </c>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84"/>
    </row>
    <row r="128" spans="1:47" ht="60" customHeight="1" x14ac:dyDescent="0.35">
      <c r="A128" s="180" t="s">
        <v>2246</v>
      </c>
      <c r="B128" s="154" t="s">
        <v>2327</v>
      </c>
      <c r="C128" s="155" t="s">
        <v>2343</v>
      </c>
      <c r="D128" s="158" t="s">
        <v>2344</v>
      </c>
      <c r="E128" s="161"/>
      <c r="F128" s="164" t="s">
        <v>21</v>
      </c>
      <c r="G128" s="167" t="str">
        <f>IF(COUNTIF(H128:AU128,"&lt;&gt;")=0,"",SUMPRODUCT(((Recommendations[ImplStatus]="Implemented")+(Recommendations[ImplStatus]="Compensated"))*ISNUMBER(MATCH(Recommendations[Id],H128:AU128,0)))/COUNTIF(H128:AU128,"&lt;&gt;"))</f>
        <v/>
      </c>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84"/>
    </row>
    <row r="129" spans="1:47" ht="60" customHeight="1" x14ac:dyDescent="0.35">
      <c r="A129" s="180" t="s">
        <v>2246</v>
      </c>
      <c r="B129" s="154" t="s">
        <v>2327</v>
      </c>
      <c r="C129" s="155" t="s">
        <v>2345</v>
      </c>
      <c r="D129" s="158" t="s">
        <v>2346</v>
      </c>
      <c r="E129" s="161"/>
      <c r="F129" s="164" t="s">
        <v>21</v>
      </c>
      <c r="G129" s="167" t="str">
        <f>IF(COUNTIF(H129:AU129,"&lt;&gt;")=0,"",SUMPRODUCT(((Recommendations[ImplStatus]="Implemented")+(Recommendations[ImplStatus]="Compensated"))*ISNUMBER(MATCH(Recommendations[Id],H129:AU129,0)))/COUNTIF(H129:AU129,"&lt;&gt;"))</f>
        <v/>
      </c>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84"/>
    </row>
    <row r="130" spans="1:47" ht="60" customHeight="1" x14ac:dyDescent="0.35">
      <c r="A130" s="180" t="s">
        <v>2246</v>
      </c>
      <c r="B130" s="154" t="s">
        <v>2327</v>
      </c>
      <c r="C130" s="155" t="s">
        <v>2347</v>
      </c>
      <c r="D130" s="158" t="s">
        <v>2348</v>
      </c>
      <c r="E130" s="161"/>
      <c r="F130" s="164" t="s">
        <v>21</v>
      </c>
      <c r="G130" s="167" t="str">
        <f>IF(COUNTIF(H130:AU130,"&lt;&gt;")=0,"",SUMPRODUCT(((Recommendations[ImplStatus]="Implemented")+(Recommendations[ImplStatus]="Compensated"))*ISNUMBER(MATCH(Recommendations[Id],H130:AU130,0)))/COUNTIF(H130:AU130,"&lt;&gt;"))</f>
        <v/>
      </c>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84"/>
    </row>
    <row r="131" spans="1:47" ht="60" customHeight="1" x14ac:dyDescent="0.35">
      <c r="A131" s="180" t="s">
        <v>2246</v>
      </c>
      <c r="B131" s="154" t="s">
        <v>2327</v>
      </c>
      <c r="C131" s="155" t="s">
        <v>2349</v>
      </c>
      <c r="D131" s="158" t="s">
        <v>2350</v>
      </c>
      <c r="E131" s="161"/>
      <c r="F131" s="164" t="s">
        <v>21</v>
      </c>
      <c r="G131" s="167" t="str">
        <f>IF(COUNTIF(H131:AU131,"&lt;&gt;")=0,"",SUMPRODUCT(((Recommendations[ImplStatus]="Implemented")+(Recommendations[ImplStatus]="Compensated"))*ISNUMBER(MATCH(Recommendations[Id],H131:AU131,0)))/COUNTIF(H131:AU131,"&lt;&gt;"))</f>
        <v/>
      </c>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84"/>
    </row>
    <row r="132" spans="1:47" ht="60" customHeight="1" x14ac:dyDescent="0.35">
      <c r="A132" s="180" t="s">
        <v>2246</v>
      </c>
      <c r="B132" s="154" t="s">
        <v>2327</v>
      </c>
      <c r="C132" s="155" t="s">
        <v>2351</v>
      </c>
      <c r="D132" s="158" t="s">
        <v>2352</v>
      </c>
      <c r="E132" s="161"/>
      <c r="F132" s="164" t="s">
        <v>21</v>
      </c>
      <c r="G132" s="167" t="str">
        <f>IF(COUNTIF(H132:AU132,"&lt;&gt;")=0,"",SUMPRODUCT(((Recommendations[ImplStatus]="Implemented")+(Recommendations[ImplStatus]="Compensated"))*ISNUMBER(MATCH(Recommendations[Id],H132:AU132,0)))/COUNTIF(H132:AU132,"&lt;&gt;"))</f>
        <v/>
      </c>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84"/>
    </row>
    <row r="133" spans="1:47" ht="60" customHeight="1" outlineLevel="1" x14ac:dyDescent="0.35">
      <c r="A133" s="179" t="s">
        <v>2246</v>
      </c>
      <c r="B133" s="153" t="s">
        <v>2353</v>
      </c>
      <c r="C133" s="151" t="s">
        <v>2354</v>
      </c>
      <c r="D133" s="157" t="s">
        <v>2355</v>
      </c>
      <c r="E133" s="160" t="s">
        <v>21</v>
      </c>
      <c r="F133" s="163" t="s">
        <v>21</v>
      </c>
      <c r="G133" s="166" t="str">
        <f>IF(COUNTIF(H133:AU133,"&lt;&gt;")=0,"",SUMPRODUCT(((Recommendations[ImplStatus]="Implemented")+(Recommendations[ImplStatus]="Compensated"))*ISNUMBER(MATCH(Recommendations[Id],H133:AU133,0)))/COUNTIF(H133:AU133,"&lt;&gt;"))</f>
        <v/>
      </c>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83"/>
    </row>
    <row r="134" spans="1:47" ht="60" customHeight="1" x14ac:dyDescent="0.35">
      <c r="A134" s="180" t="s">
        <v>2246</v>
      </c>
      <c r="B134" s="154" t="s">
        <v>2353</v>
      </c>
      <c r="C134" s="155" t="s">
        <v>2356</v>
      </c>
      <c r="D134" s="158" t="s">
        <v>2357</v>
      </c>
      <c r="E134" s="161" t="s">
        <v>2358</v>
      </c>
      <c r="F134" s="164" t="s">
        <v>2027</v>
      </c>
      <c r="G134" s="167" t="str">
        <f>IF(COUNTIF(H134:AU134,"&lt;&gt;")=0,"",SUMPRODUCT(((Recommendations[ImplStatus]="Implemented")+(Recommendations[ImplStatus]="Compensated"))*ISNUMBER(MATCH(Recommendations[Id],H134:AU134,0)))/COUNTIF(H134:AU134,"&lt;&gt;"))</f>
        <v/>
      </c>
      <c r="H134" s="170"/>
      <c r="I134" s="170"/>
      <c r="J134" s="170"/>
      <c r="K134" s="170"/>
      <c r="L134" s="170"/>
      <c r="M134" s="170"/>
      <c r="N134" s="170"/>
      <c r="O134" s="170"/>
      <c r="P134" s="170"/>
      <c r="Q134" s="170"/>
      <c r="R134" s="170"/>
      <c r="S134" s="170"/>
      <c r="T134" s="170"/>
      <c r="U134" s="170"/>
      <c r="V134" s="170"/>
      <c r="W134" s="170"/>
      <c r="X134" s="170"/>
      <c r="Y134" s="170"/>
      <c r="Z134" s="170"/>
      <c r="AA134" s="170"/>
      <c r="AB134" s="170"/>
      <c r="AC134" s="170"/>
      <c r="AD134" s="170"/>
      <c r="AE134" s="170"/>
      <c r="AF134" s="170"/>
      <c r="AG134" s="170"/>
      <c r="AH134" s="170"/>
      <c r="AI134" s="170"/>
      <c r="AJ134" s="170"/>
      <c r="AK134" s="170"/>
      <c r="AL134" s="170"/>
      <c r="AM134" s="170"/>
      <c r="AN134" s="170"/>
      <c r="AO134" s="170"/>
      <c r="AP134" s="170"/>
      <c r="AQ134" s="170"/>
      <c r="AR134" s="170"/>
      <c r="AS134" s="170"/>
      <c r="AT134" s="170"/>
      <c r="AU134" s="184"/>
    </row>
    <row r="135" spans="1:47" ht="60" customHeight="1" x14ac:dyDescent="0.35">
      <c r="A135" s="180" t="s">
        <v>2246</v>
      </c>
      <c r="B135" s="154" t="s">
        <v>2353</v>
      </c>
      <c r="C135" s="155" t="s">
        <v>2359</v>
      </c>
      <c r="D135" s="158" t="s">
        <v>2360</v>
      </c>
      <c r="E135" s="161" t="s">
        <v>2361</v>
      </c>
      <c r="F135" s="164" t="s">
        <v>2027</v>
      </c>
      <c r="G135" s="167" t="str">
        <f>IF(COUNTIF(H135:AU135,"&lt;&gt;")=0,"",SUMPRODUCT(((Recommendations[ImplStatus]="Implemented")+(Recommendations[ImplStatus]="Compensated"))*ISNUMBER(MATCH(Recommendations[Id],H135:AU135,0)))/COUNTIF(H135:AU135,"&lt;&gt;"))</f>
        <v/>
      </c>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84"/>
    </row>
    <row r="136" spans="1:47" ht="60" customHeight="1" x14ac:dyDescent="0.35">
      <c r="A136" s="180" t="s">
        <v>2246</v>
      </c>
      <c r="B136" s="154" t="s">
        <v>2353</v>
      </c>
      <c r="C136" s="155" t="s">
        <v>2362</v>
      </c>
      <c r="D136" s="158" t="s">
        <v>2363</v>
      </c>
      <c r="E136" s="161" t="s">
        <v>2364</v>
      </c>
      <c r="F136" s="164" t="s">
        <v>2023</v>
      </c>
      <c r="G136" s="167" t="str">
        <f>IF(COUNTIF(H136:AU136,"&lt;&gt;")=0,"",SUMPRODUCT(((Recommendations[ImplStatus]="Implemented")+(Recommendations[ImplStatus]="Compensated"))*ISNUMBER(MATCH(Recommendations[Id],H136:AU136,0)))/COUNTIF(H136:AU136,"&lt;&gt;"))</f>
        <v/>
      </c>
      <c r="H136" s="170"/>
      <c r="I136" s="170"/>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84"/>
    </row>
    <row r="137" spans="1:47" ht="60" customHeight="1" x14ac:dyDescent="0.35">
      <c r="A137" s="180" t="s">
        <v>2246</v>
      </c>
      <c r="B137" s="154" t="s">
        <v>2353</v>
      </c>
      <c r="C137" s="155" t="s">
        <v>2365</v>
      </c>
      <c r="D137" s="158" t="s">
        <v>2366</v>
      </c>
      <c r="E137" s="161" t="s">
        <v>2367</v>
      </c>
      <c r="F137" s="164" t="s">
        <v>21</v>
      </c>
      <c r="G137" s="167" t="str">
        <f>IF(COUNTIF(H137:AU137,"&lt;&gt;")=0,"",SUMPRODUCT(((Recommendations[ImplStatus]="Implemented")+(Recommendations[ImplStatus]="Compensated"))*ISNUMBER(MATCH(Recommendations[Id],H137:AU137,0)))/COUNTIF(H137:AU137,"&lt;&gt;"))</f>
        <v/>
      </c>
      <c r="H137" s="170"/>
      <c r="I137" s="170"/>
      <c r="J137" s="170"/>
      <c r="K137" s="170"/>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84"/>
    </row>
    <row r="138" spans="1:47" ht="60" customHeight="1" outlineLevel="1" x14ac:dyDescent="0.35">
      <c r="A138" s="179" t="s">
        <v>2246</v>
      </c>
      <c r="B138" s="153" t="s">
        <v>1663</v>
      </c>
      <c r="C138" s="151" t="s">
        <v>2368</v>
      </c>
      <c r="D138" s="157"/>
      <c r="E138" s="160" t="s">
        <v>21</v>
      </c>
      <c r="F138" s="163" t="s">
        <v>21</v>
      </c>
      <c r="G138" s="166" t="str">
        <f>IF(COUNTIF(H138:AU138,"&lt;&gt;")=0,"",SUMPRODUCT(((Recommendations[ImplStatus]="Implemented")+(Recommendations[ImplStatus]="Compensated"))*ISNUMBER(MATCH(Recommendations[Id],H138:AU138,0)))/COUNTIF(H138:AU138,"&lt;&gt;"))</f>
        <v/>
      </c>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83"/>
    </row>
    <row r="139" spans="1:47" ht="60" customHeight="1" x14ac:dyDescent="0.35">
      <c r="A139" s="180" t="s">
        <v>2246</v>
      </c>
      <c r="B139" s="154" t="s">
        <v>1663</v>
      </c>
      <c r="C139" s="155" t="s">
        <v>2369</v>
      </c>
      <c r="D139" s="158" t="s">
        <v>2370</v>
      </c>
      <c r="E139" s="161"/>
      <c r="F139" s="164" t="s">
        <v>21</v>
      </c>
      <c r="G139" s="167" t="str">
        <f>IF(COUNTIF(H139:AU139,"&lt;&gt;")=0,"",SUMPRODUCT(((Recommendations[ImplStatus]="Implemented")+(Recommendations[ImplStatus]="Compensated"))*ISNUMBER(MATCH(Recommendations[Id],H139:AU139,0)))/COUNTIF(H139:AU139,"&lt;&gt;"))</f>
        <v/>
      </c>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84"/>
    </row>
    <row r="140" spans="1:47" ht="60" customHeight="1" x14ac:dyDescent="0.35">
      <c r="A140" s="180" t="s">
        <v>2246</v>
      </c>
      <c r="B140" s="154" t="s">
        <v>1663</v>
      </c>
      <c r="C140" s="155" t="s">
        <v>2371</v>
      </c>
      <c r="D140" s="158" t="s">
        <v>2372</v>
      </c>
      <c r="E140" s="161"/>
      <c r="F140" s="164" t="s">
        <v>21</v>
      </c>
      <c r="G140" s="167" t="str">
        <f>IF(COUNTIF(H140:AU140,"&lt;&gt;")=0,"",SUMPRODUCT(((Recommendations[ImplStatus]="Implemented")+(Recommendations[ImplStatus]="Compensated"))*ISNUMBER(MATCH(Recommendations[Id],H140:AU140,0)))/COUNTIF(H140:AU140,"&lt;&gt;"))</f>
        <v/>
      </c>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84"/>
    </row>
    <row r="141" spans="1:47" ht="60" customHeight="1" outlineLevel="1" x14ac:dyDescent="0.35">
      <c r="A141" s="179" t="s">
        <v>2246</v>
      </c>
      <c r="B141" s="153" t="s">
        <v>2373</v>
      </c>
      <c r="C141" s="151" t="s">
        <v>2374</v>
      </c>
      <c r="D141" s="157" t="s">
        <v>2375</v>
      </c>
      <c r="E141" s="160" t="s">
        <v>21</v>
      </c>
      <c r="F141" s="163" t="s">
        <v>21</v>
      </c>
      <c r="G141" s="166" t="str">
        <f>IF(COUNTIF(H141:AU141,"&lt;&gt;")=0,"",SUMPRODUCT(((Recommendations[ImplStatus]="Implemented")+(Recommendations[ImplStatus]="Compensated"))*ISNUMBER(MATCH(Recommendations[Id],H141:AU141,0)))/COUNTIF(H141:AU141,"&lt;&gt;"))</f>
        <v/>
      </c>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83"/>
    </row>
    <row r="142" spans="1:47" ht="60" customHeight="1" x14ac:dyDescent="0.35">
      <c r="A142" s="180" t="s">
        <v>2246</v>
      </c>
      <c r="B142" s="154" t="s">
        <v>2373</v>
      </c>
      <c r="C142" s="155" t="s">
        <v>2376</v>
      </c>
      <c r="D142" s="158" t="s">
        <v>2377</v>
      </c>
      <c r="E142" s="161" t="s">
        <v>2378</v>
      </c>
      <c r="F142" s="164" t="s">
        <v>2023</v>
      </c>
      <c r="G142" s="167" t="str">
        <f>IF(COUNTIF(H142:AU142,"&lt;&gt;")=0,"",SUMPRODUCT(((Recommendations[ImplStatus]="Implemented")+(Recommendations[ImplStatus]="Compensated"))*ISNUMBER(MATCH(Recommendations[Id],H142:AU142,0)))/COUNTIF(H142:AU142,"&lt;&gt;"))</f>
        <v/>
      </c>
      <c r="H142" s="170"/>
      <c r="I142" s="170"/>
      <c r="J142" s="170"/>
      <c r="K142" s="170"/>
      <c r="L142" s="170"/>
      <c r="M142" s="170"/>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0"/>
      <c r="AT142" s="170"/>
      <c r="AU142" s="184"/>
    </row>
    <row r="143" spans="1:47" ht="60" customHeight="1" x14ac:dyDescent="0.35">
      <c r="A143" s="180" t="s">
        <v>2246</v>
      </c>
      <c r="B143" s="154" t="s">
        <v>2373</v>
      </c>
      <c r="C143" s="155" t="s">
        <v>2379</v>
      </c>
      <c r="D143" s="158" t="s">
        <v>2380</v>
      </c>
      <c r="E143" s="161" t="s">
        <v>2381</v>
      </c>
      <c r="F143" s="164" t="s">
        <v>2023</v>
      </c>
      <c r="G143" s="167" t="str">
        <f>IF(COUNTIF(H143:AU143,"&lt;&gt;")=0,"",SUMPRODUCT(((Recommendations[ImplStatus]="Implemented")+(Recommendations[ImplStatus]="Compensated"))*ISNUMBER(MATCH(Recommendations[Id],H143:AU143,0)))/COUNTIF(H143:AU143,"&lt;&gt;"))</f>
        <v/>
      </c>
      <c r="H143" s="170"/>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84"/>
    </row>
    <row r="144" spans="1:47" ht="60" customHeight="1" x14ac:dyDescent="0.35">
      <c r="A144" s="180" t="s">
        <v>2246</v>
      </c>
      <c r="B144" s="154" t="s">
        <v>2373</v>
      </c>
      <c r="C144" s="155" t="s">
        <v>2382</v>
      </c>
      <c r="D144" s="158" t="s">
        <v>2383</v>
      </c>
      <c r="E144" s="161" t="s">
        <v>2384</v>
      </c>
      <c r="F144" s="164" t="s">
        <v>2027</v>
      </c>
      <c r="G144" s="167" t="str">
        <f>IF(COUNTIF(H144:AU144,"&lt;&gt;")=0,"",SUMPRODUCT(((Recommendations[ImplStatus]="Implemented")+(Recommendations[ImplStatus]="Compensated"))*ISNUMBER(MATCH(Recommendations[Id],H144:AU144,0)))/COUNTIF(H144:AU144,"&lt;&gt;"))</f>
        <v/>
      </c>
      <c r="H144" s="170"/>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84"/>
    </row>
    <row r="145" spans="1:47" ht="60" customHeight="1" x14ac:dyDescent="0.35">
      <c r="A145" s="180" t="s">
        <v>2246</v>
      </c>
      <c r="B145" s="154" t="s">
        <v>2373</v>
      </c>
      <c r="C145" s="155" t="s">
        <v>2385</v>
      </c>
      <c r="D145" s="158" t="s">
        <v>2386</v>
      </c>
      <c r="E145" s="161" t="s">
        <v>2387</v>
      </c>
      <c r="F145" s="164" t="s">
        <v>2023</v>
      </c>
      <c r="G145" s="167" t="str">
        <f>IF(COUNTIF(H145:AU145,"&lt;&gt;")=0,"",SUMPRODUCT(((Recommendations[ImplStatus]="Implemented")+(Recommendations[ImplStatus]="Compensated"))*ISNUMBER(MATCH(Recommendations[Id],H145:AU145,0)))/COUNTIF(H145:AU145,"&lt;&gt;"))</f>
        <v/>
      </c>
      <c r="H145" s="170"/>
      <c r="I145" s="170"/>
      <c r="J145" s="170"/>
      <c r="K145" s="170"/>
      <c r="L145" s="170"/>
      <c r="M145" s="170"/>
      <c r="N145" s="170"/>
      <c r="O145" s="170"/>
      <c r="P145" s="170"/>
      <c r="Q145" s="170"/>
      <c r="R145" s="170"/>
      <c r="S145" s="170"/>
      <c r="T145" s="170"/>
      <c r="U145" s="170"/>
      <c r="V145" s="170"/>
      <c r="W145" s="170"/>
      <c r="X145" s="170"/>
      <c r="Y145" s="170"/>
      <c r="Z145" s="170"/>
      <c r="AA145" s="170"/>
      <c r="AB145" s="170"/>
      <c r="AC145" s="170"/>
      <c r="AD145" s="170"/>
      <c r="AE145" s="170"/>
      <c r="AF145" s="170"/>
      <c r="AG145" s="170"/>
      <c r="AH145" s="170"/>
      <c r="AI145" s="170"/>
      <c r="AJ145" s="170"/>
      <c r="AK145" s="170"/>
      <c r="AL145" s="170"/>
      <c r="AM145" s="170"/>
      <c r="AN145" s="170"/>
      <c r="AO145" s="170"/>
      <c r="AP145" s="170"/>
      <c r="AQ145" s="170"/>
      <c r="AR145" s="170"/>
      <c r="AS145" s="170"/>
      <c r="AT145" s="170"/>
      <c r="AU145" s="184"/>
    </row>
    <row r="146" spans="1:47" ht="60" customHeight="1" x14ac:dyDescent="0.35">
      <c r="A146" s="180" t="s">
        <v>2246</v>
      </c>
      <c r="B146" s="154" t="s">
        <v>2373</v>
      </c>
      <c r="C146" s="155" t="s">
        <v>2388</v>
      </c>
      <c r="D146" s="158" t="s">
        <v>2389</v>
      </c>
      <c r="E146" s="161" t="s">
        <v>2390</v>
      </c>
      <c r="F146" s="164" t="s">
        <v>2023</v>
      </c>
      <c r="G146" s="167" t="str">
        <f>IF(COUNTIF(H146:AU146,"&lt;&gt;")=0,"",SUMPRODUCT(((Recommendations[ImplStatus]="Implemented")+(Recommendations[ImplStatus]="Compensated"))*ISNUMBER(MATCH(Recommendations[Id],H146:AU146,0)))/COUNTIF(H146:AU146,"&lt;&gt;"))</f>
        <v/>
      </c>
      <c r="H146" s="170"/>
      <c r="I146" s="170"/>
      <c r="J146" s="170"/>
      <c r="K146" s="170"/>
      <c r="L146" s="170"/>
      <c r="M146" s="170"/>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84"/>
    </row>
    <row r="147" spans="1:47" ht="60" customHeight="1" x14ac:dyDescent="0.35">
      <c r="A147" s="180" t="s">
        <v>2246</v>
      </c>
      <c r="B147" s="154" t="s">
        <v>2373</v>
      </c>
      <c r="C147" s="155" t="s">
        <v>2391</v>
      </c>
      <c r="D147" s="158" t="s">
        <v>2392</v>
      </c>
      <c r="E147" s="161" t="s">
        <v>2393</v>
      </c>
      <c r="F147" s="164" t="s">
        <v>2023</v>
      </c>
      <c r="G147" s="167" t="str">
        <f>IF(COUNTIF(H147:AU147,"&lt;&gt;")=0,"",SUMPRODUCT(((Recommendations[ImplStatus]="Implemented")+(Recommendations[ImplStatus]="Compensated"))*ISNUMBER(MATCH(Recommendations[Id],H147:AU147,0)))/COUNTIF(H147:AU147,"&lt;&gt;"))</f>
        <v/>
      </c>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84"/>
    </row>
    <row r="148" spans="1:47" ht="60" customHeight="1" outlineLevel="1" x14ac:dyDescent="0.35">
      <c r="A148" s="179" t="s">
        <v>2246</v>
      </c>
      <c r="B148" s="153" t="s">
        <v>2394</v>
      </c>
      <c r="C148" s="151" t="s">
        <v>2395</v>
      </c>
      <c r="D148" s="157"/>
      <c r="E148" s="160" t="s">
        <v>21</v>
      </c>
      <c r="F148" s="163" t="s">
        <v>21</v>
      </c>
      <c r="G148" s="166" t="str">
        <f>IF(COUNTIF(H148:AU148,"&lt;&gt;")=0,"",SUMPRODUCT(((Recommendations[ImplStatus]="Implemented")+(Recommendations[ImplStatus]="Compensated"))*ISNUMBER(MATCH(Recommendations[Id],H148:AU148,0)))/COUNTIF(H148:AU148,"&lt;&gt;"))</f>
        <v/>
      </c>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83"/>
    </row>
    <row r="149" spans="1:47" ht="60" customHeight="1" x14ac:dyDescent="0.35">
      <c r="A149" s="180" t="s">
        <v>2246</v>
      </c>
      <c r="B149" s="154" t="s">
        <v>2394</v>
      </c>
      <c r="C149" s="155" t="s">
        <v>2396</v>
      </c>
      <c r="D149" s="158" t="s">
        <v>2397</v>
      </c>
      <c r="E149" s="161"/>
      <c r="F149" s="164" t="s">
        <v>21</v>
      </c>
      <c r="G149" s="167">
        <f>IF(COUNTIF(H149:AU149,"&lt;&gt;")=0,"",SUMPRODUCT(((Recommendations[ImplStatus]="Implemented")+(Recommendations[ImplStatus]="Compensated"))*ISNUMBER(MATCH(Recommendations[Id],H149:AU149,0)))/COUNTIF(H149:AU149,"&lt;&gt;"))</f>
        <v>0</v>
      </c>
      <c r="H149" s="170" t="s">
        <v>25</v>
      </c>
      <c r="I149" s="170"/>
      <c r="J149" s="170"/>
      <c r="K149" s="170"/>
      <c r="L149" s="170"/>
      <c r="M149" s="170"/>
      <c r="N149" s="170"/>
      <c r="O149" s="170"/>
      <c r="P149" s="170"/>
      <c r="Q149" s="170"/>
      <c r="R149" s="170"/>
      <c r="S149" s="170"/>
      <c r="T149" s="170"/>
      <c r="U149" s="170"/>
      <c r="V149" s="170"/>
      <c r="W149" s="170"/>
      <c r="X149" s="170"/>
      <c r="Y149" s="170"/>
      <c r="Z149" s="170"/>
      <c r="AA149" s="170"/>
      <c r="AB149" s="170"/>
      <c r="AC149" s="170"/>
      <c r="AD149" s="170"/>
      <c r="AE149" s="170"/>
      <c r="AF149" s="170"/>
      <c r="AG149" s="170"/>
      <c r="AH149" s="170"/>
      <c r="AI149" s="170"/>
      <c r="AJ149" s="170"/>
      <c r="AK149" s="170"/>
      <c r="AL149" s="170"/>
      <c r="AM149" s="170"/>
      <c r="AN149" s="170"/>
      <c r="AO149" s="170"/>
      <c r="AP149" s="170"/>
      <c r="AQ149" s="170"/>
      <c r="AR149" s="170"/>
      <c r="AS149" s="170"/>
      <c r="AT149" s="170"/>
      <c r="AU149" s="184"/>
    </row>
    <row r="150" spans="1:47" ht="60" customHeight="1" x14ac:dyDescent="0.35">
      <c r="A150" s="180" t="s">
        <v>2246</v>
      </c>
      <c r="B150" s="154" t="s">
        <v>2394</v>
      </c>
      <c r="C150" s="155" t="s">
        <v>2398</v>
      </c>
      <c r="D150" s="158" t="s">
        <v>2399</v>
      </c>
      <c r="E150" s="161"/>
      <c r="F150" s="164" t="s">
        <v>21</v>
      </c>
      <c r="G150" s="167" t="str">
        <f>IF(COUNTIF(H150:AU150,"&lt;&gt;")=0,"",SUMPRODUCT(((Recommendations[ImplStatus]="Implemented")+(Recommendations[ImplStatus]="Compensated"))*ISNUMBER(MATCH(Recommendations[Id],H150:AU150,0)))/COUNTIF(H150:AU150,"&lt;&gt;"))</f>
        <v/>
      </c>
      <c r="H150" s="170"/>
      <c r="I150" s="170"/>
      <c r="J150" s="170"/>
      <c r="K150" s="170"/>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84"/>
    </row>
    <row r="151" spans="1:47" ht="60" customHeight="1" x14ac:dyDescent="0.35">
      <c r="A151" s="180" t="s">
        <v>2246</v>
      </c>
      <c r="B151" s="154" t="s">
        <v>2394</v>
      </c>
      <c r="C151" s="155" t="s">
        <v>2400</v>
      </c>
      <c r="D151" s="158" t="s">
        <v>2401</v>
      </c>
      <c r="E151" s="161"/>
      <c r="F151" s="164" t="s">
        <v>21</v>
      </c>
      <c r="G151" s="167">
        <f>IF(COUNTIF(H151:AU151,"&lt;&gt;")=0,"",SUMPRODUCT(((Recommendations[ImplStatus]="Implemented")+(Recommendations[ImplStatus]="Compensated"))*ISNUMBER(MATCH(Recommendations[Id],H151:AU151,0)))/COUNTIF(H151:AU151,"&lt;&gt;"))</f>
        <v>0</v>
      </c>
      <c r="H151" s="170" t="s">
        <v>67</v>
      </c>
      <c r="I151" s="170" t="s">
        <v>87</v>
      </c>
      <c r="J151" s="170" t="s">
        <v>92</v>
      </c>
      <c r="K151" s="170" t="s">
        <v>114</v>
      </c>
      <c r="L151" s="170" t="s">
        <v>119</v>
      </c>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84"/>
    </row>
    <row r="152" spans="1:47" ht="60" customHeight="1" x14ac:dyDescent="0.35">
      <c r="A152" s="180" t="s">
        <v>2246</v>
      </c>
      <c r="B152" s="154" t="s">
        <v>2394</v>
      </c>
      <c r="C152" s="155" t="s">
        <v>2402</v>
      </c>
      <c r="D152" s="158" t="s">
        <v>2403</v>
      </c>
      <c r="E152" s="161"/>
      <c r="F152" s="164" t="s">
        <v>21</v>
      </c>
      <c r="G152" s="167" t="str">
        <f>IF(COUNTIF(H152:AU152,"&lt;&gt;")=0,"",SUMPRODUCT(((Recommendations[ImplStatus]="Implemented")+(Recommendations[ImplStatus]="Compensated"))*ISNUMBER(MATCH(Recommendations[Id],H152:AU152,0)))/COUNTIF(H152:AU152,"&lt;&gt;"))</f>
        <v/>
      </c>
      <c r="H152" s="170"/>
      <c r="I152" s="170"/>
      <c r="J152" s="170"/>
      <c r="K152" s="170"/>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84"/>
    </row>
    <row r="153" spans="1:47" ht="60" customHeight="1" x14ac:dyDescent="0.35">
      <c r="A153" s="180" t="s">
        <v>2246</v>
      </c>
      <c r="B153" s="154" t="s">
        <v>2394</v>
      </c>
      <c r="C153" s="155" t="s">
        <v>2404</v>
      </c>
      <c r="D153" s="158" t="s">
        <v>2405</v>
      </c>
      <c r="E153" s="161"/>
      <c r="F153" s="164" t="s">
        <v>21</v>
      </c>
      <c r="G153" s="167" t="str">
        <f>IF(COUNTIF(H153:AU153,"&lt;&gt;")=0,"",SUMPRODUCT(((Recommendations[ImplStatus]="Implemented")+(Recommendations[ImplStatus]="Compensated"))*ISNUMBER(MATCH(Recommendations[Id],H153:AU153,0)))/COUNTIF(H153:AU153,"&lt;&gt;"))</f>
        <v/>
      </c>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84"/>
    </row>
    <row r="154" spans="1:47" ht="60" customHeight="1" outlineLevel="1" x14ac:dyDescent="0.35">
      <c r="A154" s="178" t="s">
        <v>2406</v>
      </c>
      <c r="B154" s="152" t="s">
        <v>21</v>
      </c>
      <c r="C154" s="150" t="s">
        <v>2407</v>
      </c>
      <c r="D154" s="156" t="s">
        <v>2408</v>
      </c>
      <c r="E154" s="159" t="s">
        <v>21</v>
      </c>
      <c r="F154" s="162" t="s">
        <v>21</v>
      </c>
      <c r="G154" s="165" t="str">
        <f>IF(COUNTIF(H154:AU154,"&lt;&gt;")=0,"",SUMPRODUCT(((Recommendations[ImplStatus]="Implemented")+(Recommendations[ImplStatus]="Compensated"))*ISNUMBER(MATCH(Recommendations[Id],H154:AU154,0)))/COUNTIF(H154:AU154,"&lt;&gt;"))</f>
        <v/>
      </c>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82"/>
    </row>
    <row r="155" spans="1:47" ht="60" customHeight="1" outlineLevel="1" x14ac:dyDescent="0.35">
      <c r="A155" s="179" t="s">
        <v>2406</v>
      </c>
      <c r="B155" s="153" t="s">
        <v>2409</v>
      </c>
      <c r="C155" s="151" t="s">
        <v>2410</v>
      </c>
      <c r="D155" s="157" t="s">
        <v>2411</v>
      </c>
      <c r="E155" s="160" t="s">
        <v>21</v>
      </c>
      <c r="F155" s="163" t="s">
        <v>21</v>
      </c>
      <c r="G155" s="166" t="str">
        <f>IF(COUNTIF(H155:AU155,"&lt;&gt;")=0,"",SUMPRODUCT(((Recommendations[ImplStatus]="Implemented")+(Recommendations[ImplStatus]="Compensated"))*ISNUMBER(MATCH(Recommendations[Id],H155:AU155,0)))/COUNTIF(H155:AU155,"&lt;&gt;"))</f>
        <v/>
      </c>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83"/>
    </row>
    <row r="156" spans="1:47" ht="60" customHeight="1" x14ac:dyDescent="0.35">
      <c r="A156" s="180" t="s">
        <v>2406</v>
      </c>
      <c r="B156" s="154" t="s">
        <v>2409</v>
      </c>
      <c r="C156" s="155" t="s">
        <v>2412</v>
      </c>
      <c r="D156" s="158" t="s">
        <v>2413</v>
      </c>
      <c r="E156" s="161"/>
      <c r="F156" s="164" t="s">
        <v>21</v>
      </c>
      <c r="G156" s="167" t="str">
        <f>IF(COUNTIF(H156:AU156,"&lt;&gt;")=0,"",SUMPRODUCT(((Recommendations[ImplStatus]="Implemented")+(Recommendations[ImplStatus]="Compensated"))*ISNUMBER(MATCH(Recommendations[Id],H156:AU156,0)))/COUNTIF(H156:AU156,"&lt;&gt;"))</f>
        <v/>
      </c>
      <c r="H156" s="170"/>
      <c r="I156" s="170"/>
      <c r="J156" s="170"/>
      <c r="K156" s="170"/>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0"/>
      <c r="AT156" s="170"/>
      <c r="AU156" s="184"/>
    </row>
    <row r="157" spans="1:47" ht="60" customHeight="1" x14ac:dyDescent="0.35">
      <c r="A157" s="180" t="s">
        <v>2406</v>
      </c>
      <c r="B157" s="154" t="s">
        <v>2409</v>
      </c>
      <c r="C157" s="155" t="s">
        <v>2414</v>
      </c>
      <c r="D157" s="158" t="s">
        <v>2415</v>
      </c>
      <c r="E157" s="161" t="s">
        <v>2416</v>
      </c>
      <c r="F157" s="164" t="s">
        <v>2023</v>
      </c>
      <c r="G157" s="167" t="str">
        <f>IF(COUNTIF(H157:AU157,"&lt;&gt;")=0,"",SUMPRODUCT(((Recommendations[ImplStatus]="Implemented")+(Recommendations[ImplStatus]="Compensated"))*ISNUMBER(MATCH(Recommendations[Id],H157:AU157,0)))/COUNTIF(H157:AU157,"&lt;&gt;"))</f>
        <v/>
      </c>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84"/>
    </row>
    <row r="158" spans="1:47" ht="60" customHeight="1" x14ac:dyDescent="0.35">
      <c r="A158" s="180" t="s">
        <v>2406</v>
      </c>
      <c r="B158" s="154" t="s">
        <v>2409</v>
      </c>
      <c r="C158" s="155" t="s">
        <v>2417</v>
      </c>
      <c r="D158" s="158" t="s">
        <v>2418</v>
      </c>
      <c r="E158" s="161" t="s">
        <v>2419</v>
      </c>
      <c r="F158" s="164" t="s">
        <v>2023</v>
      </c>
      <c r="G158" s="167" t="str">
        <f>IF(COUNTIF(H158:AU158,"&lt;&gt;")=0,"",SUMPRODUCT(((Recommendations[ImplStatus]="Implemented")+(Recommendations[ImplStatus]="Compensated"))*ISNUMBER(MATCH(Recommendations[Id],H158:AU158,0)))/COUNTIF(H158:AU158,"&lt;&gt;"))</f>
        <v/>
      </c>
      <c r="H158" s="170"/>
      <c r="I158" s="170"/>
      <c r="J158" s="170"/>
      <c r="K158" s="170"/>
      <c r="L158" s="170"/>
      <c r="M158" s="170"/>
      <c r="N158" s="170"/>
      <c r="O158" s="170"/>
      <c r="P158" s="170"/>
      <c r="Q158" s="170"/>
      <c r="R158" s="170"/>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184"/>
    </row>
    <row r="159" spans="1:47" ht="60" customHeight="1" x14ac:dyDescent="0.35">
      <c r="A159" s="180" t="s">
        <v>2406</v>
      </c>
      <c r="B159" s="154" t="s">
        <v>2409</v>
      </c>
      <c r="C159" s="155" t="s">
        <v>2420</v>
      </c>
      <c r="D159" s="158" t="s">
        <v>2421</v>
      </c>
      <c r="E159" s="161" t="s">
        <v>2422</v>
      </c>
      <c r="F159" s="164" t="s">
        <v>2023</v>
      </c>
      <c r="G159" s="167" t="str">
        <f>IF(COUNTIF(H159:AU159,"&lt;&gt;")=0,"",SUMPRODUCT(((Recommendations[ImplStatus]="Implemented")+(Recommendations[ImplStatus]="Compensated"))*ISNUMBER(MATCH(Recommendations[Id],H159:AU159,0)))/COUNTIF(H159:AU159,"&lt;&gt;"))</f>
        <v/>
      </c>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84"/>
    </row>
    <row r="160" spans="1:47" ht="60" customHeight="1" x14ac:dyDescent="0.35">
      <c r="A160" s="180" t="s">
        <v>2406</v>
      </c>
      <c r="B160" s="154" t="s">
        <v>2409</v>
      </c>
      <c r="C160" s="155" t="s">
        <v>2423</v>
      </c>
      <c r="D160" s="158" t="s">
        <v>2424</v>
      </c>
      <c r="E160" s="161"/>
      <c r="F160" s="164" t="s">
        <v>21</v>
      </c>
      <c r="G160" s="167" t="str">
        <f>IF(COUNTIF(H160:AU160,"&lt;&gt;")=0,"",SUMPRODUCT(((Recommendations[ImplStatus]="Implemented")+(Recommendations[ImplStatus]="Compensated"))*ISNUMBER(MATCH(Recommendations[Id],H160:AU160,0)))/COUNTIF(H160:AU160,"&lt;&gt;"))</f>
        <v/>
      </c>
      <c r="H160" s="170"/>
      <c r="I160" s="170"/>
      <c r="J160" s="170"/>
      <c r="K160" s="170"/>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0"/>
      <c r="AT160" s="170"/>
      <c r="AU160" s="184"/>
    </row>
    <row r="161" spans="1:47" ht="60" customHeight="1" x14ac:dyDescent="0.35">
      <c r="A161" s="180" t="s">
        <v>2406</v>
      </c>
      <c r="B161" s="154" t="s">
        <v>2409</v>
      </c>
      <c r="C161" s="155" t="s">
        <v>2425</v>
      </c>
      <c r="D161" s="158" t="s">
        <v>2426</v>
      </c>
      <c r="E161" s="161" t="s">
        <v>2427</v>
      </c>
      <c r="F161" s="164" t="s">
        <v>2023</v>
      </c>
      <c r="G161" s="167" t="str">
        <f>IF(COUNTIF(H161:AU161,"&lt;&gt;")=0,"",SUMPRODUCT(((Recommendations[ImplStatus]="Implemented")+(Recommendations[ImplStatus]="Compensated"))*ISNUMBER(MATCH(Recommendations[Id],H161:AU161,0)))/COUNTIF(H161:AU161,"&lt;&gt;"))</f>
        <v/>
      </c>
      <c r="H161" s="170"/>
      <c r="I161" s="170"/>
      <c r="J161" s="170"/>
      <c r="K161" s="170"/>
      <c r="L161" s="170"/>
      <c r="M161" s="170"/>
      <c r="N161" s="170"/>
      <c r="O161" s="170"/>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84"/>
    </row>
    <row r="162" spans="1:47" ht="60" customHeight="1" x14ac:dyDescent="0.35">
      <c r="A162" s="180" t="s">
        <v>2406</v>
      </c>
      <c r="B162" s="154" t="s">
        <v>2409</v>
      </c>
      <c r="C162" s="155" t="s">
        <v>2428</v>
      </c>
      <c r="D162" s="158" t="s">
        <v>2429</v>
      </c>
      <c r="E162" s="161" t="s">
        <v>2430</v>
      </c>
      <c r="F162" s="164" t="s">
        <v>2023</v>
      </c>
      <c r="G162" s="167" t="str">
        <f>IF(COUNTIF(H162:AU162,"&lt;&gt;")=0,"",SUMPRODUCT(((Recommendations[ImplStatus]="Implemented")+(Recommendations[ImplStatus]="Compensated"))*ISNUMBER(MATCH(Recommendations[Id],H162:AU162,0)))/COUNTIF(H162:AU162,"&lt;&gt;"))</f>
        <v/>
      </c>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84"/>
    </row>
    <row r="163" spans="1:47" ht="60" customHeight="1" x14ac:dyDescent="0.35">
      <c r="A163" s="180" t="s">
        <v>2406</v>
      </c>
      <c r="B163" s="154" t="s">
        <v>2409</v>
      </c>
      <c r="C163" s="155" t="s">
        <v>2431</v>
      </c>
      <c r="D163" s="158" t="s">
        <v>2432</v>
      </c>
      <c r="E163" s="161" t="s">
        <v>2433</v>
      </c>
      <c r="F163" s="164" t="s">
        <v>2023</v>
      </c>
      <c r="G163" s="167" t="str">
        <f>IF(COUNTIF(H163:AU163,"&lt;&gt;")=0,"",SUMPRODUCT(((Recommendations[ImplStatus]="Implemented")+(Recommendations[ImplStatus]="Compensated"))*ISNUMBER(MATCH(Recommendations[Id],H163:AU163,0)))/COUNTIF(H163:AU163,"&lt;&gt;"))</f>
        <v/>
      </c>
      <c r="H163" s="170"/>
      <c r="I163" s="170"/>
      <c r="J163" s="170"/>
      <c r="K163" s="170"/>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0"/>
      <c r="AT163" s="170"/>
      <c r="AU163" s="184"/>
    </row>
    <row r="164" spans="1:47" ht="60" customHeight="1" outlineLevel="1" x14ac:dyDescent="0.35">
      <c r="A164" s="179" t="s">
        <v>2406</v>
      </c>
      <c r="B164" s="153" t="s">
        <v>1827</v>
      </c>
      <c r="C164" s="151" t="s">
        <v>2434</v>
      </c>
      <c r="D164" s="157" t="s">
        <v>2435</v>
      </c>
      <c r="E164" s="160" t="s">
        <v>21</v>
      </c>
      <c r="F164" s="163" t="s">
        <v>21</v>
      </c>
      <c r="G164" s="166" t="str">
        <f>IF(COUNTIF(H164:AU164,"&lt;&gt;")=0,"",SUMPRODUCT(((Recommendations[ImplStatus]="Implemented")+(Recommendations[ImplStatus]="Compensated"))*ISNUMBER(MATCH(Recommendations[Id],H164:AU164,0)))/COUNTIF(H164:AU164,"&lt;&gt;"))</f>
        <v/>
      </c>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83"/>
    </row>
    <row r="165" spans="1:47" ht="60" customHeight="1" x14ac:dyDescent="0.35">
      <c r="A165" s="180" t="s">
        <v>2406</v>
      </c>
      <c r="B165" s="154" t="s">
        <v>1827</v>
      </c>
      <c r="C165" s="155" t="s">
        <v>2436</v>
      </c>
      <c r="D165" s="158" t="s">
        <v>2437</v>
      </c>
      <c r="E165" s="161" t="s">
        <v>2438</v>
      </c>
      <c r="F165" s="164" t="s">
        <v>2023</v>
      </c>
      <c r="G165" s="167" t="str">
        <f>IF(COUNTIF(H165:AU165,"&lt;&gt;")=0,"",SUMPRODUCT(((Recommendations[ImplStatus]="Implemented")+(Recommendations[ImplStatus]="Compensated"))*ISNUMBER(MATCH(Recommendations[Id],H165:AU165,0)))/COUNTIF(H165:AU165,"&lt;&gt;"))</f>
        <v/>
      </c>
      <c r="H165" s="170"/>
      <c r="I165" s="170"/>
      <c r="J165" s="170"/>
      <c r="K165" s="170"/>
      <c r="L165" s="170"/>
      <c r="M165" s="170"/>
      <c r="N165" s="170"/>
      <c r="O165" s="170"/>
      <c r="P165" s="170"/>
      <c r="Q165" s="170"/>
      <c r="R165" s="170"/>
      <c r="S165" s="170"/>
      <c r="T165" s="170"/>
      <c r="U165" s="170"/>
      <c r="V165" s="170"/>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84"/>
    </row>
    <row r="166" spans="1:47" ht="60" customHeight="1" x14ac:dyDescent="0.35">
      <c r="A166" s="180" t="s">
        <v>2406</v>
      </c>
      <c r="B166" s="154" t="s">
        <v>1827</v>
      </c>
      <c r="C166" s="155" t="s">
        <v>2439</v>
      </c>
      <c r="D166" s="158" t="s">
        <v>2440</v>
      </c>
      <c r="E166" s="161" t="s">
        <v>2441</v>
      </c>
      <c r="F166" s="164" t="s">
        <v>2023</v>
      </c>
      <c r="G166" s="167" t="str">
        <f>IF(COUNTIF(H166:AU166,"&lt;&gt;")=0,"",SUMPRODUCT(((Recommendations[ImplStatus]="Implemented")+(Recommendations[ImplStatus]="Compensated"))*ISNUMBER(MATCH(Recommendations[Id],H166:AU166,0)))/COUNTIF(H166:AU166,"&lt;&gt;"))</f>
        <v/>
      </c>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84"/>
    </row>
    <row r="167" spans="1:47" ht="60" customHeight="1" x14ac:dyDescent="0.35">
      <c r="A167" s="180" t="s">
        <v>2406</v>
      </c>
      <c r="B167" s="154" t="s">
        <v>1827</v>
      </c>
      <c r="C167" s="155" t="s">
        <v>2442</v>
      </c>
      <c r="D167" s="158" t="s">
        <v>2443</v>
      </c>
      <c r="E167" s="161" t="s">
        <v>2444</v>
      </c>
      <c r="F167" s="164" t="s">
        <v>2023</v>
      </c>
      <c r="G167" s="167" t="str">
        <f>IF(COUNTIF(H167:AU167,"&lt;&gt;")=0,"",SUMPRODUCT(((Recommendations[ImplStatus]="Implemented")+(Recommendations[ImplStatus]="Compensated"))*ISNUMBER(MATCH(Recommendations[Id],H167:AU167,0)))/COUNTIF(H167:AU167,"&lt;&gt;"))</f>
        <v/>
      </c>
      <c r="H167" s="170"/>
      <c r="I167" s="170"/>
      <c r="J167" s="170"/>
      <c r="K167" s="170"/>
      <c r="L167" s="170"/>
      <c r="M167" s="170"/>
      <c r="N167" s="170"/>
      <c r="O167" s="170"/>
      <c r="P167" s="170"/>
      <c r="Q167" s="170"/>
      <c r="R167" s="170"/>
      <c r="S167" s="170"/>
      <c r="T167" s="170"/>
      <c r="U167" s="170"/>
      <c r="V167" s="170"/>
      <c r="W167" s="170"/>
      <c r="X167" s="170"/>
      <c r="Y167" s="170"/>
      <c r="Z167" s="170"/>
      <c r="AA167" s="170"/>
      <c r="AB167" s="170"/>
      <c r="AC167" s="170"/>
      <c r="AD167" s="170"/>
      <c r="AE167" s="170"/>
      <c r="AF167" s="170"/>
      <c r="AG167" s="170"/>
      <c r="AH167" s="170"/>
      <c r="AI167" s="170"/>
      <c r="AJ167" s="170"/>
      <c r="AK167" s="170"/>
      <c r="AL167" s="170"/>
      <c r="AM167" s="170"/>
      <c r="AN167" s="170"/>
      <c r="AO167" s="170"/>
      <c r="AP167" s="170"/>
      <c r="AQ167" s="170"/>
      <c r="AR167" s="170"/>
      <c r="AS167" s="170"/>
      <c r="AT167" s="170"/>
      <c r="AU167" s="184"/>
    </row>
    <row r="168" spans="1:47" ht="60" customHeight="1" x14ac:dyDescent="0.35">
      <c r="A168" s="180" t="s">
        <v>2406</v>
      </c>
      <c r="B168" s="154" t="s">
        <v>1827</v>
      </c>
      <c r="C168" s="155" t="s">
        <v>2445</v>
      </c>
      <c r="D168" s="158" t="s">
        <v>2446</v>
      </c>
      <c r="E168" s="161"/>
      <c r="F168" s="164" t="s">
        <v>21</v>
      </c>
      <c r="G168" s="167" t="str">
        <f>IF(COUNTIF(H168:AU168,"&lt;&gt;")=0,"",SUMPRODUCT(((Recommendations[ImplStatus]="Implemented")+(Recommendations[ImplStatus]="Compensated"))*ISNUMBER(MATCH(Recommendations[Id],H168:AU168,0)))/COUNTIF(H168:AU168,"&lt;&gt;"))</f>
        <v/>
      </c>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84"/>
    </row>
    <row r="169" spans="1:47" ht="60" customHeight="1" x14ac:dyDescent="0.35">
      <c r="A169" s="180" t="s">
        <v>2406</v>
      </c>
      <c r="B169" s="154" t="s">
        <v>1827</v>
      </c>
      <c r="C169" s="155" t="s">
        <v>2447</v>
      </c>
      <c r="D169" s="158" t="s">
        <v>2448</v>
      </c>
      <c r="E169" s="161"/>
      <c r="F169" s="164" t="s">
        <v>21</v>
      </c>
      <c r="G169" s="167" t="str">
        <f>IF(COUNTIF(H169:AU169,"&lt;&gt;")=0,"",SUMPRODUCT(((Recommendations[ImplStatus]="Implemented")+(Recommendations[ImplStatus]="Compensated"))*ISNUMBER(MATCH(Recommendations[Id],H169:AU169,0)))/COUNTIF(H169:AU169,"&lt;&gt;"))</f>
        <v/>
      </c>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84"/>
    </row>
    <row r="170" spans="1:47" ht="60" customHeight="1" x14ac:dyDescent="0.35">
      <c r="A170" s="180" t="s">
        <v>2406</v>
      </c>
      <c r="B170" s="154" t="s">
        <v>1827</v>
      </c>
      <c r="C170" s="155" t="s">
        <v>2449</v>
      </c>
      <c r="D170" s="158" t="s">
        <v>2450</v>
      </c>
      <c r="E170" s="161" t="s">
        <v>2451</v>
      </c>
      <c r="F170" s="164" t="s">
        <v>2037</v>
      </c>
      <c r="G170" s="167" t="str">
        <f>IF(COUNTIF(H170:AU170,"&lt;&gt;")=0,"",SUMPRODUCT(((Recommendations[ImplStatus]="Implemented")+(Recommendations[ImplStatus]="Compensated"))*ISNUMBER(MATCH(Recommendations[Id],H170:AU170,0)))/COUNTIF(H170:AU170,"&lt;&gt;"))</f>
        <v/>
      </c>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84"/>
    </row>
    <row r="171" spans="1:47" ht="60" customHeight="1" x14ac:dyDescent="0.35">
      <c r="A171" s="180" t="s">
        <v>2406</v>
      </c>
      <c r="B171" s="154" t="s">
        <v>1827</v>
      </c>
      <c r="C171" s="155" t="s">
        <v>2452</v>
      </c>
      <c r="D171" s="158" t="s">
        <v>2453</v>
      </c>
      <c r="E171" s="161"/>
      <c r="F171" s="164" t="s">
        <v>21</v>
      </c>
      <c r="G171" s="167" t="str">
        <f>IF(COUNTIF(H171:AU171,"&lt;&gt;")=0,"",SUMPRODUCT(((Recommendations[ImplStatus]="Implemented")+(Recommendations[ImplStatus]="Compensated"))*ISNUMBER(MATCH(Recommendations[Id],H171:AU171,0)))/COUNTIF(H171:AU171,"&lt;&gt;"))</f>
        <v/>
      </c>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84"/>
    </row>
    <row r="172" spans="1:47" ht="60" customHeight="1" x14ac:dyDescent="0.35">
      <c r="A172" s="180" t="s">
        <v>2406</v>
      </c>
      <c r="B172" s="154" t="s">
        <v>1827</v>
      </c>
      <c r="C172" s="155" t="s">
        <v>2454</v>
      </c>
      <c r="D172" s="158" t="s">
        <v>2455</v>
      </c>
      <c r="E172" s="161"/>
      <c r="F172" s="164" t="s">
        <v>21</v>
      </c>
      <c r="G172" s="167" t="str">
        <f>IF(COUNTIF(H172:AU172,"&lt;&gt;")=0,"",SUMPRODUCT(((Recommendations[ImplStatus]="Implemented")+(Recommendations[ImplStatus]="Compensated"))*ISNUMBER(MATCH(Recommendations[Id],H172:AU172,0)))/COUNTIF(H172:AU172,"&lt;&gt;"))</f>
        <v/>
      </c>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84"/>
    </row>
    <row r="173" spans="1:47" ht="60" customHeight="1" x14ac:dyDescent="0.35">
      <c r="A173" s="180" t="s">
        <v>2406</v>
      </c>
      <c r="B173" s="154" t="s">
        <v>1827</v>
      </c>
      <c r="C173" s="155" t="s">
        <v>2456</v>
      </c>
      <c r="D173" s="158" t="s">
        <v>2457</v>
      </c>
      <c r="E173" s="161" t="s">
        <v>2458</v>
      </c>
      <c r="F173" s="164" t="s">
        <v>2023</v>
      </c>
      <c r="G173" s="167" t="str">
        <f>IF(COUNTIF(H173:AU173,"&lt;&gt;")=0,"",SUMPRODUCT(((Recommendations[ImplStatus]="Implemented")+(Recommendations[ImplStatus]="Compensated"))*ISNUMBER(MATCH(Recommendations[Id],H173:AU173,0)))/COUNTIF(H173:AU173,"&lt;&gt;"))</f>
        <v/>
      </c>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84"/>
    </row>
    <row r="174" spans="1:47" ht="60" customHeight="1" outlineLevel="1" x14ac:dyDescent="0.35">
      <c r="A174" s="179" t="s">
        <v>2406</v>
      </c>
      <c r="B174" s="153" t="s">
        <v>2459</v>
      </c>
      <c r="C174" s="151" t="s">
        <v>2460</v>
      </c>
      <c r="D174" s="157"/>
      <c r="E174" s="160" t="s">
        <v>21</v>
      </c>
      <c r="F174" s="163" t="s">
        <v>21</v>
      </c>
      <c r="G174" s="166" t="str">
        <f>IF(COUNTIF(H174:AU174,"&lt;&gt;")=0,"",SUMPRODUCT(((Recommendations[ImplStatus]="Implemented")+(Recommendations[ImplStatus]="Compensated"))*ISNUMBER(MATCH(Recommendations[Id],H174:AU174,0)))/COUNTIF(H174:AU174,"&lt;&gt;"))</f>
        <v/>
      </c>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83"/>
    </row>
    <row r="175" spans="1:47" ht="60" customHeight="1" x14ac:dyDescent="0.35">
      <c r="A175" s="180" t="s">
        <v>2406</v>
      </c>
      <c r="B175" s="154" t="s">
        <v>2459</v>
      </c>
      <c r="C175" s="155" t="s">
        <v>2461</v>
      </c>
      <c r="D175" s="158" t="s">
        <v>2462</v>
      </c>
      <c r="E175" s="161"/>
      <c r="F175" s="164" t="s">
        <v>21</v>
      </c>
      <c r="G175" s="167" t="str">
        <f>IF(COUNTIF(H175:AU175,"&lt;&gt;")=0,"",SUMPRODUCT(((Recommendations[ImplStatus]="Implemented")+(Recommendations[ImplStatus]="Compensated"))*ISNUMBER(MATCH(Recommendations[Id],H175:AU175,0)))/COUNTIF(H175:AU175,"&lt;&gt;"))</f>
        <v/>
      </c>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84"/>
    </row>
    <row r="176" spans="1:47" ht="60" customHeight="1" x14ac:dyDescent="0.35">
      <c r="A176" s="180" t="s">
        <v>2406</v>
      </c>
      <c r="B176" s="154" t="s">
        <v>2459</v>
      </c>
      <c r="C176" s="155" t="s">
        <v>2463</v>
      </c>
      <c r="D176" s="158" t="s">
        <v>2464</v>
      </c>
      <c r="E176" s="161"/>
      <c r="F176" s="164" t="s">
        <v>21</v>
      </c>
      <c r="G176" s="167" t="str">
        <f>IF(COUNTIF(H176:AU176,"&lt;&gt;")=0,"",SUMPRODUCT(((Recommendations[ImplStatus]="Implemented")+(Recommendations[ImplStatus]="Compensated"))*ISNUMBER(MATCH(Recommendations[Id],H176:AU176,0)))/COUNTIF(H176:AU176,"&lt;&gt;"))</f>
        <v/>
      </c>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84"/>
    </row>
    <row r="177" spans="1:47" ht="60" customHeight="1" x14ac:dyDescent="0.35">
      <c r="A177" s="180" t="s">
        <v>2406</v>
      </c>
      <c r="B177" s="154" t="s">
        <v>2459</v>
      </c>
      <c r="C177" s="155" t="s">
        <v>2465</v>
      </c>
      <c r="D177" s="158" t="s">
        <v>2466</v>
      </c>
      <c r="E177" s="161"/>
      <c r="F177" s="164" t="s">
        <v>21</v>
      </c>
      <c r="G177" s="167" t="str">
        <f>IF(COUNTIF(H177:AU177,"&lt;&gt;")=0,"",SUMPRODUCT(((Recommendations[ImplStatus]="Implemented")+(Recommendations[ImplStatus]="Compensated"))*ISNUMBER(MATCH(Recommendations[Id],H177:AU177,0)))/COUNTIF(H177:AU177,"&lt;&gt;"))</f>
        <v/>
      </c>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84"/>
    </row>
    <row r="178" spans="1:47" ht="60" customHeight="1" x14ac:dyDescent="0.35">
      <c r="A178" s="180" t="s">
        <v>2406</v>
      </c>
      <c r="B178" s="154" t="s">
        <v>2459</v>
      </c>
      <c r="C178" s="155" t="s">
        <v>2467</v>
      </c>
      <c r="D178" s="158" t="s">
        <v>2468</v>
      </c>
      <c r="E178" s="161"/>
      <c r="F178" s="164" t="s">
        <v>21</v>
      </c>
      <c r="G178" s="167" t="str">
        <f>IF(COUNTIF(H178:AU178,"&lt;&gt;")=0,"",SUMPRODUCT(((Recommendations[ImplStatus]="Implemented")+(Recommendations[ImplStatus]="Compensated"))*ISNUMBER(MATCH(Recommendations[Id],H178:AU178,0)))/COUNTIF(H178:AU178,"&lt;&gt;"))</f>
        <v/>
      </c>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c r="AS178" s="170"/>
      <c r="AT178" s="170"/>
      <c r="AU178" s="184"/>
    </row>
    <row r="179" spans="1:47" ht="60" customHeight="1" x14ac:dyDescent="0.35">
      <c r="A179" s="180" t="s">
        <v>2406</v>
      </c>
      <c r="B179" s="154" t="s">
        <v>2459</v>
      </c>
      <c r="C179" s="155" t="s">
        <v>2469</v>
      </c>
      <c r="D179" s="158" t="s">
        <v>2470</v>
      </c>
      <c r="E179" s="161"/>
      <c r="F179" s="164" t="s">
        <v>21</v>
      </c>
      <c r="G179" s="167" t="str">
        <f>IF(COUNTIF(H179:AU179,"&lt;&gt;")=0,"",SUMPRODUCT(((Recommendations[ImplStatus]="Implemented")+(Recommendations[ImplStatus]="Compensated"))*ISNUMBER(MATCH(Recommendations[Id],H179:AU179,0)))/COUNTIF(H179:AU179,"&lt;&gt;"))</f>
        <v/>
      </c>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170"/>
      <c r="AU179" s="184"/>
    </row>
    <row r="180" spans="1:47" ht="60" customHeight="1" outlineLevel="1" x14ac:dyDescent="0.35">
      <c r="A180" s="178" t="s">
        <v>2471</v>
      </c>
      <c r="B180" s="152" t="s">
        <v>21</v>
      </c>
      <c r="C180" s="150" t="s">
        <v>2472</v>
      </c>
      <c r="D180" s="156" t="s">
        <v>2473</v>
      </c>
      <c r="E180" s="159" t="s">
        <v>21</v>
      </c>
      <c r="F180" s="162" t="s">
        <v>21</v>
      </c>
      <c r="G180" s="165" t="str">
        <f>IF(COUNTIF(H180:AU180,"&lt;&gt;")=0,"",SUMPRODUCT(((Recommendations[ImplStatus]="Implemented")+(Recommendations[ImplStatus]="Compensated"))*ISNUMBER(MATCH(Recommendations[Id],H180:AU180,0)))/COUNTIF(H180:AU180,"&lt;&gt;"))</f>
        <v/>
      </c>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82"/>
    </row>
    <row r="181" spans="1:47" ht="60" customHeight="1" outlineLevel="1" x14ac:dyDescent="0.35">
      <c r="A181" s="179" t="s">
        <v>2471</v>
      </c>
      <c r="B181" s="153" t="s">
        <v>2474</v>
      </c>
      <c r="C181" s="151" t="s">
        <v>2475</v>
      </c>
      <c r="D181" s="157" t="s">
        <v>2476</v>
      </c>
      <c r="E181" s="160" t="s">
        <v>21</v>
      </c>
      <c r="F181" s="163" t="s">
        <v>21</v>
      </c>
      <c r="G181" s="166" t="str">
        <f>IF(COUNTIF(H181:AU181,"&lt;&gt;")=0,"",SUMPRODUCT(((Recommendations[ImplStatus]="Implemented")+(Recommendations[ImplStatus]="Compensated"))*ISNUMBER(MATCH(Recommendations[Id],H181:AU181,0)))/COUNTIF(H181:AU181,"&lt;&gt;"))</f>
        <v/>
      </c>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83"/>
    </row>
    <row r="182" spans="1:47" ht="60" customHeight="1" x14ac:dyDescent="0.35">
      <c r="A182" s="180" t="s">
        <v>2471</v>
      </c>
      <c r="B182" s="154" t="s">
        <v>2474</v>
      </c>
      <c r="C182" s="155" t="s">
        <v>2477</v>
      </c>
      <c r="D182" s="158" t="s">
        <v>2478</v>
      </c>
      <c r="E182" s="161"/>
      <c r="F182" s="164" t="s">
        <v>21</v>
      </c>
      <c r="G182" s="167" t="str">
        <f>IF(COUNTIF(H182:AU182,"&lt;&gt;")=0,"",SUMPRODUCT(((Recommendations[ImplStatus]="Implemented")+(Recommendations[ImplStatus]="Compensated"))*ISNUMBER(MATCH(Recommendations[Id],H182:AU182,0)))/COUNTIF(H182:AU182,"&lt;&gt;"))</f>
        <v/>
      </c>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84"/>
    </row>
    <row r="183" spans="1:47" ht="60" customHeight="1" x14ac:dyDescent="0.35">
      <c r="A183" s="180" t="s">
        <v>2471</v>
      </c>
      <c r="B183" s="154" t="s">
        <v>2474</v>
      </c>
      <c r="C183" s="155" t="s">
        <v>2479</v>
      </c>
      <c r="D183" s="158" t="s">
        <v>2480</v>
      </c>
      <c r="E183" s="161"/>
      <c r="F183" s="164" t="s">
        <v>21</v>
      </c>
      <c r="G183" s="167" t="str">
        <f>IF(COUNTIF(H183:AU183,"&lt;&gt;")=0,"",SUMPRODUCT(((Recommendations[ImplStatus]="Implemented")+(Recommendations[ImplStatus]="Compensated"))*ISNUMBER(MATCH(Recommendations[Id],H183:AU183,0)))/COUNTIF(H183:AU183,"&lt;&gt;"))</f>
        <v/>
      </c>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c r="AS183" s="170"/>
      <c r="AT183" s="170"/>
      <c r="AU183" s="184"/>
    </row>
    <row r="184" spans="1:47" ht="60" customHeight="1" x14ac:dyDescent="0.35">
      <c r="A184" s="180" t="s">
        <v>2471</v>
      </c>
      <c r="B184" s="154" t="s">
        <v>2474</v>
      </c>
      <c r="C184" s="155" t="s">
        <v>2481</v>
      </c>
      <c r="D184" s="158" t="s">
        <v>2482</v>
      </c>
      <c r="E184" s="161" t="s">
        <v>2483</v>
      </c>
      <c r="F184" s="164" t="s">
        <v>2023</v>
      </c>
      <c r="G184" s="167" t="str">
        <f>IF(COUNTIF(H184:AU184,"&lt;&gt;")=0,"",SUMPRODUCT(((Recommendations[ImplStatus]="Implemented")+(Recommendations[ImplStatus]="Compensated"))*ISNUMBER(MATCH(Recommendations[Id],H184:AU184,0)))/COUNTIF(H184:AU184,"&lt;&gt;"))</f>
        <v/>
      </c>
      <c r="H184" s="170"/>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0"/>
      <c r="AT184" s="170"/>
      <c r="AU184" s="184"/>
    </row>
    <row r="185" spans="1:47" ht="60" customHeight="1" x14ac:dyDescent="0.35">
      <c r="A185" s="180" t="s">
        <v>2471</v>
      </c>
      <c r="B185" s="154" t="s">
        <v>2474</v>
      </c>
      <c r="C185" s="155" t="s">
        <v>2484</v>
      </c>
      <c r="D185" s="158" t="s">
        <v>2485</v>
      </c>
      <c r="E185" s="161"/>
      <c r="F185" s="164" t="s">
        <v>21</v>
      </c>
      <c r="G185" s="167" t="str">
        <f>IF(COUNTIF(H185:AU185,"&lt;&gt;")=0,"",SUMPRODUCT(((Recommendations[ImplStatus]="Implemented")+(Recommendations[ImplStatus]="Compensated"))*ISNUMBER(MATCH(Recommendations[Id],H185:AU185,0)))/COUNTIF(H185:AU185,"&lt;&gt;"))</f>
        <v/>
      </c>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84"/>
    </row>
    <row r="186" spans="1:47" ht="60" customHeight="1" x14ac:dyDescent="0.35">
      <c r="A186" s="180" t="s">
        <v>2471</v>
      </c>
      <c r="B186" s="154" t="s">
        <v>2474</v>
      </c>
      <c r="C186" s="155" t="s">
        <v>2486</v>
      </c>
      <c r="D186" s="158" t="s">
        <v>2487</v>
      </c>
      <c r="E186" s="161"/>
      <c r="F186" s="164" t="s">
        <v>21</v>
      </c>
      <c r="G186" s="167" t="str">
        <f>IF(COUNTIF(H186:AU186,"&lt;&gt;")=0,"",SUMPRODUCT(((Recommendations[ImplStatus]="Implemented")+(Recommendations[ImplStatus]="Compensated"))*ISNUMBER(MATCH(Recommendations[Id],H186:AU186,0)))/COUNTIF(H186:AU186,"&lt;&gt;"))</f>
        <v/>
      </c>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0"/>
      <c r="AT186" s="170"/>
      <c r="AU186" s="184"/>
    </row>
    <row r="187" spans="1:47" ht="60" customHeight="1" x14ac:dyDescent="0.35">
      <c r="A187" s="180" t="s">
        <v>2471</v>
      </c>
      <c r="B187" s="154" t="s">
        <v>2474</v>
      </c>
      <c r="C187" s="155" t="s">
        <v>2488</v>
      </c>
      <c r="D187" s="158" t="s">
        <v>2489</v>
      </c>
      <c r="E187" s="161" t="s">
        <v>2490</v>
      </c>
      <c r="F187" s="164" t="s">
        <v>2023</v>
      </c>
      <c r="G187" s="167" t="str">
        <f>IF(COUNTIF(H187:AU187,"&lt;&gt;")=0,"",SUMPRODUCT(((Recommendations[ImplStatus]="Implemented")+(Recommendations[ImplStatus]="Compensated"))*ISNUMBER(MATCH(Recommendations[Id],H187:AU187,0)))/COUNTIF(H187:AU187,"&lt;&gt;"))</f>
        <v/>
      </c>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84"/>
    </row>
    <row r="188" spans="1:47" ht="60" customHeight="1" x14ac:dyDescent="0.35">
      <c r="A188" s="180" t="s">
        <v>2471</v>
      </c>
      <c r="B188" s="154" t="s">
        <v>2474</v>
      </c>
      <c r="C188" s="155" t="s">
        <v>2491</v>
      </c>
      <c r="D188" s="158" t="s">
        <v>2492</v>
      </c>
      <c r="E188" s="161" t="s">
        <v>2493</v>
      </c>
      <c r="F188" s="164" t="s">
        <v>2023</v>
      </c>
      <c r="G188" s="167" t="str">
        <f>IF(COUNTIF(H188:AU188,"&lt;&gt;")=0,"",SUMPRODUCT(((Recommendations[ImplStatus]="Implemented")+(Recommendations[ImplStatus]="Compensated"))*ISNUMBER(MATCH(Recommendations[Id],H188:AU188,0)))/COUNTIF(H188:AU188,"&lt;&gt;"))</f>
        <v/>
      </c>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84"/>
    </row>
    <row r="189" spans="1:47" ht="60" customHeight="1" x14ac:dyDescent="0.35">
      <c r="A189" s="180" t="s">
        <v>2471</v>
      </c>
      <c r="B189" s="154" t="s">
        <v>2474</v>
      </c>
      <c r="C189" s="155" t="s">
        <v>2494</v>
      </c>
      <c r="D189" s="158" t="s">
        <v>2495</v>
      </c>
      <c r="E189" s="161" t="s">
        <v>2496</v>
      </c>
      <c r="F189" s="164" t="s">
        <v>2023</v>
      </c>
      <c r="G189" s="167" t="str">
        <f>IF(COUNTIF(H189:AU189,"&lt;&gt;")=0,"",SUMPRODUCT(((Recommendations[ImplStatus]="Implemented")+(Recommendations[ImplStatus]="Compensated"))*ISNUMBER(MATCH(Recommendations[Id],H189:AU189,0)))/COUNTIF(H189:AU189,"&lt;&gt;"))</f>
        <v/>
      </c>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84"/>
    </row>
    <row r="190" spans="1:47" ht="60" customHeight="1" outlineLevel="1" x14ac:dyDescent="0.35">
      <c r="A190" s="179" t="s">
        <v>2471</v>
      </c>
      <c r="B190" s="153" t="s">
        <v>2497</v>
      </c>
      <c r="C190" s="151" t="s">
        <v>2498</v>
      </c>
      <c r="D190" s="157" t="s">
        <v>2499</v>
      </c>
      <c r="E190" s="160" t="s">
        <v>21</v>
      </c>
      <c r="F190" s="163" t="s">
        <v>21</v>
      </c>
      <c r="G190" s="166" t="str">
        <f>IF(COUNTIF(H190:AU190,"&lt;&gt;")=0,"",SUMPRODUCT(((Recommendations[ImplStatus]="Implemented")+(Recommendations[ImplStatus]="Compensated"))*ISNUMBER(MATCH(Recommendations[Id],H190:AU190,0)))/COUNTIF(H190:AU190,"&lt;&gt;"))</f>
        <v/>
      </c>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83"/>
    </row>
    <row r="191" spans="1:47" ht="60" customHeight="1" x14ac:dyDescent="0.35">
      <c r="A191" s="180" t="s">
        <v>2471</v>
      </c>
      <c r="B191" s="154" t="s">
        <v>2497</v>
      </c>
      <c r="C191" s="155" t="s">
        <v>2500</v>
      </c>
      <c r="D191" s="158" t="s">
        <v>2501</v>
      </c>
      <c r="E191" s="161"/>
      <c r="F191" s="164" t="s">
        <v>21</v>
      </c>
      <c r="G191" s="167" t="str">
        <f>IF(COUNTIF(H191:AU191,"&lt;&gt;")=0,"",SUMPRODUCT(((Recommendations[ImplStatus]="Implemented")+(Recommendations[ImplStatus]="Compensated"))*ISNUMBER(MATCH(Recommendations[Id],H191:AU191,0)))/COUNTIF(H191:AU191,"&lt;&gt;"))</f>
        <v/>
      </c>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84"/>
    </row>
    <row r="192" spans="1:47" ht="60" customHeight="1" x14ac:dyDescent="0.35">
      <c r="A192" s="180" t="s">
        <v>2471</v>
      </c>
      <c r="B192" s="154" t="s">
        <v>2497</v>
      </c>
      <c r="C192" s="155" t="s">
        <v>2502</v>
      </c>
      <c r="D192" s="158" t="s">
        <v>2503</v>
      </c>
      <c r="E192" s="161" t="s">
        <v>2504</v>
      </c>
      <c r="F192" s="164" t="s">
        <v>2027</v>
      </c>
      <c r="G192" s="167" t="str">
        <f>IF(COUNTIF(H192:AU192,"&lt;&gt;")=0,"",SUMPRODUCT(((Recommendations[ImplStatus]="Implemented")+(Recommendations[ImplStatus]="Compensated"))*ISNUMBER(MATCH(Recommendations[Id],H192:AU192,0)))/COUNTIF(H192:AU192,"&lt;&gt;"))</f>
        <v/>
      </c>
      <c r="H192" s="170"/>
      <c r="I192" s="170"/>
      <c r="J192" s="170"/>
      <c r="K192" s="170"/>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84"/>
    </row>
    <row r="193" spans="1:47" ht="60" customHeight="1" x14ac:dyDescent="0.35">
      <c r="A193" s="180" t="s">
        <v>2471</v>
      </c>
      <c r="B193" s="154" t="s">
        <v>2497</v>
      </c>
      <c r="C193" s="155" t="s">
        <v>2505</v>
      </c>
      <c r="D193" s="158" t="s">
        <v>2506</v>
      </c>
      <c r="E193" s="161" t="s">
        <v>2507</v>
      </c>
      <c r="F193" s="164" t="s">
        <v>2027</v>
      </c>
      <c r="G193" s="167" t="str">
        <f>IF(COUNTIF(H193:AU193,"&lt;&gt;")=0,"",SUMPRODUCT(((Recommendations[ImplStatus]="Implemented")+(Recommendations[ImplStatus]="Compensated"))*ISNUMBER(MATCH(Recommendations[Id],H193:AU193,0)))/COUNTIF(H193:AU193,"&lt;&gt;"))</f>
        <v/>
      </c>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84"/>
    </row>
    <row r="194" spans="1:47" ht="60" customHeight="1" x14ac:dyDescent="0.35">
      <c r="A194" s="180" t="s">
        <v>2471</v>
      </c>
      <c r="B194" s="154" t="s">
        <v>2497</v>
      </c>
      <c r="C194" s="155" t="s">
        <v>2508</v>
      </c>
      <c r="D194" s="158" t="s">
        <v>2509</v>
      </c>
      <c r="E194" s="161"/>
      <c r="F194" s="164" t="s">
        <v>21</v>
      </c>
      <c r="G194" s="167" t="str">
        <f>IF(COUNTIF(H194:AU194,"&lt;&gt;")=0,"",SUMPRODUCT(((Recommendations[ImplStatus]="Implemented")+(Recommendations[ImplStatus]="Compensated"))*ISNUMBER(MATCH(Recommendations[Id],H194:AU194,0)))/COUNTIF(H194:AU194,"&lt;&gt;"))</f>
        <v/>
      </c>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84"/>
    </row>
    <row r="195" spans="1:47" ht="60" customHeight="1" x14ac:dyDescent="0.35">
      <c r="A195" s="180" t="s">
        <v>2471</v>
      </c>
      <c r="B195" s="154" t="s">
        <v>2497</v>
      </c>
      <c r="C195" s="155" t="s">
        <v>2510</v>
      </c>
      <c r="D195" s="158" t="s">
        <v>2511</v>
      </c>
      <c r="E195" s="161"/>
      <c r="F195" s="164" t="s">
        <v>21</v>
      </c>
      <c r="G195" s="167" t="str">
        <f>IF(COUNTIF(H195:AU195,"&lt;&gt;")=0,"",SUMPRODUCT(((Recommendations[ImplStatus]="Implemented")+(Recommendations[ImplStatus]="Compensated"))*ISNUMBER(MATCH(Recommendations[Id],H195:AU195,0)))/COUNTIF(H195:AU195,"&lt;&gt;"))</f>
        <v/>
      </c>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c r="AS195" s="170"/>
      <c r="AT195" s="170"/>
      <c r="AU195" s="184"/>
    </row>
    <row r="196" spans="1:47" ht="60" customHeight="1" outlineLevel="1" x14ac:dyDescent="0.35">
      <c r="A196" s="179" t="s">
        <v>2471</v>
      </c>
      <c r="B196" s="153" t="s">
        <v>2512</v>
      </c>
      <c r="C196" s="151" t="s">
        <v>2513</v>
      </c>
      <c r="D196" s="157"/>
      <c r="E196" s="160" t="s">
        <v>21</v>
      </c>
      <c r="F196" s="163" t="s">
        <v>21</v>
      </c>
      <c r="G196" s="166" t="str">
        <f>IF(COUNTIF(H196:AU196,"&lt;&gt;")=0,"",SUMPRODUCT(((Recommendations[ImplStatus]="Implemented")+(Recommendations[ImplStatus]="Compensated"))*ISNUMBER(MATCH(Recommendations[Id],H196:AU196,0)))/COUNTIF(H196:AU196,"&lt;&gt;"))</f>
        <v/>
      </c>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83"/>
    </row>
    <row r="197" spans="1:47" ht="60" customHeight="1" x14ac:dyDescent="0.35">
      <c r="A197" s="180" t="s">
        <v>2471</v>
      </c>
      <c r="B197" s="154" t="s">
        <v>2512</v>
      </c>
      <c r="C197" s="155" t="s">
        <v>2514</v>
      </c>
      <c r="D197" s="158" t="s">
        <v>2515</v>
      </c>
      <c r="E197" s="161"/>
      <c r="F197" s="164" t="s">
        <v>21</v>
      </c>
      <c r="G197" s="167" t="str">
        <f>IF(COUNTIF(H197:AU197,"&lt;&gt;")=0,"",SUMPRODUCT(((Recommendations[ImplStatus]="Implemented")+(Recommendations[ImplStatus]="Compensated"))*ISNUMBER(MATCH(Recommendations[Id],H197:AU197,0)))/COUNTIF(H197:AU197,"&lt;&gt;"))</f>
        <v/>
      </c>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84"/>
    </row>
    <row r="198" spans="1:47" ht="60" customHeight="1" x14ac:dyDescent="0.35">
      <c r="A198" s="180" t="s">
        <v>2471</v>
      </c>
      <c r="B198" s="154" t="s">
        <v>2512</v>
      </c>
      <c r="C198" s="155" t="s">
        <v>2516</v>
      </c>
      <c r="D198" s="158" t="s">
        <v>2517</v>
      </c>
      <c r="E198" s="161"/>
      <c r="F198" s="164" t="s">
        <v>21</v>
      </c>
      <c r="G198" s="167" t="str">
        <f>IF(COUNTIF(H198:AU198,"&lt;&gt;")=0,"",SUMPRODUCT(((Recommendations[ImplStatus]="Implemented")+(Recommendations[ImplStatus]="Compensated"))*ISNUMBER(MATCH(Recommendations[Id],H198:AU198,0)))/COUNTIF(H198:AU198,"&lt;&gt;"))</f>
        <v/>
      </c>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c r="AS198" s="170"/>
      <c r="AT198" s="170"/>
      <c r="AU198" s="184"/>
    </row>
    <row r="199" spans="1:47" ht="60" customHeight="1" outlineLevel="1" x14ac:dyDescent="0.35">
      <c r="A199" s="179" t="s">
        <v>2471</v>
      </c>
      <c r="B199" s="153" t="s">
        <v>2518</v>
      </c>
      <c r="C199" s="151" t="s">
        <v>2519</v>
      </c>
      <c r="D199" s="157" t="s">
        <v>2520</v>
      </c>
      <c r="E199" s="160" t="s">
        <v>21</v>
      </c>
      <c r="F199" s="163" t="s">
        <v>21</v>
      </c>
      <c r="G199" s="166" t="str">
        <f>IF(COUNTIF(H199:AU199,"&lt;&gt;")=0,"",SUMPRODUCT(((Recommendations[ImplStatus]="Implemented")+(Recommendations[ImplStatus]="Compensated"))*ISNUMBER(MATCH(Recommendations[Id],H199:AU199,0)))/COUNTIF(H199:AU199,"&lt;&gt;"))</f>
        <v/>
      </c>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83"/>
    </row>
    <row r="200" spans="1:47" ht="60" customHeight="1" x14ac:dyDescent="0.35">
      <c r="A200" s="180" t="s">
        <v>2471</v>
      </c>
      <c r="B200" s="154" t="s">
        <v>2518</v>
      </c>
      <c r="C200" s="155" t="s">
        <v>2521</v>
      </c>
      <c r="D200" s="158" t="s">
        <v>2522</v>
      </c>
      <c r="E200" s="161" t="s">
        <v>2523</v>
      </c>
      <c r="F200" s="164" t="s">
        <v>2037</v>
      </c>
      <c r="G200" s="167" t="str">
        <f>IF(COUNTIF(H200:AU200,"&lt;&gt;")=0,"",SUMPRODUCT(((Recommendations[ImplStatus]="Implemented")+(Recommendations[ImplStatus]="Compensated"))*ISNUMBER(MATCH(Recommendations[Id],H200:AU200,0)))/COUNTIF(H200:AU200,"&lt;&gt;"))</f>
        <v/>
      </c>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84"/>
    </row>
    <row r="201" spans="1:47" ht="60" customHeight="1" x14ac:dyDescent="0.35">
      <c r="A201" s="180" t="s">
        <v>2471</v>
      </c>
      <c r="B201" s="154" t="s">
        <v>2518</v>
      </c>
      <c r="C201" s="155" t="s">
        <v>2524</v>
      </c>
      <c r="D201" s="158" t="s">
        <v>2525</v>
      </c>
      <c r="E201" s="161" t="s">
        <v>2526</v>
      </c>
      <c r="F201" s="164" t="s">
        <v>2023</v>
      </c>
      <c r="G201" s="167" t="str">
        <f>IF(COUNTIF(H201:AU201,"&lt;&gt;")=0,"",SUMPRODUCT(((Recommendations[ImplStatus]="Implemented")+(Recommendations[ImplStatus]="Compensated"))*ISNUMBER(MATCH(Recommendations[Id],H201:AU201,0)))/COUNTIF(H201:AU201,"&lt;&gt;"))</f>
        <v/>
      </c>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84"/>
    </row>
    <row r="202" spans="1:47" ht="60" customHeight="1" x14ac:dyDescent="0.35">
      <c r="A202" s="180" t="s">
        <v>2471</v>
      </c>
      <c r="B202" s="154" t="s">
        <v>2518</v>
      </c>
      <c r="C202" s="155" t="s">
        <v>2527</v>
      </c>
      <c r="D202" s="158" t="s">
        <v>2528</v>
      </c>
      <c r="E202" s="161" t="s">
        <v>2529</v>
      </c>
      <c r="F202" s="164" t="s">
        <v>2023</v>
      </c>
      <c r="G202" s="167" t="str">
        <f>IF(COUNTIF(H202:AU202,"&lt;&gt;")=0,"",SUMPRODUCT(((Recommendations[ImplStatus]="Implemented")+(Recommendations[ImplStatus]="Compensated"))*ISNUMBER(MATCH(Recommendations[Id],H202:AU202,0)))/COUNTIF(H202:AU202,"&lt;&gt;"))</f>
        <v/>
      </c>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84"/>
    </row>
    <row r="203" spans="1:47" ht="60" customHeight="1" x14ac:dyDescent="0.35">
      <c r="A203" s="180" t="s">
        <v>2471</v>
      </c>
      <c r="B203" s="154" t="s">
        <v>2518</v>
      </c>
      <c r="C203" s="155" t="s">
        <v>2530</v>
      </c>
      <c r="D203" s="158" t="s">
        <v>2531</v>
      </c>
      <c r="E203" s="161" t="s">
        <v>2532</v>
      </c>
      <c r="F203" s="164" t="s">
        <v>2023</v>
      </c>
      <c r="G203" s="167" t="str">
        <f>IF(COUNTIF(H203:AU203,"&lt;&gt;")=0,"",SUMPRODUCT(((Recommendations[ImplStatus]="Implemented")+(Recommendations[ImplStatus]="Compensated"))*ISNUMBER(MATCH(Recommendations[Id],H203:AU203,0)))/COUNTIF(H203:AU203,"&lt;&gt;"))</f>
        <v/>
      </c>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c r="AS203" s="170"/>
      <c r="AT203" s="170"/>
      <c r="AU203" s="184"/>
    </row>
    <row r="204" spans="1:47" ht="60" customHeight="1" x14ac:dyDescent="0.35">
      <c r="A204" s="180" t="s">
        <v>2471</v>
      </c>
      <c r="B204" s="154" t="s">
        <v>2518</v>
      </c>
      <c r="C204" s="155" t="s">
        <v>2533</v>
      </c>
      <c r="D204" s="158" t="s">
        <v>2534</v>
      </c>
      <c r="E204" s="161" t="s">
        <v>2535</v>
      </c>
      <c r="F204" s="164" t="s">
        <v>2023</v>
      </c>
      <c r="G204" s="167" t="str">
        <f>IF(COUNTIF(H204:AU204,"&lt;&gt;")=0,"",SUMPRODUCT(((Recommendations[ImplStatus]="Implemented")+(Recommendations[ImplStatus]="Compensated"))*ISNUMBER(MATCH(Recommendations[Id],H204:AU204,0)))/COUNTIF(H204:AU204,"&lt;&gt;"))</f>
        <v/>
      </c>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84"/>
    </row>
    <row r="205" spans="1:47" ht="60" customHeight="1" outlineLevel="1" x14ac:dyDescent="0.35">
      <c r="A205" s="179" t="s">
        <v>2471</v>
      </c>
      <c r="B205" s="153" t="s">
        <v>2536</v>
      </c>
      <c r="C205" s="151" t="s">
        <v>2537</v>
      </c>
      <c r="D205" s="157" t="s">
        <v>2538</v>
      </c>
      <c r="E205" s="160" t="s">
        <v>21</v>
      </c>
      <c r="F205" s="163" t="s">
        <v>21</v>
      </c>
      <c r="G205" s="166" t="str">
        <f>IF(COUNTIF(H205:AU205,"&lt;&gt;")=0,"",SUMPRODUCT(((Recommendations[ImplStatus]="Implemented")+(Recommendations[ImplStatus]="Compensated"))*ISNUMBER(MATCH(Recommendations[Id],H205:AU205,0)))/COUNTIF(H205:AU205,"&lt;&gt;"))</f>
        <v/>
      </c>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83"/>
    </row>
    <row r="206" spans="1:47" ht="60" customHeight="1" x14ac:dyDescent="0.35">
      <c r="A206" s="180" t="s">
        <v>2471</v>
      </c>
      <c r="B206" s="154" t="s">
        <v>2536</v>
      </c>
      <c r="C206" s="155" t="s">
        <v>2539</v>
      </c>
      <c r="D206" s="158" t="s">
        <v>2540</v>
      </c>
      <c r="E206" s="161" t="s">
        <v>2541</v>
      </c>
      <c r="F206" s="164" t="s">
        <v>2027</v>
      </c>
      <c r="G206" s="167" t="str">
        <f>IF(COUNTIF(H206:AU206,"&lt;&gt;")=0,"",SUMPRODUCT(((Recommendations[ImplStatus]="Implemented")+(Recommendations[ImplStatus]="Compensated"))*ISNUMBER(MATCH(Recommendations[Id],H206:AU206,0)))/COUNTIF(H206:AU206,"&lt;&gt;"))</f>
        <v/>
      </c>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84"/>
    </row>
    <row r="207" spans="1:47" ht="60" customHeight="1" x14ac:dyDescent="0.35">
      <c r="A207" s="180" t="s">
        <v>2471</v>
      </c>
      <c r="B207" s="154" t="s">
        <v>2536</v>
      </c>
      <c r="C207" s="155" t="s">
        <v>2542</v>
      </c>
      <c r="D207" s="158" t="s">
        <v>2543</v>
      </c>
      <c r="E207" s="161" t="s">
        <v>2544</v>
      </c>
      <c r="F207" s="164" t="s">
        <v>2027</v>
      </c>
      <c r="G207" s="167" t="str">
        <f>IF(COUNTIF(H207:AU207,"&lt;&gt;")=0,"",SUMPRODUCT(((Recommendations[ImplStatus]="Implemented")+(Recommendations[ImplStatus]="Compensated"))*ISNUMBER(MATCH(Recommendations[Id],H207:AU207,0)))/COUNTIF(H207:AU207,"&lt;&gt;"))</f>
        <v/>
      </c>
      <c r="H207" s="170"/>
      <c r="I207" s="170"/>
      <c r="J207" s="170"/>
      <c r="K207" s="170"/>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84"/>
    </row>
    <row r="208" spans="1:47" ht="60" customHeight="1" x14ac:dyDescent="0.35">
      <c r="A208" s="180" t="s">
        <v>2471</v>
      </c>
      <c r="B208" s="154" t="s">
        <v>2536</v>
      </c>
      <c r="C208" s="155" t="s">
        <v>2545</v>
      </c>
      <c r="D208" s="158" t="s">
        <v>2546</v>
      </c>
      <c r="E208" s="161"/>
      <c r="F208" s="164" t="s">
        <v>21</v>
      </c>
      <c r="G208" s="167" t="str">
        <f>IF(COUNTIF(H208:AU208,"&lt;&gt;")=0,"",SUMPRODUCT(((Recommendations[ImplStatus]="Implemented")+(Recommendations[ImplStatus]="Compensated"))*ISNUMBER(MATCH(Recommendations[Id],H208:AU208,0)))/COUNTIF(H208:AU208,"&lt;&gt;"))</f>
        <v/>
      </c>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84"/>
    </row>
    <row r="209" spans="1:47" ht="60" customHeight="1" outlineLevel="1" x14ac:dyDescent="0.35">
      <c r="A209" s="179" t="s">
        <v>2471</v>
      </c>
      <c r="B209" s="153" t="s">
        <v>2547</v>
      </c>
      <c r="C209" s="151" t="s">
        <v>2548</v>
      </c>
      <c r="D209" s="157"/>
      <c r="E209" s="160" t="s">
        <v>21</v>
      </c>
      <c r="F209" s="163" t="s">
        <v>21</v>
      </c>
      <c r="G209" s="166" t="str">
        <f>IF(COUNTIF(H209:AU209,"&lt;&gt;")=0,"",SUMPRODUCT(((Recommendations[ImplStatus]="Implemented")+(Recommendations[ImplStatus]="Compensated"))*ISNUMBER(MATCH(Recommendations[Id],H209:AU209,0)))/COUNTIF(H209:AU209,"&lt;&gt;"))</f>
        <v/>
      </c>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83"/>
    </row>
    <row r="210" spans="1:47" ht="60" customHeight="1" x14ac:dyDescent="0.35">
      <c r="A210" s="180" t="s">
        <v>2471</v>
      </c>
      <c r="B210" s="154" t="s">
        <v>2547</v>
      </c>
      <c r="C210" s="155" t="s">
        <v>2549</v>
      </c>
      <c r="D210" s="158" t="s">
        <v>2550</v>
      </c>
      <c r="E210" s="161"/>
      <c r="F210" s="164" t="s">
        <v>21</v>
      </c>
      <c r="G210" s="167" t="str">
        <f>IF(COUNTIF(H210:AU210,"&lt;&gt;")=0,"",SUMPRODUCT(((Recommendations[ImplStatus]="Implemented")+(Recommendations[ImplStatus]="Compensated"))*ISNUMBER(MATCH(Recommendations[Id],H210:AU210,0)))/COUNTIF(H210:AU210,"&lt;&gt;"))</f>
        <v/>
      </c>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84"/>
    </row>
    <row r="211" spans="1:47" ht="60" customHeight="1" outlineLevel="1" x14ac:dyDescent="0.35">
      <c r="A211" s="178" t="s">
        <v>2551</v>
      </c>
      <c r="B211" s="152" t="s">
        <v>21</v>
      </c>
      <c r="C211" s="150" t="s">
        <v>2552</v>
      </c>
      <c r="D211" s="156" t="s">
        <v>2553</v>
      </c>
      <c r="E211" s="159" t="s">
        <v>21</v>
      </c>
      <c r="F211" s="162" t="s">
        <v>21</v>
      </c>
      <c r="G211" s="165" t="str">
        <f>IF(COUNTIF(H211:AU211,"&lt;&gt;")=0,"",SUMPRODUCT(((Recommendations[ImplStatus]="Implemented")+(Recommendations[ImplStatus]="Compensated"))*ISNUMBER(MATCH(Recommendations[Id],H211:AU211,0)))/COUNTIF(H211:AU211,"&lt;&gt;"))</f>
        <v/>
      </c>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82"/>
    </row>
    <row r="212" spans="1:47" ht="60" customHeight="1" outlineLevel="1" x14ac:dyDescent="0.35">
      <c r="A212" s="179" t="s">
        <v>2551</v>
      </c>
      <c r="B212" s="153" t="s">
        <v>2554</v>
      </c>
      <c r="C212" s="151" t="s">
        <v>2555</v>
      </c>
      <c r="D212" s="157" t="s">
        <v>2556</v>
      </c>
      <c r="E212" s="160" t="s">
        <v>21</v>
      </c>
      <c r="F212" s="163" t="s">
        <v>21</v>
      </c>
      <c r="G212" s="166" t="str">
        <f>IF(COUNTIF(H212:AU212,"&lt;&gt;")=0,"",SUMPRODUCT(((Recommendations[ImplStatus]="Implemented")+(Recommendations[ImplStatus]="Compensated"))*ISNUMBER(MATCH(Recommendations[Id],H212:AU212,0)))/COUNTIF(H212:AU212,"&lt;&gt;"))</f>
        <v/>
      </c>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83"/>
    </row>
    <row r="213" spans="1:47" ht="60" customHeight="1" x14ac:dyDescent="0.35">
      <c r="A213" s="180" t="s">
        <v>2551</v>
      </c>
      <c r="B213" s="154" t="s">
        <v>2554</v>
      </c>
      <c r="C213" s="155" t="s">
        <v>2557</v>
      </c>
      <c r="D213" s="158" t="s">
        <v>2558</v>
      </c>
      <c r="E213" s="161"/>
      <c r="F213" s="164" t="s">
        <v>21</v>
      </c>
      <c r="G213" s="167" t="str">
        <f>IF(COUNTIF(H213:AU213,"&lt;&gt;")=0,"",SUMPRODUCT(((Recommendations[ImplStatus]="Implemented")+(Recommendations[ImplStatus]="Compensated"))*ISNUMBER(MATCH(Recommendations[Id],H213:AU213,0)))/COUNTIF(H213:AU213,"&lt;&gt;"))</f>
        <v/>
      </c>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84"/>
    </row>
    <row r="214" spans="1:47" ht="60" customHeight="1" x14ac:dyDescent="0.35">
      <c r="A214" s="180" t="s">
        <v>2551</v>
      </c>
      <c r="B214" s="154" t="s">
        <v>2554</v>
      </c>
      <c r="C214" s="155" t="s">
        <v>2559</v>
      </c>
      <c r="D214" s="158" t="s">
        <v>2560</v>
      </c>
      <c r="E214" s="161"/>
      <c r="F214" s="164" t="s">
        <v>21</v>
      </c>
      <c r="G214" s="167" t="str">
        <f>IF(COUNTIF(H214:AU214,"&lt;&gt;")=0,"",SUMPRODUCT(((Recommendations[ImplStatus]="Implemented")+(Recommendations[ImplStatus]="Compensated"))*ISNUMBER(MATCH(Recommendations[Id],H214:AU214,0)))/COUNTIF(H214:AU214,"&lt;&gt;"))</f>
        <v/>
      </c>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0"/>
      <c r="AT214" s="170"/>
      <c r="AU214" s="184"/>
    </row>
    <row r="215" spans="1:47" ht="60" customHeight="1" x14ac:dyDescent="0.35">
      <c r="A215" s="180" t="s">
        <v>2551</v>
      </c>
      <c r="B215" s="154" t="s">
        <v>2554</v>
      </c>
      <c r="C215" s="155" t="s">
        <v>2561</v>
      </c>
      <c r="D215" s="158" t="s">
        <v>2562</v>
      </c>
      <c r="E215" s="161" t="s">
        <v>2563</v>
      </c>
      <c r="F215" s="164" t="s">
        <v>2027</v>
      </c>
      <c r="G215" s="167" t="str">
        <f>IF(COUNTIF(H215:AU215,"&lt;&gt;")=0,"",SUMPRODUCT(((Recommendations[ImplStatus]="Implemented")+(Recommendations[ImplStatus]="Compensated"))*ISNUMBER(MATCH(Recommendations[Id],H215:AU215,0)))/COUNTIF(H215:AU215,"&lt;&gt;"))</f>
        <v/>
      </c>
      <c r="H215" s="170"/>
      <c r="I215" s="170"/>
      <c r="J215" s="170"/>
      <c r="K215" s="170"/>
      <c r="L215" s="170"/>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c r="AS215" s="170"/>
      <c r="AT215" s="170"/>
      <c r="AU215" s="184"/>
    </row>
    <row r="216" spans="1:47" ht="60" customHeight="1" x14ac:dyDescent="0.35">
      <c r="A216" s="180" t="s">
        <v>2551</v>
      </c>
      <c r="B216" s="154" t="s">
        <v>2554</v>
      </c>
      <c r="C216" s="155" t="s">
        <v>2564</v>
      </c>
      <c r="D216" s="158" t="s">
        <v>2565</v>
      </c>
      <c r="E216" s="161" t="s">
        <v>2566</v>
      </c>
      <c r="F216" s="164" t="s">
        <v>2023</v>
      </c>
      <c r="G216" s="167" t="str">
        <f>IF(COUNTIF(H216:AU216,"&lt;&gt;")=0,"",SUMPRODUCT(((Recommendations[ImplStatus]="Implemented")+(Recommendations[ImplStatus]="Compensated"))*ISNUMBER(MATCH(Recommendations[Id],H216:AU216,0)))/COUNTIF(H216:AU216,"&lt;&gt;"))</f>
        <v/>
      </c>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84"/>
    </row>
    <row r="217" spans="1:47" ht="60" customHeight="1" outlineLevel="1" x14ac:dyDescent="0.35">
      <c r="A217" s="179" t="s">
        <v>2551</v>
      </c>
      <c r="B217" s="153" t="s">
        <v>2512</v>
      </c>
      <c r="C217" s="151" t="s">
        <v>2567</v>
      </c>
      <c r="D217" s="157"/>
      <c r="E217" s="160" t="s">
        <v>21</v>
      </c>
      <c r="F217" s="163" t="s">
        <v>21</v>
      </c>
      <c r="G217" s="166" t="str">
        <f>IF(COUNTIF(H217:AU217,"&lt;&gt;")=0,"",SUMPRODUCT(((Recommendations[ImplStatus]="Implemented")+(Recommendations[ImplStatus]="Compensated"))*ISNUMBER(MATCH(Recommendations[Id],H217:AU217,0)))/COUNTIF(H217:AU217,"&lt;&gt;"))</f>
        <v/>
      </c>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83"/>
    </row>
    <row r="218" spans="1:47" ht="60" customHeight="1" x14ac:dyDescent="0.35">
      <c r="A218" s="180" t="s">
        <v>2551</v>
      </c>
      <c r="B218" s="154" t="s">
        <v>2512</v>
      </c>
      <c r="C218" s="155" t="s">
        <v>2568</v>
      </c>
      <c r="D218" s="158" t="s">
        <v>2569</v>
      </c>
      <c r="E218" s="161"/>
      <c r="F218" s="164" t="s">
        <v>21</v>
      </c>
      <c r="G218" s="167" t="str">
        <f>IF(COUNTIF(H218:AU218,"&lt;&gt;")=0,"",SUMPRODUCT(((Recommendations[ImplStatus]="Implemented")+(Recommendations[ImplStatus]="Compensated"))*ISNUMBER(MATCH(Recommendations[Id],H218:AU218,0)))/COUNTIF(H218:AU218,"&lt;&gt;"))</f>
        <v/>
      </c>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0"/>
      <c r="AT218" s="170"/>
      <c r="AU218" s="184"/>
    </row>
    <row r="219" spans="1:47" ht="60" customHeight="1" x14ac:dyDescent="0.35">
      <c r="A219" s="180" t="s">
        <v>2551</v>
      </c>
      <c r="B219" s="154" t="s">
        <v>2512</v>
      </c>
      <c r="C219" s="155" t="s">
        <v>2570</v>
      </c>
      <c r="D219" s="158" t="s">
        <v>2571</v>
      </c>
      <c r="E219" s="161"/>
      <c r="F219" s="164" t="s">
        <v>21</v>
      </c>
      <c r="G219" s="167" t="str">
        <f>IF(COUNTIF(H219:AU219,"&lt;&gt;")=0,"",SUMPRODUCT(((Recommendations[ImplStatus]="Implemented")+(Recommendations[ImplStatus]="Compensated"))*ISNUMBER(MATCH(Recommendations[Id],H219:AU219,0)))/COUNTIF(H219:AU219,"&lt;&gt;"))</f>
        <v/>
      </c>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84"/>
    </row>
    <row r="220" spans="1:47" ht="60" customHeight="1" outlineLevel="1" x14ac:dyDescent="0.35">
      <c r="A220" s="179" t="s">
        <v>2551</v>
      </c>
      <c r="B220" s="153" t="s">
        <v>2572</v>
      </c>
      <c r="C220" s="151" t="s">
        <v>2573</v>
      </c>
      <c r="D220" s="157" t="s">
        <v>2574</v>
      </c>
      <c r="E220" s="160" t="s">
        <v>21</v>
      </c>
      <c r="F220" s="163" t="s">
        <v>21</v>
      </c>
      <c r="G220" s="166" t="str">
        <f>IF(COUNTIF(H220:AU220,"&lt;&gt;")=0,"",SUMPRODUCT(((Recommendations[ImplStatus]="Implemented")+(Recommendations[ImplStatus]="Compensated"))*ISNUMBER(MATCH(Recommendations[Id],H220:AU220,0)))/COUNTIF(H220:AU220,"&lt;&gt;"))</f>
        <v/>
      </c>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83"/>
    </row>
    <row r="221" spans="1:47" ht="60" customHeight="1" x14ac:dyDescent="0.35">
      <c r="A221" s="180" t="s">
        <v>2551</v>
      </c>
      <c r="B221" s="154" t="s">
        <v>2572</v>
      </c>
      <c r="C221" s="155" t="s">
        <v>2575</v>
      </c>
      <c r="D221" s="158" t="s">
        <v>2576</v>
      </c>
      <c r="E221" s="161" t="s">
        <v>2577</v>
      </c>
      <c r="F221" s="164" t="s">
        <v>2023</v>
      </c>
      <c r="G221" s="167" t="str">
        <f>IF(COUNTIF(H221:AU221,"&lt;&gt;")=0,"",SUMPRODUCT(((Recommendations[ImplStatus]="Implemented")+(Recommendations[ImplStatus]="Compensated"))*ISNUMBER(MATCH(Recommendations[Id],H221:AU221,0)))/COUNTIF(H221:AU221,"&lt;&gt;"))</f>
        <v/>
      </c>
      <c r="H221" s="170"/>
      <c r="I221" s="170"/>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c r="AS221" s="170"/>
      <c r="AT221" s="170"/>
      <c r="AU221" s="184"/>
    </row>
    <row r="222" spans="1:47" ht="60" customHeight="1" x14ac:dyDescent="0.35">
      <c r="A222" s="180" t="s">
        <v>2551</v>
      </c>
      <c r="B222" s="154" t="s">
        <v>2572</v>
      </c>
      <c r="C222" s="155" t="s">
        <v>2578</v>
      </c>
      <c r="D222" s="158" t="s">
        <v>2579</v>
      </c>
      <c r="E222" s="161" t="s">
        <v>2580</v>
      </c>
      <c r="F222" s="164" t="s">
        <v>2023</v>
      </c>
      <c r="G222" s="167" t="str">
        <f>IF(COUNTIF(H222:AU222,"&lt;&gt;")=0,"",SUMPRODUCT(((Recommendations[ImplStatus]="Implemented")+(Recommendations[ImplStatus]="Compensated"))*ISNUMBER(MATCH(Recommendations[Id],H222:AU222,0)))/COUNTIF(H222:AU222,"&lt;&gt;"))</f>
        <v/>
      </c>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c r="AS222" s="170"/>
      <c r="AT222" s="170"/>
      <c r="AU222" s="184"/>
    </row>
    <row r="223" spans="1:47" ht="60" customHeight="1" x14ac:dyDescent="0.35">
      <c r="A223" s="180" t="s">
        <v>2551</v>
      </c>
      <c r="B223" s="154" t="s">
        <v>2572</v>
      </c>
      <c r="C223" s="155" t="s">
        <v>2581</v>
      </c>
      <c r="D223" s="158" t="s">
        <v>2582</v>
      </c>
      <c r="E223" s="161" t="s">
        <v>2583</v>
      </c>
      <c r="F223" s="164" t="s">
        <v>2023</v>
      </c>
      <c r="G223" s="167" t="str">
        <f>IF(COUNTIF(H223:AU223,"&lt;&gt;")=0,"",SUMPRODUCT(((Recommendations[ImplStatus]="Implemented")+(Recommendations[ImplStatus]="Compensated"))*ISNUMBER(MATCH(Recommendations[Id],H223:AU223,0)))/COUNTIF(H223:AU223,"&lt;&gt;"))</f>
        <v/>
      </c>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84"/>
    </row>
    <row r="224" spans="1:47" ht="60" customHeight="1" x14ac:dyDescent="0.35">
      <c r="A224" s="180" t="s">
        <v>2551</v>
      </c>
      <c r="B224" s="154" t="s">
        <v>2572</v>
      </c>
      <c r="C224" s="155" t="s">
        <v>2584</v>
      </c>
      <c r="D224" s="158" t="s">
        <v>2585</v>
      </c>
      <c r="E224" s="161" t="s">
        <v>2586</v>
      </c>
      <c r="F224" s="164" t="s">
        <v>2023</v>
      </c>
      <c r="G224" s="167" t="str">
        <f>IF(COUNTIF(H224:AU224,"&lt;&gt;")=0,"",SUMPRODUCT(((Recommendations[ImplStatus]="Implemented")+(Recommendations[ImplStatus]="Compensated"))*ISNUMBER(MATCH(Recommendations[Id],H224:AU224,0)))/COUNTIF(H224:AU224,"&lt;&gt;"))</f>
        <v/>
      </c>
      <c r="H224" s="170"/>
      <c r="I224" s="170"/>
      <c r="J224" s="170"/>
      <c r="K224" s="170"/>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84"/>
    </row>
    <row r="225" spans="1:47" ht="60" customHeight="1" x14ac:dyDescent="0.35">
      <c r="A225" s="180" t="s">
        <v>2551</v>
      </c>
      <c r="B225" s="154" t="s">
        <v>2572</v>
      </c>
      <c r="C225" s="155" t="s">
        <v>2587</v>
      </c>
      <c r="D225" s="158" t="s">
        <v>2588</v>
      </c>
      <c r="E225" s="161" t="s">
        <v>2589</v>
      </c>
      <c r="F225" s="164" t="s">
        <v>2023</v>
      </c>
      <c r="G225" s="167" t="str">
        <f>IF(COUNTIF(H225:AU225,"&lt;&gt;")=0,"",SUMPRODUCT(((Recommendations[ImplStatus]="Implemented")+(Recommendations[ImplStatus]="Compensated"))*ISNUMBER(MATCH(Recommendations[Id],H225:AU225,0)))/COUNTIF(H225:AU225,"&lt;&gt;"))</f>
        <v/>
      </c>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84"/>
    </row>
    <row r="226" spans="1:47" ht="60" customHeight="1" x14ac:dyDescent="0.35">
      <c r="A226" s="181" t="s">
        <v>2551</v>
      </c>
      <c r="B226" s="171" t="s">
        <v>2572</v>
      </c>
      <c r="C226" s="172" t="s">
        <v>2590</v>
      </c>
      <c r="D226" s="173" t="s">
        <v>2591</v>
      </c>
      <c r="E226" s="174" t="s">
        <v>2592</v>
      </c>
      <c r="F226" s="175" t="s">
        <v>2023</v>
      </c>
      <c r="G226" s="176" t="str">
        <f>IF(COUNTIF(H226:AU226,"&lt;&gt;")=0,"",SUMPRODUCT(((Recommendations[ImplStatus]="Implemented")+(Recommendations[ImplStatus]="Compensated"))*ISNUMBER(MATCH(Recommendations[Id],H226:AU226,0)))/COUNTIF(H226:AU226,"&lt;&gt;"))</f>
        <v/>
      </c>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85"/>
    </row>
    <row r="230" spans="1:47" ht="32" customHeight="1" x14ac:dyDescent="0.35">
      <c r="A230" s="291" t="s">
        <v>124</v>
      </c>
      <c r="B230" s="291"/>
      <c r="C230" s="291"/>
      <c r="D230" s="291"/>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IFERROR(INDEX('Recommendations'!$H$2:$H$22, MATCH(H2,'Recommendations'!$A$2:$A$22,0))="Implemented", FALSE))</xm:f>
            <x14:dxf>
              <font>
                <color rgb="FF000000"/>
              </font>
              <fill>
                <patternFill>
                  <bgColor rgb="FF3C7D22"/>
                </patternFill>
              </fill>
            </x14:dxf>
          </x14:cfRule>
          <x14:cfRule type="expression" priority="2" id="{00000000-000E-0000-0700-000002000000}">
            <xm:f>AND(H2&lt;&gt;"", IFERROR(INDEX('Recommendations'!$H$2:$H$22, MATCH(H2,'Recommendations'!$A$2:$A$22,0))="Compensated", FALSE))</xm:f>
            <x14:dxf>
              <font>
                <color rgb="FF000000"/>
              </font>
              <fill>
                <patternFill>
                  <bgColor rgb="FFC6E0B4"/>
                </patternFill>
              </fill>
            </x14:dxf>
          </x14:cfRule>
          <x14:cfRule type="expression" priority="3" id="{00000000-000E-0000-0700-000003000000}">
            <xm:f>AND(H2&lt;&gt;"", IFERROR(INDEX('Recommendations'!$H$2:$H$22, MATCH(H2,'Recommendations'!$A$2:$A$22,0))="Testing", FALSE))</xm:f>
            <x14:dxf>
              <font>
                <color rgb="FF000000"/>
              </font>
              <fill>
                <patternFill>
                  <bgColor rgb="FFFFC000"/>
                </patternFill>
              </fill>
            </x14:dxf>
          </x14:cfRule>
          <x14:cfRule type="expression" priority="4" id="{00000000-000E-0000-0700-000004000000}">
            <xm:f>AND(H2&lt;&gt;"", IFERROR(INDEX('Recommendations'!$H$2:$H$22, MATCH(H2,'Recommendations'!$A$2:$A$22,0))="Failed", FALSE))</xm:f>
            <x14:dxf>
              <font>
                <color rgb="FF000000"/>
              </font>
              <fill>
                <patternFill>
                  <bgColor rgb="FFD82891"/>
                </patternFill>
              </fill>
            </x14:dxf>
          </x14:cfRule>
          <x14:cfRule type="expression" priority="5" id="{00000000-000E-0000-0700-000005000000}">
            <xm:f>AND(H2&lt;&gt;"", IFERROR(INDEX('Recommendations'!$H$2:$H$22, MATCH(H2,'Recommendations'!$A$2:$A$22,0))="Risk Accepted", FALSE))</xm:f>
            <x14:dxf>
              <font>
                <color rgb="FF000000"/>
              </font>
              <fill>
                <patternFill>
                  <bgColor rgb="FFD9D9D9"/>
                </patternFill>
              </fill>
            </x14:dxf>
          </x14:cfRule>
          <x14:cfRule type="expression" priority="6" id="{00000000-000E-0000-0700-000006000000}">
            <xm:f>AND(H2&lt;&gt;"", IFERROR(INDEX('Recommendations'!$H$2:$H$22, MATCH(H2,'Recommendations'!$A$2:$A$22,0))="N/A",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9" t="s">
        <v>2010</v>
      </c>
      <c r="B1" s="210" t="s">
        <v>2593</v>
      </c>
      <c r="C1" s="210" t="s">
        <v>2594</v>
      </c>
      <c r="D1" s="210" t="s">
        <v>2595</v>
      </c>
      <c r="E1" s="210" t="s">
        <v>1319</v>
      </c>
      <c r="F1" s="210" t="s">
        <v>378</v>
      </c>
      <c r="G1" s="210" t="s">
        <v>379</v>
      </c>
      <c r="H1" s="210" t="s">
        <v>380</v>
      </c>
      <c r="I1" s="210" t="s">
        <v>381</v>
      </c>
      <c r="J1" s="210" t="s">
        <v>382</v>
      </c>
      <c r="K1" s="210" t="s">
        <v>383</v>
      </c>
      <c r="L1" s="210" t="s">
        <v>384</v>
      </c>
      <c r="M1" s="210" t="s">
        <v>385</v>
      </c>
      <c r="N1" s="210" t="s">
        <v>386</v>
      </c>
      <c r="O1" s="210" t="s">
        <v>387</v>
      </c>
      <c r="P1" s="210" t="s">
        <v>388</v>
      </c>
      <c r="Q1" s="210" t="s">
        <v>389</v>
      </c>
      <c r="R1" s="210" t="s">
        <v>390</v>
      </c>
      <c r="S1" s="210" t="s">
        <v>391</v>
      </c>
      <c r="T1" s="210" t="s">
        <v>392</v>
      </c>
      <c r="U1" s="210" t="s">
        <v>393</v>
      </c>
      <c r="V1" s="210" t="s">
        <v>394</v>
      </c>
      <c r="W1" s="210" t="s">
        <v>395</v>
      </c>
      <c r="X1" s="210" t="s">
        <v>396</v>
      </c>
      <c r="Y1" s="210" t="s">
        <v>397</v>
      </c>
      <c r="Z1" s="210" t="s">
        <v>398</v>
      </c>
      <c r="AA1" s="210" t="s">
        <v>399</v>
      </c>
      <c r="AB1" s="210" t="s">
        <v>400</v>
      </c>
      <c r="AC1" s="210" t="s">
        <v>401</v>
      </c>
      <c r="AD1" s="210" t="s">
        <v>402</v>
      </c>
      <c r="AE1" s="210" t="s">
        <v>403</v>
      </c>
      <c r="AF1" s="210" t="s">
        <v>404</v>
      </c>
      <c r="AG1" s="210" t="s">
        <v>405</v>
      </c>
      <c r="AH1" s="210" t="s">
        <v>406</v>
      </c>
      <c r="AI1" s="210" t="s">
        <v>407</v>
      </c>
      <c r="AJ1" s="210" t="s">
        <v>408</v>
      </c>
      <c r="AK1" s="210" t="s">
        <v>409</v>
      </c>
      <c r="AL1" s="210" t="s">
        <v>410</v>
      </c>
      <c r="AM1" s="210" t="s">
        <v>411</v>
      </c>
      <c r="AN1" s="210" t="s">
        <v>412</v>
      </c>
      <c r="AO1" s="210" t="s">
        <v>413</v>
      </c>
      <c r="AP1" s="210" t="s">
        <v>414</v>
      </c>
      <c r="AQ1" s="210" t="s">
        <v>415</v>
      </c>
      <c r="AR1" s="210" t="s">
        <v>416</v>
      </c>
      <c r="AS1" s="210" t="s">
        <v>417</v>
      </c>
      <c r="AT1" s="211" t="s">
        <v>418</v>
      </c>
    </row>
    <row r="2" spans="1:46" ht="60" customHeight="1" outlineLevel="1" x14ac:dyDescent="0.35">
      <c r="A2" s="203" t="s">
        <v>219</v>
      </c>
      <c r="B2" s="189" t="s">
        <v>2596</v>
      </c>
      <c r="C2" s="189"/>
      <c r="D2" s="192" t="s">
        <v>2597</v>
      </c>
      <c r="E2" s="192"/>
      <c r="F2" s="194" t="str">
        <f>IF(COUNTIF(G2:AT2,"&lt;&gt;")=0,"",SUMPRODUCT(((Recommendations[ImplStatus]="Implemented")+(Recommendations[ImplStatus]="Compensated"))*ISNUMBER(MATCH(Recommendations[Id],G2:AT2,0)))/COUNTIF(G2:AT2,"&lt;&gt;"))</f>
        <v/>
      </c>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206"/>
    </row>
    <row r="3" spans="1:46" ht="60" customHeight="1" x14ac:dyDescent="0.35">
      <c r="A3" s="204" t="s">
        <v>219</v>
      </c>
      <c r="B3" s="190" t="s">
        <v>2596</v>
      </c>
      <c r="C3" s="191" t="s">
        <v>2598</v>
      </c>
      <c r="D3" s="193" t="s">
        <v>2599</v>
      </c>
      <c r="E3" s="193" t="s">
        <v>2600</v>
      </c>
      <c r="F3" s="195" t="str">
        <f>IF(COUNTIF(G3:AT3,"&lt;&gt;")=0,"",SUMPRODUCT(((Recommendations[ImplStatus]="Implemented")+(Recommendations[ImplStatus]="Compensated"))*ISNUMBER(MATCH(Recommendations[Id],G3:AT3,0)))/COUNTIF(G3:AT3,"&lt;&gt;"))</f>
        <v/>
      </c>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207"/>
    </row>
    <row r="4" spans="1:46" ht="60" customHeight="1" x14ac:dyDescent="0.35">
      <c r="A4" s="204" t="s">
        <v>219</v>
      </c>
      <c r="B4" s="190" t="s">
        <v>2596</v>
      </c>
      <c r="C4" s="191" t="s">
        <v>2601</v>
      </c>
      <c r="D4" s="193" t="s">
        <v>2602</v>
      </c>
      <c r="E4" s="193" t="s">
        <v>2603</v>
      </c>
      <c r="F4" s="195" t="str">
        <f>IF(COUNTIF(G4:AT4,"&lt;&gt;")=0,"",SUMPRODUCT(((Recommendations[ImplStatus]="Implemented")+(Recommendations[ImplStatus]="Compensated"))*ISNUMBER(MATCH(Recommendations[Id],G4:AT4,0)))/COUNTIF(G4:AT4,"&lt;&gt;"))</f>
        <v/>
      </c>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207"/>
    </row>
    <row r="5" spans="1:46" ht="60" customHeight="1" x14ac:dyDescent="0.35">
      <c r="A5" s="204" t="s">
        <v>219</v>
      </c>
      <c r="B5" s="190" t="s">
        <v>2596</v>
      </c>
      <c r="C5" s="191" t="s">
        <v>2604</v>
      </c>
      <c r="D5" s="193" t="s">
        <v>2605</v>
      </c>
      <c r="E5" s="193" t="s">
        <v>2606</v>
      </c>
      <c r="F5" s="195" t="str">
        <f>IF(COUNTIF(G5:AT5,"&lt;&gt;")=0,"",SUMPRODUCT(((Recommendations[ImplStatus]="Implemented")+(Recommendations[ImplStatus]="Compensated"))*ISNUMBER(MATCH(Recommendations[Id],G5:AT5,0)))/COUNTIF(G5:AT5,"&lt;&gt;"))</f>
        <v/>
      </c>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207"/>
    </row>
    <row r="6" spans="1:46" ht="60" customHeight="1" x14ac:dyDescent="0.35">
      <c r="A6" s="204" t="s">
        <v>219</v>
      </c>
      <c r="B6" s="190" t="s">
        <v>2596</v>
      </c>
      <c r="C6" s="191" t="s">
        <v>2607</v>
      </c>
      <c r="D6" s="193" t="s">
        <v>2608</v>
      </c>
      <c r="E6" s="193" t="s">
        <v>2609</v>
      </c>
      <c r="F6" s="195" t="str">
        <f>IF(COUNTIF(G6:AT6,"&lt;&gt;")=0,"",SUMPRODUCT(((Recommendations[ImplStatus]="Implemented")+(Recommendations[ImplStatus]="Compensated"))*ISNUMBER(MATCH(Recommendations[Id],G6:AT6,0)))/COUNTIF(G6:AT6,"&lt;&gt;"))</f>
        <v/>
      </c>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207"/>
    </row>
    <row r="7" spans="1:46" ht="60" customHeight="1" x14ac:dyDescent="0.35">
      <c r="A7" s="204" t="s">
        <v>219</v>
      </c>
      <c r="B7" s="190" t="s">
        <v>2596</v>
      </c>
      <c r="C7" s="191" t="s">
        <v>2610</v>
      </c>
      <c r="D7" s="193" t="s">
        <v>2611</v>
      </c>
      <c r="E7" s="193" t="s">
        <v>2612</v>
      </c>
      <c r="F7" s="195" t="str">
        <f>IF(COUNTIF(G7:AT7,"&lt;&gt;")=0,"",SUMPRODUCT(((Recommendations[ImplStatus]="Implemented")+(Recommendations[ImplStatus]="Compensated"))*ISNUMBER(MATCH(Recommendations[Id],G7:AT7,0)))/COUNTIF(G7:AT7,"&lt;&gt;"))</f>
        <v/>
      </c>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207"/>
    </row>
    <row r="8" spans="1:46" ht="60" customHeight="1" x14ac:dyDescent="0.35">
      <c r="A8" s="204" t="s">
        <v>219</v>
      </c>
      <c r="B8" s="190" t="s">
        <v>2596</v>
      </c>
      <c r="C8" s="191" t="s">
        <v>2613</v>
      </c>
      <c r="D8" s="193" t="s">
        <v>2614</v>
      </c>
      <c r="E8" s="193" t="s">
        <v>2615</v>
      </c>
      <c r="F8" s="195" t="str">
        <f>IF(COUNTIF(G8:AT8,"&lt;&gt;")=0,"",SUMPRODUCT(((Recommendations[ImplStatus]="Implemented")+(Recommendations[ImplStatus]="Compensated"))*ISNUMBER(MATCH(Recommendations[Id],G8:AT8,0)))/COUNTIF(G8:AT8,"&lt;&gt;"))</f>
        <v/>
      </c>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207"/>
    </row>
    <row r="9" spans="1:46" ht="60" customHeight="1" x14ac:dyDescent="0.35">
      <c r="A9" s="204" t="s">
        <v>219</v>
      </c>
      <c r="B9" s="190" t="s">
        <v>2596</v>
      </c>
      <c r="C9" s="191" t="s">
        <v>2616</v>
      </c>
      <c r="D9" s="193" t="s">
        <v>2617</v>
      </c>
      <c r="E9" s="193" t="s">
        <v>2618</v>
      </c>
      <c r="F9" s="195" t="str">
        <f>IF(COUNTIF(G9:AT9,"&lt;&gt;")=0,"",SUMPRODUCT(((Recommendations[ImplStatus]="Implemented")+(Recommendations[ImplStatus]="Compensated"))*ISNUMBER(MATCH(Recommendations[Id],G9:AT9,0)))/COUNTIF(G9:AT9,"&lt;&gt;"))</f>
        <v/>
      </c>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207"/>
    </row>
    <row r="10" spans="1:46" ht="60" customHeight="1" x14ac:dyDescent="0.35">
      <c r="A10" s="204" t="s">
        <v>219</v>
      </c>
      <c r="B10" s="190" t="s">
        <v>2596</v>
      </c>
      <c r="C10" s="191" t="s">
        <v>2619</v>
      </c>
      <c r="D10" s="193" t="s">
        <v>2620</v>
      </c>
      <c r="E10" s="193" t="s">
        <v>2621</v>
      </c>
      <c r="F10" s="195" t="str">
        <f>IF(COUNTIF(G10:AT10,"&lt;&gt;")=0,"",SUMPRODUCT(((Recommendations[ImplStatus]="Implemented")+(Recommendations[ImplStatus]="Compensated"))*ISNUMBER(MATCH(Recommendations[Id],G10:AT10,0)))/COUNTIF(G10:AT10,"&lt;&gt;"))</f>
        <v/>
      </c>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207"/>
    </row>
    <row r="11" spans="1:46" ht="60" customHeight="1" x14ac:dyDescent="0.35">
      <c r="A11" s="204" t="s">
        <v>219</v>
      </c>
      <c r="B11" s="190" t="s">
        <v>2596</v>
      </c>
      <c r="C11" s="191" t="s">
        <v>2622</v>
      </c>
      <c r="D11" s="193" t="s">
        <v>2623</v>
      </c>
      <c r="E11" s="193" t="s">
        <v>2624</v>
      </c>
      <c r="F11" s="195" t="str">
        <f>IF(COUNTIF(G11:AT11,"&lt;&gt;")=0,"",SUMPRODUCT(((Recommendations[ImplStatus]="Implemented")+(Recommendations[ImplStatus]="Compensated"))*ISNUMBER(MATCH(Recommendations[Id],G11:AT11,0)))/COUNTIF(G11:AT11,"&lt;&gt;"))</f>
        <v/>
      </c>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207"/>
    </row>
    <row r="12" spans="1:46" ht="60" customHeight="1" x14ac:dyDescent="0.35">
      <c r="A12" s="204" t="s">
        <v>219</v>
      </c>
      <c r="B12" s="190" t="s">
        <v>2596</v>
      </c>
      <c r="C12" s="191" t="s">
        <v>2625</v>
      </c>
      <c r="D12" s="193" t="s">
        <v>2626</v>
      </c>
      <c r="E12" s="193" t="s">
        <v>2627</v>
      </c>
      <c r="F12" s="195" t="str">
        <f>IF(COUNTIF(G12:AT12,"&lt;&gt;")=0,"",SUMPRODUCT(((Recommendations[ImplStatus]="Implemented")+(Recommendations[ImplStatus]="Compensated"))*ISNUMBER(MATCH(Recommendations[Id],G12:AT12,0)))/COUNTIF(G12:AT12,"&lt;&gt;"))</f>
        <v/>
      </c>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207"/>
    </row>
    <row r="13" spans="1:46" ht="60" customHeight="1" x14ac:dyDescent="0.35">
      <c r="A13" s="204" t="s">
        <v>219</v>
      </c>
      <c r="B13" s="190" t="s">
        <v>2596</v>
      </c>
      <c r="C13" s="191" t="s">
        <v>2628</v>
      </c>
      <c r="D13" s="193" t="s">
        <v>2629</v>
      </c>
      <c r="E13" s="193" t="s">
        <v>2630</v>
      </c>
      <c r="F13" s="195" t="str">
        <f>IF(COUNTIF(G13:AT13,"&lt;&gt;")=0,"",SUMPRODUCT(((Recommendations[ImplStatus]="Implemented")+(Recommendations[ImplStatus]="Compensated"))*ISNUMBER(MATCH(Recommendations[Id],G13:AT13,0)))/COUNTIF(G13:AT13,"&lt;&gt;"))</f>
        <v/>
      </c>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207"/>
    </row>
    <row r="14" spans="1:46" ht="60" customHeight="1" x14ac:dyDescent="0.35">
      <c r="A14" s="204" t="s">
        <v>219</v>
      </c>
      <c r="B14" s="190" t="s">
        <v>2596</v>
      </c>
      <c r="C14" s="191" t="s">
        <v>2631</v>
      </c>
      <c r="D14" s="193" t="s">
        <v>2632</v>
      </c>
      <c r="E14" s="193" t="s">
        <v>2633</v>
      </c>
      <c r="F14" s="195" t="str">
        <f>IF(COUNTIF(G14:AT14,"&lt;&gt;")=0,"",SUMPRODUCT(((Recommendations[ImplStatus]="Implemented")+(Recommendations[ImplStatus]="Compensated"))*ISNUMBER(MATCH(Recommendations[Id],G14:AT14,0)))/COUNTIF(G14:AT14,"&lt;&gt;"))</f>
        <v/>
      </c>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207"/>
    </row>
    <row r="15" spans="1:46" ht="60" customHeight="1" x14ac:dyDescent="0.35">
      <c r="A15" s="204" t="s">
        <v>219</v>
      </c>
      <c r="B15" s="190" t="s">
        <v>2596</v>
      </c>
      <c r="C15" s="191" t="s">
        <v>2634</v>
      </c>
      <c r="D15" s="193" t="s">
        <v>2635</v>
      </c>
      <c r="E15" s="193" t="s">
        <v>2636</v>
      </c>
      <c r="F15" s="195" t="str">
        <f>IF(COUNTIF(G15:AT15,"&lt;&gt;")=0,"",SUMPRODUCT(((Recommendations[ImplStatus]="Implemented")+(Recommendations[ImplStatus]="Compensated"))*ISNUMBER(MATCH(Recommendations[Id],G15:AT15,0)))/COUNTIF(G15:AT15,"&lt;&gt;"))</f>
        <v/>
      </c>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207"/>
    </row>
    <row r="16" spans="1:46" ht="60" customHeight="1" x14ac:dyDescent="0.35">
      <c r="A16" s="204" t="s">
        <v>219</v>
      </c>
      <c r="B16" s="190" t="s">
        <v>2596</v>
      </c>
      <c r="C16" s="191" t="s">
        <v>2637</v>
      </c>
      <c r="D16" s="193" t="s">
        <v>2638</v>
      </c>
      <c r="E16" s="193" t="s">
        <v>2639</v>
      </c>
      <c r="F16" s="195" t="str">
        <f>IF(COUNTIF(G16:AT16,"&lt;&gt;")=0,"",SUMPRODUCT(((Recommendations[ImplStatus]="Implemented")+(Recommendations[ImplStatus]="Compensated"))*ISNUMBER(MATCH(Recommendations[Id],G16:AT16,0)))/COUNTIF(G16:AT16,"&lt;&gt;"))</f>
        <v/>
      </c>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207"/>
    </row>
    <row r="17" spans="1:46" ht="60" customHeight="1" x14ac:dyDescent="0.35">
      <c r="A17" s="204" t="s">
        <v>219</v>
      </c>
      <c r="B17" s="190" t="s">
        <v>2596</v>
      </c>
      <c r="C17" s="191" t="s">
        <v>2640</v>
      </c>
      <c r="D17" s="193" t="s">
        <v>2641</v>
      </c>
      <c r="E17" s="193" t="s">
        <v>2642</v>
      </c>
      <c r="F17" s="195" t="str">
        <f>IF(COUNTIF(G17:AT17,"&lt;&gt;")=0,"",SUMPRODUCT(((Recommendations[ImplStatus]="Implemented")+(Recommendations[ImplStatus]="Compensated"))*ISNUMBER(MATCH(Recommendations[Id],G17:AT17,0)))/COUNTIF(G17:AT17,"&lt;&gt;"))</f>
        <v/>
      </c>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207"/>
    </row>
    <row r="18" spans="1:46" ht="60" customHeight="1" x14ac:dyDescent="0.35">
      <c r="A18" s="204" t="s">
        <v>219</v>
      </c>
      <c r="B18" s="190" t="s">
        <v>2596</v>
      </c>
      <c r="C18" s="191" t="s">
        <v>2643</v>
      </c>
      <c r="D18" s="193" t="s">
        <v>2644</v>
      </c>
      <c r="E18" s="193" t="s">
        <v>2645</v>
      </c>
      <c r="F18" s="195" t="str">
        <f>IF(COUNTIF(G18:AT18,"&lt;&gt;")=0,"",SUMPRODUCT(((Recommendations[ImplStatus]="Implemented")+(Recommendations[ImplStatus]="Compensated"))*ISNUMBER(MATCH(Recommendations[Id],G18:AT18,0)))/COUNTIF(G18:AT18,"&lt;&gt;"))</f>
        <v/>
      </c>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207"/>
    </row>
    <row r="19" spans="1:46" ht="60" customHeight="1" outlineLevel="1" x14ac:dyDescent="0.35">
      <c r="A19" s="203" t="s">
        <v>219</v>
      </c>
      <c r="B19" s="189" t="s">
        <v>2646</v>
      </c>
      <c r="C19" s="189"/>
      <c r="D19" s="192" t="s">
        <v>2647</v>
      </c>
      <c r="E19" s="192"/>
      <c r="F19" s="194" t="str">
        <f>IF(COUNTIF(G19:AT19,"&lt;&gt;")=0,"",SUMPRODUCT(((Recommendations[ImplStatus]="Implemented")+(Recommendations[ImplStatus]="Compensated"))*ISNUMBER(MATCH(Recommendations[Id],G19:AT19,0)))/COUNTIF(G19:AT19,"&lt;&gt;"))</f>
        <v/>
      </c>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206"/>
    </row>
    <row r="20" spans="1:46" ht="60" customHeight="1" x14ac:dyDescent="0.35">
      <c r="A20" s="204" t="s">
        <v>219</v>
      </c>
      <c r="B20" s="190" t="s">
        <v>2646</v>
      </c>
      <c r="C20" s="191" t="s">
        <v>2648</v>
      </c>
      <c r="D20" s="193" t="s">
        <v>2649</v>
      </c>
      <c r="E20" s="193" t="s">
        <v>2650</v>
      </c>
      <c r="F20" s="195" t="str">
        <f>IF(COUNTIF(G20:AT20,"&lt;&gt;")=0,"",SUMPRODUCT(((Recommendations[ImplStatus]="Implemented")+(Recommendations[ImplStatus]="Compensated"))*ISNUMBER(MATCH(Recommendations[Id],G20:AT20,0)))/COUNTIF(G20:AT20,"&lt;&gt;"))</f>
        <v/>
      </c>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207"/>
    </row>
    <row r="21" spans="1:46" ht="60" customHeight="1" x14ac:dyDescent="0.35">
      <c r="A21" s="204" t="s">
        <v>219</v>
      </c>
      <c r="B21" s="190" t="s">
        <v>2646</v>
      </c>
      <c r="C21" s="191" t="s">
        <v>2651</v>
      </c>
      <c r="D21" s="193" t="s">
        <v>2652</v>
      </c>
      <c r="E21" s="193" t="s">
        <v>2653</v>
      </c>
      <c r="F21" s="195" t="str">
        <f>IF(COUNTIF(G21:AT21,"&lt;&gt;")=0,"",SUMPRODUCT(((Recommendations[ImplStatus]="Implemented")+(Recommendations[ImplStatus]="Compensated"))*ISNUMBER(MATCH(Recommendations[Id],G21:AT21,0)))/COUNTIF(G21:AT21,"&lt;&gt;"))</f>
        <v/>
      </c>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207"/>
    </row>
    <row r="22" spans="1:46" ht="60" customHeight="1" x14ac:dyDescent="0.35">
      <c r="A22" s="204" t="s">
        <v>219</v>
      </c>
      <c r="B22" s="190" t="s">
        <v>2646</v>
      </c>
      <c r="C22" s="191" t="s">
        <v>2654</v>
      </c>
      <c r="D22" s="193" t="s">
        <v>2655</v>
      </c>
      <c r="E22" s="193" t="s">
        <v>2656</v>
      </c>
      <c r="F22" s="195" t="str">
        <f>IF(COUNTIF(G22:AT22,"&lt;&gt;")=0,"",SUMPRODUCT(((Recommendations[ImplStatus]="Implemented")+(Recommendations[ImplStatus]="Compensated"))*ISNUMBER(MATCH(Recommendations[Id],G22:AT22,0)))/COUNTIF(G22:AT22,"&lt;&gt;"))</f>
        <v/>
      </c>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207"/>
    </row>
    <row r="23" spans="1:46" ht="60" customHeight="1" x14ac:dyDescent="0.35">
      <c r="A23" s="204" t="s">
        <v>219</v>
      </c>
      <c r="B23" s="190" t="s">
        <v>2646</v>
      </c>
      <c r="C23" s="191" t="s">
        <v>2657</v>
      </c>
      <c r="D23" s="193" t="s">
        <v>2658</v>
      </c>
      <c r="E23" s="193" t="s">
        <v>2659</v>
      </c>
      <c r="F23" s="195" t="str">
        <f>IF(COUNTIF(G23:AT23,"&lt;&gt;")=0,"",SUMPRODUCT(((Recommendations[ImplStatus]="Implemented")+(Recommendations[ImplStatus]="Compensated"))*ISNUMBER(MATCH(Recommendations[Id],G23:AT23,0)))/COUNTIF(G23:AT23,"&lt;&gt;"))</f>
        <v/>
      </c>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207"/>
    </row>
    <row r="24" spans="1:46" ht="60" customHeight="1" x14ac:dyDescent="0.35">
      <c r="A24" s="204" t="s">
        <v>219</v>
      </c>
      <c r="B24" s="190" t="s">
        <v>2646</v>
      </c>
      <c r="C24" s="191" t="s">
        <v>2660</v>
      </c>
      <c r="D24" s="193" t="s">
        <v>2661</v>
      </c>
      <c r="E24" s="193" t="s">
        <v>2662</v>
      </c>
      <c r="F24" s="195" t="str">
        <f>IF(COUNTIF(G24:AT24,"&lt;&gt;")=0,"",SUMPRODUCT(((Recommendations[ImplStatus]="Implemented")+(Recommendations[ImplStatus]="Compensated"))*ISNUMBER(MATCH(Recommendations[Id],G24:AT24,0)))/COUNTIF(G24:AT24,"&lt;&gt;"))</f>
        <v/>
      </c>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207"/>
    </row>
    <row r="25" spans="1:46" ht="60" customHeight="1" x14ac:dyDescent="0.35">
      <c r="A25" s="204" t="s">
        <v>219</v>
      </c>
      <c r="B25" s="190" t="s">
        <v>2646</v>
      </c>
      <c r="C25" s="191" t="s">
        <v>2663</v>
      </c>
      <c r="D25" s="193" t="s">
        <v>2664</v>
      </c>
      <c r="E25" s="193" t="s">
        <v>2665</v>
      </c>
      <c r="F25" s="195" t="str">
        <f>IF(COUNTIF(G25:AT25,"&lt;&gt;")=0,"",SUMPRODUCT(((Recommendations[ImplStatus]="Implemented")+(Recommendations[ImplStatus]="Compensated"))*ISNUMBER(MATCH(Recommendations[Id],G25:AT25,0)))/COUNTIF(G25:AT25,"&lt;&gt;"))</f>
        <v/>
      </c>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207"/>
    </row>
    <row r="26" spans="1:46" ht="60" customHeight="1" x14ac:dyDescent="0.35">
      <c r="A26" s="204" t="s">
        <v>219</v>
      </c>
      <c r="B26" s="190" t="s">
        <v>2646</v>
      </c>
      <c r="C26" s="191" t="s">
        <v>2666</v>
      </c>
      <c r="D26" s="193" t="s">
        <v>2667</v>
      </c>
      <c r="E26" s="193" t="s">
        <v>2668</v>
      </c>
      <c r="F26" s="195" t="str">
        <f>IF(COUNTIF(G26:AT26,"&lt;&gt;")=0,"",SUMPRODUCT(((Recommendations[ImplStatus]="Implemented")+(Recommendations[ImplStatus]="Compensated"))*ISNUMBER(MATCH(Recommendations[Id],G26:AT26,0)))/COUNTIF(G26:AT26,"&lt;&gt;"))</f>
        <v/>
      </c>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207"/>
    </row>
    <row r="27" spans="1:46" ht="60" customHeight="1" x14ac:dyDescent="0.35">
      <c r="A27" s="204" t="s">
        <v>219</v>
      </c>
      <c r="B27" s="190" t="s">
        <v>2646</v>
      </c>
      <c r="C27" s="191" t="s">
        <v>2669</v>
      </c>
      <c r="D27" s="193" t="s">
        <v>2670</v>
      </c>
      <c r="E27" s="193" t="s">
        <v>2671</v>
      </c>
      <c r="F27" s="195" t="str">
        <f>IF(COUNTIF(G27:AT27,"&lt;&gt;")=0,"",SUMPRODUCT(((Recommendations[ImplStatus]="Implemented")+(Recommendations[ImplStatus]="Compensated"))*ISNUMBER(MATCH(Recommendations[Id],G27:AT27,0)))/COUNTIF(G27:AT27,"&lt;&gt;"))</f>
        <v/>
      </c>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207"/>
    </row>
    <row r="28" spans="1:46" ht="60" customHeight="1" x14ac:dyDescent="0.35">
      <c r="A28" s="204" t="s">
        <v>219</v>
      </c>
      <c r="B28" s="190" t="s">
        <v>2646</v>
      </c>
      <c r="C28" s="191" t="s">
        <v>2672</v>
      </c>
      <c r="D28" s="193" t="s">
        <v>2673</v>
      </c>
      <c r="E28" s="193" t="s">
        <v>2674</v>
      </c>
      <c r="F28" s="195" t="str">
        <f>IF(COUNTIF(G28:AT28,"&lt;&gt;")=0,"",SUMPRODUCT(((Recommendations[ImplStatus]="Implemented")+(Recommendations[ImplStatus]="Compensated"))*ISNUMBER(MATCH(Recommendations[Id],G28:AT28,0)))/COUNTIF(G28:AT28,"&lt;&gt;"))</f>
        <v/>
      </c>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207"/>
    </row>
    <row r="29" spans="1:46" ht="60" customHeight="1" x14ac:dyDescent="0.35">
      <c r="A29" s="204" t="s">
        <v>219</v>
      </c>
      <c r="B29" s="190" t="s">
        <v>2646</v>
      </c>
      <c r="C29" s="191" t="s">
        <v>2675</v>
      </c>
      <c r="D29" s="193" t="s">
        <v>2676</v>
      </c>
      <c r="E29" s="193" t="s">
        <v>2677</v>
      </c>
      <c r="F29" s="195" t="str">
        <f>IF(COUNTIF(G29:AT29,"&lt;&gt;")=0,"",SUMPRODUCT(((Recommendations[ImplStatus]="Implemented")+(Recommendations[ImplStatus]="Compensated"))*ISNUMBER(MATCH(Recommendations[Id],G29:AT29,0)))/COUNTIF(G29:AT29,"&lt;&gt;"))</f>
        <v/>
      </c>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207"/>
    </row>
    <row r="30" spans="1:46" ht="60" customHeight="1" x14ac:dyDescent="0.35">
      <c r="A30" s="204" t="s">
        <v>219</v>
      </c>
      <c r="B30" s="190" t="s">
        <v>2646</v>
      </c>
      <c r="C30" s="191" t="s">
        <v>2678</v>
      </c>
      <c r="D30" s="193" t="s">
        <v>2679</v>
      </c>
      <c r="E30" s="193" t="s">
        <v>2680</v>
      </c>
      <c r="F30" s="195" t="str">
        <f>IF(COUNTIF(G30:AT30,"&lt;&gt;")=0,"",SUMPRODUCT(((Recommendations[ImplStatus]="Implemented")+(Recommendations[ImplStatus]="Compensated"))*ISNUMBER(MATCH(Recommendations[Id],G30:AT30,0)))/COUNTIF(G30:AT30,"&lt;&gt;"))</f>
        <v/>
      </c>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207"/>
    </row>
    <row r="31" spans="1:46" ht="60" customHeight="1" x14ac:dyDescent="0.35">
      <c r="A31" s="204" t="s">
        <v>219</v>
      </c>
      <c r="B31" s="190" t="s">
        <v>2646</v>
      </c>
      <c r="C31" s="191" t="s">
        <v>2681</v>
      </c>
      <c r="D31" s="193" t="s">
        <v>2682</v>
      </c>
      <c r="E31" s="193" t="s">
        <v>2683</v>
      </c>
      <c r="F31" s="195" t="str">
        <f>IF(COUNTIF(G31:AT31,"&lt;&gt;")=0,"",SUMPRODUCT(((Recommendations[ImplStatus]="Implemented")+(Recommendations[ImplStatus]="Compensated"))*ISNUMBER(MATCH(Recommendations[Id],G31:AT31,0)))/COUNTIF(G31:AT31,"&lt;&gt;"))</f>
        <v/>
      </c>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207"/>
    </row>
    <row r="32" spans="1:46" ht="60" customHeight="1" outlineLevel="1" x14ac:dyDescent="0.35">
      <c r="A32" s="203" t="s">
        <v>2684</v>
      </c>
      <c r="B32" s="189"/>
      <c r="C32" s="189"/>
      <c r="D32" s="192" t="s">
        <v>2685</v>
      </c>
      <c r="E32" s="192"/>
      <c r="F32" s="194" t="str">
        <f>IF(COUNTIF(G32:AT32,"&lt;&gt;")=0,"",SUMPRODUCT(((Recommendations[ImplStatus]="Implemented")+(Recommendations[ImplStatus]="Compensated"))*ISNUMBER(MATCH(Recommendations[Id],G32:AT32,0)))/COUNTIF(G32:AT32,"&lt;&gt;"))</f>
        <v/>
      </c>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206"/>
    </row>
    <row r="33" spans="1:46" ht="60" customHeight="1" x14ac:dyDescent="0.35">
      <c r="A33" s="204" t="s">
        <v>2684</v>
      </c>
      <c r="B33" s="190"/>
      <c r="C33" s="191" t="s">
        <v>2686</v>
      </c>
      <c r="D33" s="193" t="s">
        <v>2687</v>
      </c>
      <c r="E33" s="193" t="s">
        <v>2688</v>
      </c>
      <c r="F33" s="195" t="str">
        <f>IF(COUNTIF(G33:AT33,"&lt;&gt;")=0,"",SUMPRODUCT(((Recommendations[ImplStatus]="Implemented")+(Recommendations[ImplStatus]="Compensated"))*ISNUMBER(MATCH(Recommendations[Id],G33:AT33,0)))/COUNTIF(G33:AT33,"&lt;&gt;"))</f>
        <v/>
      </c>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207"/>
    </row>
    <row r="34" spans="1:46" ht="60" customHeight="1" x14ac:dyDescent="0.35">
      <c r="A34" s="204" t="s">
        <v>2684</v>
      </c>
      <c r="B34" s="190"/>
      <c r="C34" s="191" t="s">
        <v>2689</v>
      </c>
      <c r="D34" s="193" t="s">
        <v>2690</v>
      </c>
      <c r="E34" s="193" t="s">
        <v>2691</v>
      </c>
      <c r="F34" s="195" t="str">
        <f>IF(COUNTIF(G34:AT34,"&lt;&gt;")=0,"",SUMPRODUCT(((Recommendations[ImplStatus]="Implemented")+(Recommendations[ImplStatus]="Compensated"))*ISNUMBER(MATCH(Recommendations[Id],G34:AT34,0)))/COUNTIF(G34:AT34,"&lt;&gt;"))</f>
        <v/>
      </c>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207"/>
    </row>
    <row r="35" spans="1:46" ht="60" customHeight="1" x14ac:dyDescent="0.35">
      <c r="A35" s="204" t="s">
        <v>2684</v>
      </c>
      <c r="B35" s="190"/>
      <c r="C35" s="191" t="s">
        <v>2692</v>
      </c>
      <c r="D35" s="193" t="s">
        <v>2693</v>
      </c>
      <c r="E35" s="193" t="s">
        <v>2694</v>
      </c>
      <c r="F35" s="195" t="str">
        <f>IF(COUNTIF(G35:AT35,"&lt;&gt;")=0,"",SUMPRODUCT(((Recommendations[ImplStatus]="Implemented")+(Recommendations[ImplStatus]="Compensated"))*ISNUMBER(MATCH(Recommendations[Id],G35:AT35,0)))/COUNTIF(G35:AT35,"&lt;&gt;"))</f>
        <v/>
      </c>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207"/>
    </row>
    <row r="36" spans="1:46" ht="60" customHeight="1" outlineLevel="1" x14ac:dyDescent="0.35">
      <c r="A36" s="203" t="s">
        <v>2684</v>
      </c>
      <c r="B36" s="189" t="s">
        <v>2695</v>
      </c>
      <c r="C36" s="189"/>
      <c r="D36" s="192" t="s">
        <v>2696</v>
      </c>
      <c r="E36" s="192"/>
      <c r="F36" s="194" t="str">
        <f>IF(COUNTIF(G36:AT36,"&lt;&gt;")=0,"",SUMPRODUCT(((Recommendations[ImplStatus]="Implemented")+(Recommendations[ImplStatus]="Compensated"))*ISNUMBER(MATCH(Recommendations[Id],G36:AT36,0)))/COUNTIF(G36:AT36,"&lt;&gt;"))</f>
        <v/>
      </c>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206"/>
    </row>
    <row r="37" spans="1:46" ht="60" customHeight="1" x14ac:dyDescent="0.35">
      <c r="A37" s="204" t="s">
        <v>2684</v>
      </c>
      <c r="B37" s="190" t="s">
        <v>2695</v>
      </c>
      <c r="C37" s="191" t="s">
        <v>2697</v>
      </c>
      <c r="D37" s="193" t="s">
        <v>2698</v>
      </c>
      <c r="E37" s="193" t="s">
        <v>2699</v>
      </c>
      <c r="F37" s="195" t="str">
        <f>IF(COUNTIF(G37:AT37,"&lt;&gt;")=0,"",SUMPRODUCT(((Recommendations[ImplStatus]="Implemented")+(Recommendations[ImplStatus]="Compensated"))*ISNUMBER(MATCH(Recommendations[Id],G37:AT37,0)))/COUNTIF(G37:AT37,"&lt;&gt;"))</f>
        <v/>
      </c>
      <c r="G37" s="197"/>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207"/>
    </row>
    <row r="38" spans="1:46" ht="60" customHeight="1" x14ac:dyDescent="0.35">
      <c r="A38" s="204" t="s">
        <v>2684</v>
      </c>
      <c r="B38" s="190" t="s">
        <v>2695</v>
      </c>
      <c r="C38" s="191" t="s">
        <v>2700</v>
      </c>
      <c r="D38" s="193" t="s">
        <v>2701</v>
      </c>
      <c r="E38" s="193" t="s">
        <v>2702</v>
      </c>
      <c r="F38" s="195" t="str">
        <f>IF(COUNTIF(G38:AT38,"&lt;&gt;")=0,"",SUMPRODUCT(((Recommendations[ImplStatus]="Implemented")+(Recommendations[ImplStatus]="Compensated"))*ISNUMBER(MATCH(Recommendations[Id],G38:AT38,0)))/COUNTIF(G38:AT38,"&lt;&gt;"))</f>
        <v/>
      </c>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207"/>
    </row>
    <row r="39" spans="1:46" ht="60" customHeight="1" x14ac:dyDescent="0.35">
      <c r="A39" s="204" t="s">
        <v>2684</v>
      </c>
      <c r="B39" s="190" t="s">
        <v>2695</v>
      </c>
      <c r="C39" s="191" t="s">
        <v>2703</v>
      </c>
      <c r="D39" s="193" t="s">
        <v>2704</v>
      </c>
      <c r="E39" s="193" t="s">
        <v>2705</v>
      </c>
      <c r="F39" s="195" t="str">
        <f>IF(COUNTIF(G39:AT39,"&lt;&gt;")=0,"",SUMPRODUCT(((Recommendations[ImplStatus]="Implemented")+(Recommendations[ImplStatus]="Compensated"))*ISNUMBER(MATCH(Recommendations[Id],G39:AT39,0)))/COUNTIF(G39:AT39,"&lt;&gt;"))</f>
        <v/>
      </c>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207"/>
    </row>
    <row r="40" spans="1:46" ht="60" customHeight="1" x14ac:dyDescent="0.35">
      <c r="A40" s="204" t="s">
        <v>2684</v>
      </c>
      <c r="B40" s="190" t="s">
        <v>2695</v>
      </c>
      <c r="C40" s="191" t="s">
        <v>2706</v>
      </c>
      <c r="D40" s="193" t="s">
        <v>2707</v>
      </c>
      <c r="E40" s="193" t="s">
        <v>2708</v>
      </c>
      <c r="F40" s="195" t="str">
        <f>IF(COUNTIF(G40:AT40,"&lt;&gt;")=0,"",SUMPRODUCT(((Recommendations[ImplStatus]="Implemented")+(Recommendations[ImplStatus]="Compensated"))*ISNUMBER(MATCH(Recommendations[Id],G40:AT40,0)))/COUNTIF(G40:AT40,"&lt;&gt;"))</f>
        <v/>
      </c>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207"/>
    </row>
    <row r="41" spans="1:46" ht="60" customHeight="1" x14ac:dyDescent="0.35">
      <c r="A41" s="204" t="s">
        <v>2684</v>
      </c>
      <c r="B41" s="190" t="s">
        <v>2695</v>
      </c>
      <c r="C41" s="191" t="s">
        <v>2709</v>
      </c>
      <c r="D41" s="193" t="s">
        <v>2710</v>
      </c>
      <c r="E41" s="193" t="s">
        <v>2711</v>
      </c>
      <c r="F41" s="195" t="str">
        <f>IF(COUNTIF(G41:AT41,"&lt;&gt;")=0,"",SUMPRODUCT(((Recommendations[ImplStatus]="Implemented")+(Recommendations[ImplStatus]="Compensated"))*ISNUMBER(MATCH(Recommendations[Id],G41:AT41,0)))/COUNTIF(G41:AT41,"&lt;&gt;"))</f>
        <v/>
      </c>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207"/>
    </row>
    <row r="42" spans="1:46" ht="60" customHeight="1" x14ac:dyDescent="0.35">
      <c r="A42" s="204" t="s">
        <v>2684</v>
      </c>
      <c r="B42" s="190" t="s">
        <v>2695</v>
      </c>
      <c r="C42" s="191" t="s">
        <v>2712</v>
      </c>
      <c r="D42" s="193" t="s">
        <v>2713</v>
      </c>
      <c r="E42" s="193" t="s">
        <v>2714</v>
      </c>
      <c r="F42" s="195" t="str">
        <f>IF(COUNTIF(G42:AT42,"&lt;&gt;")=0,"",SUMPRODUCT(((Recommendations[ImplStatus]="Implemented")+(Recommendations[ImplStatus]="Compensated"))*ISNUMBER(MATCH(Recommendations[Id],G42:AT42,0)))/COUNTIF(G42:AT42,"&lt;&gt;"))</f>
        <v/>
      </c>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207"/>
    </row>
    <row r="43" spans="1:46" ht="60" customHeight="1" x14ac:dyDescent="0.35">
      <c r="A43" s="204" t="s">
        <v>2684</v>
      </c>
      <c r="B43" s="190" t="s">
        <v>2695</v>
      </c>
      <c r="C43" s="191" t="s">
        <v>2715</v>
      </c>
      <c r="D43" s="193" t="s">
        <v>2716</v>
      </c>
      <c r="E43" s="193" t="s">
        <v>2717</v>
      </c>
      <c r="F43" s="195" t="str">
        <f>IF(COUNTIF(G43:AT43,"&lt;&gt;")=0,"",SUMPRODUCT(((Recommendations[ImplStatus]="Implemented")+(Recommendations[ImplStatus]="Compensated"))*ISNUMBER(MATCH(Recommendations[Id],G43:AT43,0)))/COUNTIF(G43:AT43,"&lt;&gt;"))</f>
        <v/>
      </c>
      <c r="G43" s="197"/>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207"/>
    </row>
    <row r="44" spans="1:46" ht="60" customHeight="1" x14ac:dyDescent="0.35">
      <c r="A44" s="204" t="s">
        <v>2684</v>
      </c>
      <c r="B44" s="190" t="s">
        <v>2695</v>
      </c>
      <c r="C44" s="191" t="s">
        <v>2718</v>
      </c>
      <c r="D44" s="193" t="s">
        <v>2719</v>
      </c>
      <c r="E44" s="193" t="s">
        <v>2720</v>
      </c>
      <c r="F44" s="195" t="str">
        <f>IF(COUNTIF(G44:AT44,"&lt;&gt;")=0,"",SUMPRODUCT(((Recommendations[ImplStatus]="Implemented")+(Recommendations[ImplStatus]="Compensated"))*ISNUMBER(MATCH(Recommendations[Id],G44:AT44,0)))/COUNTIF(G44:AT44,"&lt;&gt;"))</f>
        <v/>
      </c>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207"/>
    </row>
    <row r="45" spans="1:46" ht="60" customHeight="1" x14ac:dyDescent="0.35">
      <c r="A45" s="204" t="s">
        <v>2684</v>
      </c>
      <c r="B45" s="190" t="s">
        <v>2695</v>
      </c>
      <c r="C45" s="191" t="s">
        <v>2721</v>
      </c>
      <c r="D45" s="193" t="s">
        <v>2722</v>
      </c>
      <c r="E45" s="193" t="s">
        <v>2723</v>
      </c>
      <c r="F45" s="195" t="str">
        <f>IF(COUNTIF(G45:AT45,"&lt;&gt;")=0,"",SUMPRODUCT(((Recommendations[ImplStatus]="Implemented")+(Recommendations[ImplStatus]="Compensated"))*ISNUMBER(MATCH(Recommendations[Id],G45:AT45,0)))/COUNTIF(G45:AT45,"&lt;&gt;"))</f>
        <v/>
      </c>
      <c r="G45" s="197"/>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207"/>
    </row>
    <row r="46" spans="1:46" ht="60" customHeight="1" x14ac:dyDescent="0.35">
      <c r="A46" s="204" t="s">
        <v>2684</v>
      </c>
      <c r="B46" s="190" t="s">
        <v>2695</v>
      </c>
      <c r="C46" s="191" t="s">
        <v>2724</v>
      </c>
      <c r="D46" s="193" t="s">
        <v>2725</v>
      </c>
      <c r="E46" s="193" t="s">
        <v>2726</v>
      </c>
      <c r="F46" s="195" t="str">
        <f>IF(COUNTIF(G46:AT46,"&lt;&gt;")=0,"",SUMPRODUCT(((Recommendations[ImplStatus]="Implemented")+(Recommendations[ImplStatus]="Compensated"))*ISNUMBER(MATCH(Recommendations[Id],G46:AT46,0)))/COUNTIF(G46:AT46,"&lt;&gt;"))</f>
        <v/>
      </c>
      <c r="G46" s="197"/>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207"/>
    </row>
    <row r="47" spans="1:46" ht="60" customHeight="1" x14ac:dyDescent="0.35">
      <c r="A47" s="204" t="s">
        <v>2684</v>
      </c>
      <c r="B47" s="190" t="s">
        <v>2695</v>
      </c>
      <c r="C47" s="191" t="s">
        <v>2727</v>
      </c>
      <c r="D47" s="193" t="s">
        <v>2728</v>
      </c>
      <c r="E47" s="193" t="s">
        <v>2729</v>
      </c>
      <c r="F47" s="195" t="str">
        <f>IF(COUNTIF(G47:AT47,"&lt;&gt;")=0,"",SUMPRODUCT(((Recommendations[ImplStatus]="Implemented")+(Recommendations[ImplStatus]="Compensated"))*ISNUMBER(MATCH(Recommendations[Id],G47:AT47,0)))/COUNTIF(G47:AT47,"&lt;&gt;"))</f>
        <v/>
      </c>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207"/>
    </row>
    <row r="48" spans="1:46" ht="60" customHeight="1" x14ac:dyDescent="0.35">
      <c r="A48" s="204" t="s">
        <v>2684</v>
      </c>
      <c r="B48" s="190" t="s">
        <v>2695</v>
      </c>
      <c r="C48" s="191" t="s">
        <v>2730</v>
      </c>
      <c r="D48" s="193" t="s">
        <v>2731</v>
      </c>
      <c r="E48" s="193" t="s">
        <v>2732</v>
      </c>
      <c r="F48" s="195" t="str">
        <f>IF(COUNTIF(G48:AT48,"&lt;&gt;")=0,"",SUMPRODUCT(((Recommendations[ImplStatus]="Implemented")+(Recommendations[ImplStatus]="Compensated"))*ISNUMBER(MATCH(Recommendations[Id],G48:AT48,0)))/COUNTIF(G48:AT48,"&lt;&gt;"))</f>
        <v/>
      </c>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207"/>
    </row>
    <row r="49" spans="1:46" ht="60" customHeight="1" x14ac:dyDescent="0.35">
      <c r="A49" s="204" t="s">
        <v>2684</v>
      </c>
      <c r="B49" s="190" t="s">
        <v>2695</v>
      </c>
      <c r="C49" s="191" t="s">
        <v>2733</v>
      </c>
      <c r="D49" s="193" t="s">
        <v>2734</v>
      </c>
      <c r="E49" s="193" t="s">
        <v>2735</v>
      </c>
      <c r="F49" s="195" t="str">
        <f>IF(COUNTIF(G49:AT49,"&lt;&gt;")=0,"",SUMPRODUCT(((Recommendations[ImplStatus]="Implemented")+(Recommendations[ImplStatus]="Compensated"))*ISNUMBER(MATCH(Recommendations[Id],G49:AT49,0)))/COUNTIF(G49:AT49,"&lt;&gt;"))</f>
        <v/>
      </c>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207"/>
    </row>
    <row r="50" spans="1:46" ht="60" customHeight="1" x14ac:dyDescent="0.35">
      <c r="A50" s="204" t="s">
        <v>2684</v>
      </c>
      <c r="B50" s="190" t="s">
        <v>2695</v>
      </c>
      <c r="C50" s="191" t="s">
        <v>2736</v>
      </c>
      <c r="D50" s="193" t="s">
        <v>2737</v>
      </c>
      <c r="E50" s="193" t="s">
        <v>2738</v>
      </c>
      <c r="F50" s="195" t="str">
        <f>IF(COUNTIF(G50:AT50,"&lt;&gt;")=0,"",SUMPRODUCT(((Recommendations[ImplStatus]="Implemented")+(Recommendations[ImplStatus]="Compensated"))*ISNUMBER(MATCH(Recommendations[Id],G50:AT50,0)))/COUNTIF(G50:AT50,"&lt;&gt;"))</f>
        <v/>
      </c>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207"/>
    </row>
    <row r="51" spans="1:46" ht="60" customHeight="1" outlineLevel="1" x14ac:dyDescent="0.35">
      <c r="A51" s="203" t="s">
        <v>2684</v>
      </c>
      <c r="B51" s="189" t="s">
        <v>2739</v>
      </c>
      <c r="C51" s="189"/>
      <c r="D51" s="192" t="s">
        <v>2740</v>
      </c>
      <c r="E51" s="192"/>
      <c r="F51" s="194" t="str">
        <f>IF(COUNTIF(G51:AT51,"&lt;&gt;")=0,"",SUMPRODUCT(((Recommendations[ImplStatus]="Implemented")+(Recommendations[ImplStatus]="Compensated"))*ISNUMBER(MATCH(Recommendations[Id],G51:AT51,0)))/COUNTIF(G51:AT51,"&lt;&gt;"))</f>
        <v/>
      </c>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206"/>
    </row>
    <row r="52" spans="1:46" ht="60" customHeight="1" x14ac:dyDescent="0.35">
      <c r="A52" s="204" t="s">
        <v>2684</v>
      </c>
      <c r="B52" s="190" t="s">
        <v>2739</v>
      </c>
      <c r="C52" s="191" t="s">
        <v>2741</v>
      </c>
      <c r="D52" s="193" t="s">
        <v>2742</v>
      </c>
      <c r="E52" s="193" t="s">
        <v>2743</v>
      </c>
      <c r="F52" s="195">
        <f>IF(COUNTIF(G52:AT52,"&lt;&gt;")=0,"",SUMPRODUCT(((Recommendations[ImplStatus]="Implemented")+(Recommendations[ImplStatus]="Compensated"))*ISNUMBER(MATCH(Recommendations[Id],G52:AT52,0)))/COUNTIF(G52:AT52,"&lt;&gt;"))</f>
        <v>0</v>
      </c>
      <c r="G52" s="197" t="s">
        <v>67</v>
      </c>
      <c r="H52" s="197" t="s">
        <v>87</v>
      </c>
      <c r="I52" s="197" t="s">
        <v>92</v>
      </c>
      <c r="J52" s="197" t="s">
        <v>114</v>
      </c>
      <c r="K52" s="197"/>
      <c r="L52" s="197"/>
      <c r="M52" s="197"/>
      <c r="N52" s="197"/>
      <c r="O52" s="197"/>
      <c r="P52" s="197"/>
      <c r="Q52" s="197"/>
      <c r="R52" s="197"/>
      <c r="S52" s="197"/>
      <c r="T52" s="197"/>
      <c r="U52" s="197"/>
      <c r="V52" s="197"/>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207"/>
    </row>
    <row r="53" spans="1:46" ht="60" customHeight="1" x14ac:dyDescent="0.35">
      <c r="A53" s="204" t="s">
        <v>2684</v>
      </c>
      <c r="B53" s="190" t="s">
        <v>2739</v>
      </c>
      <c r="C53" s="191" t="s">
        <v>2744</v>
      </c>
      <c r="D53" s="193" t="s">
        <v>2745</v>
      </c>
      <c r="E53" s="193" t="s">
        <v>2746</v>
      </c>
      <c r="F53" s="195" t="str">
        <f>IF(COUNTIF(G53:AT53,"&lt;&gt;")=0,"",SUMPRODUCT(((Recommendations[ImplStatus]="Implemented")+(Recommendations[ImplStatus]="Compensated"))*ISNUMBER(MATCH(Recommendations[Id],G53:AT53,0)))/COUNTIF(G53:AT53,"&lt;&gt;"))</f>
        <v/>
      </c>
      <c r="G53" s="197"/>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207"/>
    </row>
    <row r="54" spans="1:46" ht="60" customHeight="1" x14ac:dyDescent="0.35">
      <c r="A54" s="204" t="s">
        <v>2684</v>
      </c>
      <c r="B54" s="190" t="s">
        <v>2739</v>
      </c>
      <c r="C54" s="191" t="s">
        <v>2747</v>
      </c>
      <c r="D54" s="193" t="s">
        <v>2748</v>
      </c>
      <c r="E54" s="193" t="s">
        <v>2749</v>
      </c>
      <c r="F54" s="195" t="str">
        <f>IF(COUNTIF(G54:AT54,"&lt;&gt;")=0,"",SUMPRODUCT(((Recommendations[ImplStatus]="Implemented")+(Recommendations[ImplStatus]="Compensated"))*ISNUMBER(MATCH(Recommendations[Id],G54:AT54,0)))/COUNTIF(G54:AT54,"&lt;&gt;"))</f>
        <v/>
      </c>
      <c r="G54" s="197"/>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207"/>
    </row>
    <row r="55" spans="1:46" ht="60" customHeight="1" x14ac:dyDescent="0.35">
      <c r="A55" s="204" t="s">
        <v>2684</v>
      </c>
      <c r="B55" s="190" t="s">
        <v>2739</v>
      </c>
      <c r="C55" s="191" t="s">
        <v>2750</v>
      </c>
      <c r="D55" s="193" t="s">
        <v>2751</v>
      </c>
      <c r="E55" s="193" t="s">
        <v>2752</v>
      </c>
      <c r="F55" s="195" t="str">
        <f>IF(COUNTIF(G55:AT55,"&lt;&gt;")=0,"",SUMPRODUCT(((Recommendations[ImplStatus]="Implemented")+(Recommendations[ImplStatus]="Compensated"))*ISNUMBER(MATCH(Recommendations[Id],G55:AT55,0)))/COUNTIF(G55:AT55,"&lt;&gt;"))</f>
        <v/>
      </c>
      <c r="G55" s="197"/>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207"/>
    </row>
    <row r="56" spans="1:46" ht="60" customHeight="1" x14ac:dyDescent="0.35">
      <c r="A56" s="204" t="s">
        <v>2684</v>
      </c>
      <c r="B56" s="190" t="s">
        <v>2739</v>
      </c>
      <c r="C56" s="191" t="s">
        <v>2753</v>
      </c>
      <c r="D56" s="193" t="s">
        <v>2754</v>
      </c>
      <c r="E56" s="193" t="s">
        <v>2755</v>
      </c>
      <c r="F56" s="195">
        <f>IF(COUNTIF(G56:AT56,"&lt;&gt;")=0,"",SUMPRODUCT(((Recommendations[ImplStatus]="Implemented")+(Recommendations[ImplStatus]="Compensated"))*ISNUMBER(MATCH(Recommendations[Id],G56:AT56,0)))/COUNTIF(G56:AT56,"&lt;&gt;"))</f>
        <v>0</v>
      </c>
      <c r="G56" s="197" t="s">
        <v>56</v>
      </c>
      <c r="H56" s="197" t="s">
        <v>102</v>
      </c>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207"/>
    </row>
    <row r="57" spans="1:46" ht="60" customHeight="1" x14ac:dyDescent="0.35">
      <c r="A57" s="204" t="s">
        <v>2684</v>
      </c>
      <c r="B57" s="190" t="s">
        <v>2739</v>
      </c>
      <c r="C57" s="191" t="s">
        <v>2756</v>
      </c>
      <c r="D57" s="193" t="s">
        <v>2757</v>
      </c>
      <c r="E57" s="193" t="s">
        <v>2758</v>
      </c>
      <c r="F57" s="195" t="str">
        <f>IF(COUNTIF(G57:AT57,"&lt;&gt;")=0,"",SUMPRODUCT(((Recommendations[ImplStatus]="Implemented")+(Recommendations[ImplStatus]="Compensated"))*ISNUMBER(MATCH(Recommendations[Id],G57:AT57,0)))/COUNTIF(G57:AT57,"&lt;&gt;"))</f>
        <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207"/>
    </row>
    <row r="58" spans="1:46" ht="60" customHeight="1" x14ac:dyDescent="0.35">
      <c r="A58" s="204" t="s">
        <v>2684</v>
      </c>
      <c r="B58" s="190" t="s">
        <v>2739</v>
      </c>
      <c r="C58" s="191" t="s">
        <v>2759</v>
      </c>
      <c r="D58" s="193" t="s">
        <v>2760</v>
      </c>
      <c r="E58" s="193" t="s">
        <v>2761</v>
      </c>
      <c r="F58" s="195" t="str">
        <f>IF(COUNTIF(G58:AT58,"&lt;&gt;")=0,"",SUMPRODUCT(((Recommendations[ImplStatus]="Implemented")+(Recommendations[ImplStatus]="Compensated"))*ISNUMBER(MATCH(Recommendations[Id],G58:AT58,0)))/COUNTIF(G58:AT58,"&lt;&gt;"))</f>
        <v/>
      </c>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207"/>
    </row>
    <row r="59" spans="1:46" ht="60" customHeight="1" x14ac:dyDescent="0.35">
      <c r="A59" s="204" t="s">
        <v>2684</v>
      </c>
      <c r="B59" s="190" t="s">
        <v>2739</v>
      </c>
      <c r="C59" s="191" t="s">
        <v>2762</v>
      </c>
      <c r="D59" s="193" t="s">
        <v>2763</v>
      </c>
      <c r="E59" s="193" t="s">
        <v>2764</v>
      </c>
      <c r="F59" s="195" t="str">
        <f>IF(COUNTIF(G59:AT59,"&lt;&gt;")=0,"",SUMPRODUCT(((Recommendations[ImplStatus]="Implemented")+(Recommendations[ImplStatus]="Compensated"))*ISNUMBER(MATCH(Recommendations[Id],G59:AT59,0)))/COUNTIF(G59:AT59,"&lt;&gt;"))</f>
        <v/>
      </c>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207"/>
    </row>
    <row r="60" spans="1:46" ht="60" customHeight="1" x14ac:dyDescent="0.35">
      <c r="A60" s="204" t="s">
        <v>2684</v>
      </c>
      <c r="B60" s="190" t="s">
        <v>2765</v>
      </c>
      <c r="C60" s="191" t="s">
        <v>2766</v>
      </c>
      <c r="D60" s="193" t="s">
        <v>2767</v>
      </c>
      <c r="E60" s="193" t="s">
        <v>2768</v>
      </c>
      <c r="F60" s="195" t="str">
        <f>IF(COUNTIF(G60:AT60,"&lt;&gt;")=0,"",SUMPRODUCT(((Recommendations[ImplStatus]="Implemented")+(Recommendations[ImplStatus]="Compensated"))*ISNUMBER(MATCH(Recommendations[Id],G60:AT60,0)))/COUNTIF(G60:AT60,"&lt;&gt;"))</f>
        <v/>
      </c>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207"/>
    </row>
    <row r="61" spans="1:46" ht="60" customHeight="1" x14ac:dyDescent="0.35">
      <c r="A61" s="204" t="s">
        <v>2684</v>
      </c>
      <c r="B61" s="190" t="s">
        <v>2765</v>
      </c>
      <c r="C61" s="191" t="s">
        <v>2769</v>
      </c>
      <c r="D61" s="193" t="s">
        <v>2770</v>
      </c>
      <c r="E61" s="193" t="s">
        <v>2771</v>
      </c>
      <c r="F61" s="195" t="str">
        <f>IF(COUNTIF(G61:AT61,"&lt;&gt;")=0,"",SUMPRODUCT(((Recommendations[ImplStatus]="Implemented")+(Recommendations[ImplStatus]="Compensated"))*ISNUMBER(MATCH(Recommendations[Id],G61:AT61,0)))/COUNTIF(G61:AT61,"&lt;&gt;"))</f>
        <v/>
      </c>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207"/>
    </row>
    <row r="62" spans="1:46" ht="60" customHeight="1" outlineLevel="1" x14ac:dyDescent="0.35">
      <c r="A62" s="203" t="s">
        <v>2684</v>
      </c>
      <c r="B62" s="189" t="s">
        <v>2772</v>
      </c>
      <c r="C62" s="189"/>
      <c r="D62" s="192" t="s">
        <v>2773</v>
      </c>
      <c r="E62" s="192"/>
      <c r="F62" s="194" t="str">
        <f>IF(COUNTIF(G62:AT62,"&lt;&gt;")=0,"",SUMPRODUCT(((Recommendations[ImplStatus]="Implemented")+(Recommendations[ImplStatus]="Compensated"))*ISNUMBER(MATCH(Recommendations[Id],G62:AT62,0)))/COUNTIF(G62:AT62,"&lt;&gt;"))</f>
        <v/>
      </c>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206"/>
    </row>
    <row r="63" spans="1:46" ht="60" customHeight="1" x14ac:dyDescent="0.35">
      <c r="A63" s="204" t="s">
        <v>2684</v>
      </c>
      <c r="B63" s="190" t="s">
        <v>2772</v>
      </c>
      <c r="C63" s="191" t="s">
        <v>2774</v>
      </c>
      <c r="D63" s="193" t="s">
        <v>2775</v>
      </c>
      <c r="E63" s="193" t="s">
        <v>2776</v>
      </c>
      <c r="F63" s="195" t="str">
        <f>IF(COUNTIF(G63:AT63,"&lt;&gt;")=0,"",SUMPRODUCT(((Recommendations[ImplStatus]="Implemented")+(Recommendations[ImplStatus]="Compensated"))*ISNUMBER(MATCH(Recommendations[Id],G63:AT63,0)))/COUNTIF(G63:AT63,"&lt;&gt;"))</f>
        <v/>
      </c>
      <c r="G63" s="197"/>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207"/>
    </row>
    <row r="64" spans="1:46" ht="60" customHeight="1" x14ac:dyDescent="0.35">
      <c r="A64" s="204" t="s">
        <v>2684</v>
      </c>
      <c r="B64" s="190" t="s">
        <v>2772</v>
      </c>
      <c r="C64" s="191" t="s">
        <v>2777</v>
      </c>
      <c r="D64" s="193" t="s">
        <v>2778</v>
      </c>
      <c r="E64" s="193" t="s">
        <v>2779</v>
      </c>
      <c r="F64" s="195" t="str">
        <f>IF(COUNTIF(G64:AT64,"&lt;&gt;")=0,"",SUMPRODUCT(((Recommendations[ImplStatus]="Implemented")+(Recommendations[ImplStatus]="Compensated"))*ISNUMBER(MATCH(Recommendations[Id],G64:AT64,0)))/COUNTIF(G64:AT64,"&lt;&gt;"))</f>
        <v/>
      </c>
      <c r="G64" s="197"/>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207"/>
    </row>
    <row r="65" spans="1:46" ht="60" customHeight="1" x14ac:dyDescent="0.35">
      <c r="A65" s="204" t="s">
        <v>2684</v>
      </c>
      <c r="B65" s="190" t="s">
        <v>2772</v>
      </c>
      <c r="C65" s="191" t="s">
        <v>2780</v>
      </c>
      <c r="D65" s="193" t="s">
        <v>2781</v>
      </c>
      <c r="E65" s="193" t="s">
        <v>2782</v>
      </c>
      <c r="F65" s="195" t="str">
        <f>IF(COUNTIF(G65:AT65,"&lt;&gt;")=0,"",SUMPRODUCT(((Recommendations[ImplStatus]="Implemented")+(Recommendations[ImplStatus]="Compensated"))*ISNUMBER(MATCH(Recommendations[Id],G65:AT65,0)))/COUNTIF(G65:AT65,"&lt;&gt;"))</f>
        <v/>
      </c>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207"/>
    </row>
    <row r="66" spans="1:46" ht="60" customHeight="1" x14ac:dyDescent="0.35">
      <c r="A66" s="204" t="s">
        <v>2684</v>
      </c>
      <c r="B66" s="190" t="s">
        <v>2772</v>
      </c>
      <c r="C66" s="191" t="s">
        <v>2783</v>
      </c>
      <c r="D66" s="193" t="s">
        <v>2784</v>
      </c>
      <c r="E66" s="193" t="s">
        <v>2785</v>
      </c>
      <c r="F66" s="195" t="str">
        <f>IF(COUNTIF(G66:AT66,"&lt;&gt;")=0,"",SUMPRODUCT(((Recommendations[ImplStatus]="Implemented")+(Recommendations[ImplStatus]="Compensated"))*ISNUMBER(MATCH(Recommendations[Id],G66:AT66,0)))/COUNTIF(G66:AT66,"&lt;&gt;"))</f>
        <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207"/>
    </row>
    <row r="67" spans="1:46" ht="60" customHeight="1" x14ac:dyDescent="0.35">
      <c r="A67" s="204" t="s">
        <v>2684</v>
      </c>
      <c r="B67" s="190" t="s">
        <v>2772</v>
      </c>
      <c r="C67" s="191" t="s">
        <v>2786</v>
      </c>
      <c r="D67" s="193" t="s">
        <v>2787</v>
      </c>
      <c r="E67" s="193" t="s">
        <v>2788</v>
      </c>
      <c r="F67" s="195" t="str">
        <f>IF(COUNTIF(G67:AT67,"&lt;&gt;")=0,"",SUMPRODUCT(((Recommendations[ImplStatus]="Implemented")+(Recommendations[ImplStatus]="Compensated"))*ISNUMBER(MATCH(Recommendations[Id],G67:AT67,0)))/COUNTIF(G67:AT67,"&lt;&gt;"))</f>
        <v/>
      </c>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207"/>
    </row>
    <row r="68" spans="1:46" ht="60" customHeight="1" x14ac:dyDescent="0.35">
      <c r="A68" s="204" t="s">
        <v>2684</v>
      </c>
      <c r="B68" s="190" t="s">
        <v>2772</v>
      </c>
      <c r="C68" s="191" t="s">
        <v>2789</v>
      </c>
      <c r="D68" s="193" t="s">
        <v>2790</v>
      </c>
      <c r="E68" s="193" t="s">
        <v>2791</v>
      </c>
      <c r="F68" s="195" t="str">
        <f>IF(COUNTIF(G68:AT68,"&lt;&gt;")=0,"",SUMPRODUCT(((Recommendations[ImplStatus]="Implemented")+(Recommendations[ImplStatus]="Compensated"))*ISNUMBER(MATCH(Recommendations[Id],G68:AT68,0)))/COUNTIF(G68:AT68,"&lt;&gt;"))</f>
        <v/>
      </c>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207"/>
    </row>
    <row r="69" spans="1:46" ht="60" customHeight="1" x14ac:dyDescent="0.35">
      <c r="A69" s="204" t="s">
        <v>2684</v>
      </c>
      <c r="B69" s="190" t="s">
        <v>2772</v>
      </c>
      <c r="C69" s="191" t="s">
        <v>2792</v>
      </c>
      <c r="D69" s="193" t="s">
        <v>2793</v>
      </c>
      <c r="E69" s="193" t="s">
        <v>2794</v>
      </c>
      <c r="F69" s="195" t="str">
        <f>IF(COUNTIF(G69:AT69,"&lt;&gt;")=0,"",SUMPRODUCT(((Recommendations[ImplStatus]="Implemented")+(Recommendations[ImplStatus]="Compensated"))*ISNUMBER(MATCH(Recommendations[Id],G69:AT69,0)))/COUNTIF(G69:AT69,"&lt;&gt;"))</f>
        <v/>
      </c>
      <c r="G69" s="197"/>
      <c r="H69" s="197"/>
      <c r="I69" s="197"/>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207"/>
    </row>
    <row r="70" spans="1:46" ht="60" customHeight="1" x14ac:dyDescent="0.35">
      <c r="A70" s="204" t="s">
        <v>2684</v>
      </c>
      <c r="B70" s="190" t="s">
        <v>2772</v>
      </c>
      <c r="C70" s="191" t="s">
        <v>2795</v>
      </c>
      <c r="D70" s="193" t="s">
        <v>2796</v>
      </c>
      <c r="E70" s="193"/>
      <c r="F70" s="195" t="str">
        <f>IF(COUNTIF(G70:AT70,"&lt;&gt;")=0,"",SUMPRODUCT(((Recommendations[ImplStatus]="Implemented")+(Recommendations[ImplStatus]="Compensated"))*ISNUMBER(MATCH(Recommendations[Id],G70:AT70,0)))/COUNTIF(G70:AT70,"&lt;&gt;"))</f>
        <v/>
      </c>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207"/>
    </row>
    <row r="71" spans="1:46" ht="60" customHeight="1" x14ac:dyDescent="0.35">
      <c r="A71" s="204" t="s">
        <v>2684</v>
      </c>
      <c r="B71" s="190" t="s">
        <v>2772</v>
      </c>
      <c r="C71" s="191" t="s">
        <v>2797</v>
      </c>
      <c r="D71" s="193" t="s">
        <v>2798</v>
      </c>
      <c r="E71" s="193" t="s">
        <v>2799</v>
      </c>
      <c r="F71" s="195" t="str">
        <f>IF(COUNTIF(G71:AT71,"&lt;&gt;")=0,"",SUMPRODUCT(((Recommendations[ImplStatus]="Implemented")+(Recommendations[ImplStatus]="Compensated"))*ISNUMBER(MATCH(Recommendations[Id],G71:AT71,0)))/COUNTIF(G71:AT71,"&lt;&gt;"))</f>
        <v/>
      </c>
      <c r="G71" s="197"/>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207"/>
    </row>
    <row r="72" spans="1:46" ht="60" customHeight="1" x14ac:dyDescent="0.35">
      <c r="A72" s="204" t="s">
        <v>2684</v>
      </c>
      <c r="B72" s="190" t="s">
        <v>2772</v>
      </c>
      <c r="C72" s="191" t="s">
        <v>2800</v>
      </c>
      <c r="D72" s="193" t="s">
        <v>2801</v>
      </c>
      <c r="E72" s="193" t="s">
        <v>2802</v>
      </c>
      <c r="F72" s="195" t="str">
        <f>IF(COUNTIF(G72:AT72,"&lt;&gt;")=0,"",SUMPRODUCT(((Recommendations[ImplStatus]="Implemented")+(Recommendations[ImplStatus]="Compensated"))*ISNUMBER(MATCH(Recommendations[Id],G72:AT72,0)))/COUNTIF(G72:AT72,"&lt;&gt;"))</f>
        <v/>
      </c>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207"/>
    </row>
    <row r="73" spans="1:46" ht="60" customHeight="1" x14ac:dyDescent="0.35">
      <c r="A73" s="204" t="s">
        <v>2684</v>
      </c>
      <c r="B73" s="190" t="s">
        <v>2772</v>
      </c>
      <c r="C73" s="191" t="s">
        <v>2803</v>
      </c>
      <c r="D73" s="193" t="s">
        <v>2804</v>
      </c>
      <c r="E73" s="193" t="s">
        <v>2805</v>
      </c>
      <c r="F73" s="195" t="str">
        <f>IF(COUNTIF(G73:AT73,"&lt;&gt;")=0,"",SUMPRODUCT(((Recommendations[ImplStatus]="Implemented")+(Recommendations[ImplStatus]="Compensated"))*ISNUMBER(MATCH(Recommendations[Id],G73:AT73,0)))/COUNTIF(G73:AT73,"&lt;&gt;"))</f>
        <v/>
      </c>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207"/>
    </row>
    <row r="74" spans="1:46" ht="60" customHeight="1" x14ac:dyDescent="0.35">
      <c r="A74" s="204" t="s">
        <v>2684</v>
      </c>
      <c r="B74" s="190" t="s">
        <v>2772</v>
      </c>
      <c r="C74" s="191" t="s">
        <v>2806</v>
      </c>
      <c r="D74" s="193" t="s">
        <v>2807</v>
      </c>
      <c r="E74" s="193" t="s">
        <v>2808</v>
      </c>
      <c r="F74" s="195" t="str">
        <f>IF(COUNTIF(G74:AT74,"&lt;&gt;")=0,"",SUMPRODUCT(((Recommendations[ImplStatus]="Implemented")+(Recommendations[ImplStatus]="Compensated"))*ISNUMBER(MATCH(Recommendations[Id],G74:AT74,0)))/COUNTIF(G74:AT74,"&lt;&gt;"))</f>
        <v/>
      </c>
      <c r="G74" s="197"/>
      <c r="H74" s="197"/>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207"/>
    </row>
    <row r="75" spans="1:46" ht="60" customHeight="1" x14ac:dyDescent="0.35">
      <c r="A75" s="204" t="s">
        <v>2684</v>
      </c>
      <c r="B75" s="190" t="s">
        <v>2772</v>
      </c>
      <c r="C75" s="191" t="s">
        <v>2809</v>
      </c>
      <c r="D75" s="193" t="s">
        <v>2810</v>
      </c>
      <c r="E75" s="193" t="s">
        <v>2811</v>
      </c>
      <c r="F75" s="195" t="str">
        <f>IF(COUNTIF(G75:AT75,"&lt;&gt;")=0,"",SUMPRODUCT(((Recommendations[ImplStatus]="Implemented")+(Recommendations[ImplStatus]="Compensated"))*ISNUMBER(MATCH(Recommendations[Id],G75:AT75,0)))/COUNTIF(G75:AT75,"&lt;&gt;"))</f>
        <v/>
      </c>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207"/>
    </row>
    <row r="76" spans="1:46" ht="60" customHeight="1" x14ac:dyDescent="0.35">
      <c r="A76" s="204" t="s">
        <v>2684</v>
      </c>
      <c r="B76" s="190" t="s">
        <v>2772</v>
      </c>
      <c r="C76" s="191" t="s">
        <v>2812</v>
      </c>
      <c r="D76" s="193" t="s">
        <v>2813</v>
      </c>
      <c r="E76" s="193" t="s">
        <v>2814</v>
      </c>
      <c r="F76" s="195" t="str">
        <f>IF(COUNTIF(G76:AT76,"&lt;&gt;")=0,"",SUMPRODUCT(((Recommendations[ImplStatus]="Implemented")+(Recommendations[ImplStatus]="Compensated"))*ISNUMBER(MATCH(Recommendations[Id],G76:AT76,0)))/COUNTIF(G76:AT76,"&lt;&gt;"))</f>
        <v/>
      </c>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207"/>
    </row>
    <row r="77" spans="1:46" ht="60" customHeight="1" x14ac:dyDescent="0.35">
      <c r="A77" s="204" t="s">
        <v>2684</v>
      </c>
      <c r="B77" s="190" t="s">
        <v>2772</v>
      </c>
      <c r="C77" s="191" t="s">
        <v>2815</v>
      </c>
      <c r="D77" s="193" t="s">
        <v>2816</v>
      </c>
      <c r="E77" s="193" t="s">
        <v>2817</v>
      </c>
      <c r="F77" s="195" t="str">
        <f>IF(COUNTIF(G77:AT77,"&lt;&gt;")=0,"",SUMPRODUCT(((Recommendations[ImplStatus]="Implemented")+(Recommendations[ImplStatus]="Compensated"))*ISNUMBER(MATCH(Recommendations[Id],G77:AT77,0)))/COUNTIF(G77:AT77,"&lt;&gt;"))</f>
        <v/>
      </c>
      <c r="G77" s="197"/>
      <c r="H77" s="197"/>
      <c r="I77" s="197"/>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207"/>
    </row>
    <row r="78" spans="1:46" ht="60" customHeight="1" x14ac:dyDescent="0.35">
      <c r="A78" s="204" t="s">
        <v>2684</v>
      </c>
      <c r="B78" s="190" t="s">
        <v>2772</v>
      </c>
      <c r="C78" s="191" t="s">
        <v>2818</v>
      </c>
      <c r="D78" s="193" t="s">
        <v>2819</v>
      </c>
      <c r="E78" s="193" t="s">
        <v>2820</v>
      </c>
      <c r="F78" s="195" t="str">
        <f>IF(COUNTIF(G78:AT78,"&lt;&gt;")=0,"",SUMPRODUCT(((Recommendations[ImplStatus]="Implemented")+(Recommendations[ImplStatus]="Compensated"))*ISNUMBER(MATCH(Recommendations[Id],G78:AT78,0)))/COUNTIF(G78:AT78,"&lt;&gt;"))</f>
        <v/>
      </c>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207"/>
    </row>
    <row r="79" spans="1:46" ht="60" customHeight="1" outlineLevel="1" x14ac:dyDescent="0.35">
      <c r="A79" s="203" t="s">
        <v>2684</v>
      </c>
      <c r="B79" s="189" t="s">
        <v>2772</v>
      </c>
      <c r="C79" s="189"/>
      <c r="D79" s="192" t="s">
        <v>2821</v>
      </c>
      <c r="E79" s="192"/>
      <c r="F79" s="194" t="str">
        <f>IF(COUNTIF(G79:AT79,"&lt;&gt;")=0,"",SUMPRODUCT(((Recommendations[ImplStatus]="Implemented")+(Recommendations[ImplStatus]="Compensated"))*ISNUMBER(MATCH(Recommendations[Id],G79:AT79,0)))/COUNTIF(G79:AT79,"&lt;&gt;"))</f>
        <v/>
      </c>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206"/>
    </row>
    <row r="80" spans="1:46" ht="60" customHeight="1" x14ac:dyDescent="0.35">
      <c r="A80" s="204" t="s">
        <v>2822</v>
      </c>
      <c r="B80" s="190"/>
      <c r="C80" s="191" t="s">
        <v>2823</v>
      </c>
      <c r="D80" s="193" t="s">
        <v>2824</v>
      </c>
      <c r="E80" s="193" t="s">
        <v>2825</v>
      </c>
      <c r="F80" s="195" t="str">
        <f>IF(COUNTIF(G80:AT80,"&lt;&gt;")=0,"",SUMPRODUCT(((Recommendations[ImplStatus]="Implemented")+(Recommendations[ImplStatus]="Compensated"))*ISNUMBER(MATCH(Recommendations[Id],G80:AT80,0)))/COUNTIF(G80:AT80,"&lt;&gt;"))</f>
        <v/>
      </c>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207"/>
    </row>
    <row r="81" spans="1:46" ht="60" customHeight="1" x14ac:dyDescent="0.35">
      <c r="A81" s="204" t="s">
        <v>2822</v>
      </c>
      <c r="B81" s="190"/>
      <c r="C81" s="191" t="s">
        <v>2826</v>
      </c>
      <c r="D81" s="193" t="s">
        <v>2827</v>
      </c>
      <c r="E81" s="193" t="s">
        <v>2828</v>
      </c>
      <c r="F81" s="195" t="str">
        <f>IF(COUNTIF(G81:AT81,"&lt;&gt;")=0,"",SUMPRODUCT(((Recommendations[ImplStatus]="Implemented")+(Recommendations[ImplStatus]="Compensated"))*ISNUMBER(MATCH(Recommendations[Id],G81:AT81,0)))/COUNTIF(G81:AT81,"&lt;&gt;"))</f>
        <v/>
      </c>
      <c r="G81" s="197"/>
      <c r="H81" s="197"/>
      <c r="I81" s="197"/>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207"/>
    </row>
    <row r="82" spans="1:46" ht="60" customHeight="1" x14ac:dyDescent="0.35">
      <c r="A82" s="204" t="s">
        <v>2822</v>
      </c>
      <c r="B82" s="190"/>
      <c r="C82" s="191" t="s">
        <v>2829</v>
      </c>
      <c r="D82" s="193" t="s">
        <v>2830</v>
      </c>
      <c r="E82" s="193" t="s">
        <v>2831</v>
      </c>
      <c r="F82" s="195" t="str">
        <f>IF(COUNTIF(G82:AT82,"&lt;&gt;")=0,"",SUMPRODUCT(((Recommendations[ImplStatus]="Implemented")+(Recommendations[ImplStatus]="Compensated"))*ISNUMBER(MATCH(Recommendations[Id],G82:AT82,0)))/COUNTIF(G82:AT82,"&lt;&gt;"))</f>
        <v/>
      </c>
      <c r="G82" s="197"/>
      <c r="H82" s="197"/>
      <c r="I82" s="197"/>
      <c r="J82" s="197"/>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207"/>
    </row>
    <row r="83" spans="1:46" ht="60" customHeight="1" x14ac:dyDescent="0.35">
      <c r="A83" s="204" t="s">
        <v>2822</v>
      </c>
      <c r="B83" s="190"/>
      <c r="C83" s="191" t="s">
        <v>2832</v>
      </c>
      <c r="D83" s="193" t="s">
        <v>2833</v>
      </c>
      <c r="E83" s="193" t="s">
        <v>2834</v>
      </c>
      <c r="F83" s="195" t="str">
        <f>IF(COUNTIF(G83:AT83,"&lt;&gt;")=0,"",SUMPRODUCT(((Recommendations[ImplStatus]="Implemented")+(Recommendations[ImplStatus]="Compensated"))*ISNUMBER(MATCH(Recommendations[Id],G83:AT83,0)))/COUNTIF(G83:AT83,"&lt;&gt;"))</f>
        <v/>
      </c>
      <c r="G83" s="197"/>
      <c r="H83" s="197"/>
      <c r="I83" s="197"/>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207"/>
    </row>
    <row r="84" spans="1:46" ht="60" customHeight="1" outlineLevel="1" x14ac:dyDescent="0.35">
      <c r="A84" s="203" t="s">
        <v>2822</v>
      </c>
      <c r="B84" s="189"/>
      <c r="C84" s="189"/>
      <c r="D84" s="192" t="s">
        <v>2835</v>
      </c>
      <c r="E84" s="192"/>
      <c r="F84" s="194" t="str">
        <f>IF(COUNTIF(G84:AT84,"&lt;&gt;")=0,"",SUMPRODUCT(((Recommendations[ImplStatus]="Implemented")+(Recommendations[ImplStatus]="Compensated"))*ISNUMBER(MATCH(Recommendations[Id],G84:AT84,0)))/COUNTIF(G84:AT84,"&lt;&gt;"))</f>
        <v/>
      </c>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206"/>
    </row>
    <row r="85" spans="1:46" ht="60" customHeight="1" x14ac:dyDescent="0.35">
      <c r="A85" s="204" t="s">
        <v>2836</v>
      </c>
      <c r="B85" s="190"/>
      <c r="C85" s="191" t="s">
        <v>2837</v>
      </c>
      <c r="D85" s="193" t="s">
        <v>2838</v>
      </c>
      <c r="E85" s="193" t="s">
        <v>2839</v>
      </c>
      <c r="F85" s="195" t="str">
        <f>IF(COUNTIF(G85:AT85,"&lt;&gt;")=0,"",SUMPRODUCT(((Recommendations[ImplStatus]="Implemented")+(Recommendations[ImplStatus]="Compensated"))*ISNUMBER(MATCH(Recommendations[Id],G85:AT85,0)))/COUNTIF(G85:AT85,"&lt;&gt;"))</f>
        <v/>
      </c>
      <c r="G85" s="197"/>
      <c r="H85" s="197"/>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207"/>
    </row>
    <row r="86" spans="1:46" ht="60" customHeight="1" x14ac:dyDescent="0.35">
      <c r="A86" s="204" t="s">
        <v>2836</v>
      </c>
      <c r="B86" s="190"/>
      <c r="C86" s="191" t="s">
        <v>2840</v>
      </c>
      <c r="D86" s="193" t="s">
        <v>2841</v>
      </c>
      <c r="E86" s="193" t="s">
        <v>2842</v>
      </c>
      <c r="F86" s="195" t="str">
        <f>IF(COUNTIF(G86:AT86,"&lt;&gt;")=0,"",SUMPRODUCT(((Recommendations[ImplStatus]="Implemented")+(Recommendations[ImplStatus]="Compensated"))*ISNUMBER(MATCH(Recommendations[Id],G86:AT86,0)))/COUNTIF(G86:AT86,"&lt;&gt;"))</f>
        <v/>
      </c>
      <c r="G86" s="197"/>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207"/>
    </row>
    <row r="87" spans="1:46" ht="60" customHeight="1" x14ac:dyDescent="0.35">
      <c r="A87" s="204" t="s">
        <v>2836</v>
      </c>
      <c r="B87" s="190"/>
      <c r="C87" s="191" t="s">
        <v>2843</v>
      </c>
      <c r="D87" s="193" t="s">
        <v>2844</v>
      </c>
      <c r="E87" s="193" t="s">
        <v>2845</v>
      </c>
      <c r="F87" s="195" t="str">
        <f>IF(COUNTIF(G87:AT87,"&lt;&gt;")=0,"",SUMPRODUCT(((Recommendations[ImplStatus]="Implemented")+(Recommendations[ImplStatus]="Compensated"))*ISNUMBER(MATCH(Recommendations[Id],G87:AT87,0)))/COUNTIF(G87:AT87,"&lt;&gt;"))</f>
        <v/>
      </c>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207"/>
    </row>
    <row r="88" spans="1:46" ht="60" customHeight="1" x14ac:dyDescent="0.35">
      <c r="A88" s="204" t="s">
        <v>2836</v>
      </c>
      <c r="B88" s="190"/>
      <c r="C88" s="191" t="s">
        <v>2846</v>
      </c>
      <c r="D88" s="193" t="s">
        <v>2847</v>
      </c>
      <c r="E88" s="193" t="s">
        <v>2848</v>
      </c>
      <c r="F88" s="195" t="str">
        <f>IF(COUNTIF(G88:AT88,"&lt;&gt;")=0,"",SUMPRODUCT(((Recommendations[ImplStatus]="Implemented")+(Recommendations[ImplStatus]="Compensated"))*ISNUMBER(MATCH(Recommendations[Id],G88:AT88,0)))/COUNTIF(G88:AT88,"&lt;&gt;"))</f>
        <v/>
      </c>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207"/>
    </row>
    <row r="89" spans="1:46" ht="60" customHeight="1" x14ac:dyDescent="0.35">
      <c r="A89" s="204" t="s">
        <v>2836</v>
      </c>
      <c r="B89" s="190"/>
      <c r="C89" s="191" t="s">
        <v>2849</v>
      </c>
      <c r="D89" s="193" t="s">
        <v>2850</v>
      </c>
      <c r="E89" s="193" t="s">
        <v>2851</v>
      </c>
      <c r="F89" s="195" t="str">
        <f>IF(COUNTIF(G89:AT89,"&lt;&gt;")=0,"",SUMPRODUCT(((Recommendations[ImplStatus]="Implemented")+(Recommendations[ImplStatus]="Compensated"))*ISNUMBER(MATCH(Recommendations[Id],G89:AT89,0)))/COUNTIF(G89:AT89,"&lt;&gt;"))</f>
        <v/>
      </c>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207"/>
    </row>
    <row r="90" spans="1:46" ht="60" customHeight="1" outlineLevel="1" x14ac:dyDescent="0.35">
      <c r="A90" s="203" t="s">
        <v>2836</v>
      </c>
      <c r="B90" s="189" t="s">
        <v>2852</v>
      </c>
      <c r="C90" s="189"/>
      <c r="D90" s="192" t="s">
        <v>2853</v>
      </c>
      <c r="E90" s="192"/>
      <c r="F90" s="194" t="str">
        <f>IF(COUNTIF(G90:AT90,"&lt;&gt;")=0,"",SUMPRODUCT(((Recommendations[ImplStatus]="Implemented")+(Recommendations[ImplStatus]="Compensated"))*ISNUMBER(MATCH(Recommendations[Id],G90:AT90,0)))/COUNTIF(G90:AT90,"&lt;&gt;"))</f>
        <v/>
      </c>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206"/>
    </row>
    <row r="91" spans="1:46" ht="60" customHeight="1" x14ac:dyDescent="0.35">
      <c r="A91" s="204" t="s">
        <v>2836</v>
      </c>
      <c r="B91" s="190" t="s">
        <v>2852</v>
      </c>
      <c r="C91" s="191" t="s">
        <v>2854</v>
      </c>
      <c r="D91" s="193" t="s">
        <v>2855</v>
      </c>
      <c r="E91" s="193" t="s">
        <v>2856</v>
      </c>
      <c r="F91" s="195" t="str">
        <f>IF(COUNTIF(G91:AT91,"&lt;&gt;")=0,"",SUMPRODUCT(((Recommendations[ImplStatus]="Implemented")+(Recommendations[ImplStatus]="Compensated"))*ISNUMBER(MATCH(Recommendations[Id],G91:AT91,0)))/COUNTIF(G91:AT91,"&lt;&gt;"))</f>
        <v/>
      </c>
      <c r="G91" s="197"/>
      <c r="H91" s="197"/>
      <c r="I91" s="197"/>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207"/>
    </row>
    <row r="92" spans="1:46" ht="60" customHeight="1" x14ac:dyDescent="0.35">
      <c r="A92" s="204" t="s">
        <v>2836</v>
      </c>
      <c r="B92" s="190" t="s">
        <v>2852</v>
      </c>
      <c r="C92" s="191" t="s">
        <v>2857</v>
      </c>
      <c r="D92" s="193" t="s">
        <v>2858</v>
      </c>
      <c r="E92" s="193" t="s">
        <v>2859</v>
      </c>
      <c r="F92" s="195" t="str">
        <f>IF(COUNTIF(G92:AT92,"&lt;&gt;")=0,"",SUMPRODUCT(((Recommendations[ImplStatus]="Implemented")+(Recommendations[ImplStatus]="Compensated"))*ISNUMBER(MATCH(Recommendations[Id],G92:AT92,0)))/COUNTIF(G92:AT92,"&lt;&gt;"))</f>
        <v/>
      </c>
      <c r="G92" s="197"/>
      <c r="H92" s="197"/>
      <c r="I92" s="197"/>
      <c r="J92" s="197"/>
      <c r="K92" s="197"/>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207"/>
    </row>
    <row r="93" spans="1:46" ht="60" customHeight="1" x14ac:dyDescent="0.35">
      <c r="A93" s="204"/>
      <c r="B93" s="190" t="s">
        <v>2852</v>
      </c>
      <c r="C93" s="191" t="s">
        <v>2860</v>
      </c>
      <c r="D93" s="193" t="s">
        <v>2861</v>
      </c>
      <c r="E93" s="193" t="s">
        <v>2862</v>
      </c>
      <c r="F93" s="195" t="str">
        <f>IF(COUNTIF(G93:AT93,"&lt;&gt;")=0,"",SUMPRODUCT(((Recommendations[ImplStatus]="Implemented")+(Recommendations[ImplStatus]="Compensated"))*ISNUMBER(MATCH(Recommendations[Id],G93:AT93,0)))/COUNTIF(G93:AT93,"&lt;&gt;"))</f>
        <v/>
      </c>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207"/>
    </row>
    <row r="94" spans="1:46" ht="60" customHeight="1" x14ac:dyDescent="0.35">
      <c r="A94" s="204"/>
      <c r="B94" s="190" t="s">
        <v>2852</v>
      </c>
      <c r="C94" s="191" t="s">
        <v>2863</v>
      </c>
      <c r="D94" s="193" t="s">
        <v>2864</v>
      </c>
      <c r="E94" s="193" t="s">
        <v>2865</v>
      </c>
      <c r="F94" s="195" t="str">
        <f>IF(COUNTIF(G94:AT94,"&lt;&gt;")=0,"",SUMPRODUCT(((Recommendations[ImplStatus]="Implemented")+(Recommendations[ImplStatus]="Compensated"))*ISNUMBER(MATCH(Recommendations[Id],G94:AT94,0)))/COUNTIF(G94:AT94,"&lt;&gt;"))</f>
        <v/>
      </c>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207"/>
    </row>
    <row r="95" spans="1:46" ht="60" customHeight="1" x14ac:dyDescent="0.35">
      <c r="A95" s="204"/>
      <c r="B95" s="190" t="s">
        <v>2852</v>
      </c>
      <c r="C95" s="191" t="s">
        <v>2866</v>
      </c>
      <c r="D95" s="193" t="s">
        <v>2867</v>
      </c>
      <c r="E95" s="193" t="s">
        <v>2868</v>
      </c>
      <c r="F95" s="195" t="str">
        <f>IF(COUNTIF(G95:AT95,"&lt;&gt;")=0,"",SUMPRODUCT(((Recommendations[ImplStatus]="Implemented")+(Recommendations[ImplStatus]="Compensated"))*ISNUMBER(MATCH(Recommendations[Id],G95:AT95,0)))/COUNTIF(G95:AT95,"&lt;&gt;"))</f>
        <v/>
      </c>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207"/>
    </row>
    <row r="96" spans="1:46" ht="60" customHeight="1" x14ac:dyDescent="0.35">
      <c r="A96" s="204"/>
      <c r="B96" s="190" t="s">
        <v>2852</v>
      </c>
      <c r="C96" s="191" t="s">
        <v>2869</v>
      </c>
      <c r="D96" s="193" t="s">
        <v>2870</v>
      </c>
      <c r="E96" s="193" t="s">
        <v>2871</v>
      </c>
      <c r="F96" s="195" t="str">
        <f>IF(COUNTIF(G96:AT96,"&lt;&gt;")=0,"",SUMPRODUCT(((Recommendations[ImplStatus]="Implemented")+(Recommendations[ImplStatus]="Compensated"))*ISNUMBER(MATCH(Recommendations[Id],G96:AT96,0)))/COUNTIF(G96:AT96,"&lt;&gt;"))</f>
        <v/>
      </c>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207"/>
    </row>
    <row r="97" spans="1:46" ht="60" customHeight="1" x14ac:dyDescent="0.35">
      <c r="A97" s="204"/>
      <c r="B97" s="190" t="s">
        <v>2852</v>
      </c>
      <c r="C97" s="191" t="s">
        <v>2872</v>
      </c>
      <c r="D97" s="193" t="s">
        <v>2873</v>
      </c>
      <c r="E97" s="193" t="s">
        <v>2874</v>
      </c>
      <c r="F97" s="195" t="str">
        <f>IF(COUNTIF(G97:AT97,"&lt;&gt;")=0,"",SUMPRODUCT(((Recommendations[ImplStatus]="Implemented")+(Recommendations[ImplStatus]="Compensated"))*ISNUMBER(MATCH(Recommendations[Id],G97:AT97,0)))/COUNTIF(G97:AT97,"&lt;&gt;"))</f>
        <v/>
      </c>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207"/>
    </row>
    <row r="98" spans="1:46" ht="60" customHeight="1" x14ac:dyDescent="0.35">
      <c r="A98" s="204"/>
      <c r="B98" s="190" t="s">
        <v>2852</v>
      </c>
      <c r="C98" s="191" t="s">
        <v>2875</v>
      </c>
      <c r="D98" s="193" t="s">
        <v>2876</v>
      </c>
      <c r="E98" s="193" t="s">
        <v>2877</v>
      </c>
      <c r="F98" s="195" t="str">
        <f>IF(COUNTIF(G98:AT98,"&lt;&gt;")=0,"",SUMPRODUCT(((Recommendations[ImplStatus]="Implemented")+(Recommendations[ImplStatus]="Compensated"))*ISNUMBER(MATCH(Recommendations[Id],G98:AT98,0)))/COUNTIF(G98:AT98,"&lt;&gt;"))</f>
        <v/>
      </c>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207"/>
    </row>
    <row r="99" spans="1:46" ht="60" customHeight="1" outlineLevel="1" x14ac:dyDescent="0.35">
      <c r="A99" s="203"/>
      <c r="B99" s="189" t="s">
        <v>2878</v>
      </c>
      <c r="C99" s="189"/>
      <c r="D99" s="192" t="s">
        <v>2879</v>
      </c>
      <c r="E99" s="192"/>
      <c r="F99" s="194" t="str">
        <f>IF(COUNTIF(G99:AT99,"&lt;&gt;")=0,"",SUMPRODUCT(((Recommendations[ImplStatus]="Implemented")+(Recommendations[ImplStatus]="Compensated"))*ISNUMBER(MATCH(Recommendations[Id],G99:AT99,0)))/COUNTIF(G99:AT99,"&lt;&gt;"))</f>
        <v/>
      </c>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206"/>
    </row>
    <row r="100" spans="1:46" ht="60" customHeight="1" x14ac:dyDescent="0.35">
      <c r="A100" s="204"/>
      <c r="B100" s="190" t="s">
        <v>2878</v>
      </c>
      <c r="C100" s="191" t="s">
        <v>2880</v>
      </c>
      <c r="D100" s="193" t="s">
        <v>2881</v>
      </c>
      <c r="E100" s="193" t="s">
        <v>2882</v>
      </c>
      <c r="F100" s="195" t="str">
        <f>IF(COUNTIF(G100:AT100,"&lt;&gt;")=0,"",SUMPRODUCT(((Recommendations[ImplStatus]="Implemented")+(Recommendations[ImplStatus]="Compensated"))*ISNUMBER(MATCH(Recommendations[Id],G100:AT100,0)))/COUNTIF(G100:AT100,"&lt;&gt;"))</f>
        <v/>
      </c>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207"/>
    </row>
    <row r="101" spans="1:46" ht="60" customHeight="1" x14ac:dyDescent="0.35">
      <c r="A101" s="204"/>
      <c r="B101" s="190" t="s">
        <v>2878</v>
      </c>
      <c r="C101" s="191" t="s">
        <v>2883</v>
      </c>
      <c r="D101" s="193" t="s">
        <v>2884</v>
      </c>
      <c r="E101" s="193" t="s">
        <v>2885</v>
      </c>
      <c r="F101" s="195" t="str">
        <f>IF(COUNTIF(G101:AT101,"&lt;&gt;")=0,"",SUMPRODUCT(((Recommendations[ImplStatus]="Implemented")+(Recommendations[ImplStatus]="Compensated"))*ISNUMBER(MATCH(Recommendations[Id],G101:AT101,0)))/COUNTIF(G101:AT101,"&lt;&gt;"))</f>
        <v/>
      </c>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207"/>
    </row>
    <row r="102" spans="1:46" ht="60" customHeight="1" x14ac:dyDescent="0.35">
      <c r="A102" s="204"/>
      <c r="B102" s="190" t="s">
        <v>2878</v>
      </c>
      <c r="C102" s="191" t="s">
        <v>2886</v>
      </c>
      <c r="D102" s="193" t="s">
        <v>2887</v>
      </c>
      <c r="E102" s="193" t="s">
        <v>2888</v>
      </c>
      <c r="F102" s="195" t="str">
        <f>IF(COUNTIF(G102:AT102,"&lt;&gt;")=0,"",SUMPRODUCT(((Recommendations[ImplStatus]="Implemented")+(Recommendations[ImplStatus]="Compensated"))*ISNUMBER(MATCH(Recommendations[Id],G102:AT102,0)))/COUNTIF(G102:AT102,"&lt;&gt;"))</f>
        <v/>
      </c>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207"/>
    </row>
    <row r="103" spans="1:46" ht="60" customHeight="1" x14ac:dyDescent="0.35">
      <c r="A103" s="204"/>
      <c r="B103" s="190" t="s">
        <v>2878</v>
      </c>
      <c r="C103" s="191" t="s">
        <v>2889</v>
      </c>
      <c r="D103" s="193" t="s">
        <v>2890</v>
      </c>
      <c r="E103" s="193" t="s">
        <v>2891</v>
      </c>
      <c r="F103" s="195" t="str">
        <f>IF(COUNTIF(G103:AT103,"&lt;&gt;")=0,"",SUMPRODUCT(((Recommendations[ImplStatus]="Implemented")+(Recommendations[ImplStatus]="Compensated"))*ISNUMBER(MATCH(Recommendations[Id],G103:AT103,0)))/COUNTIF(G103:AT103,"&lt;&gt;"))</f>
        <v/>
      </c>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207"/>
    </row>
    <row r="104" spans="1:46" ht="60" customHeight="1" x14ac:dyDescent="0.35">
      <c r="A104" s="205"/>
      <c r="B104" s="198" t="s">
        <v>2878</v>
      </c>
      <c r="C104" s="199" t="s">
        <v>2892</v>
      </c>
      <c r="D104" s="200" t="s">
        <v>2893</v>
      </c>
      <c r="E104" s="200" t="s">
        <v>2894</v>
      </c>
      <c r="F104" s="201" t="str">
        <f>IF(COUNTIF(G104:AT104,"&lt;&gt;")=0,"",SUMPRODUCT(((Recommendations[ImplStatus]="Implemented")+(Recommendations[ImplStatus]="Compensated"))*ISNUMBER(MATCH(Recommendations[Id],G104:AT104,0)))/COUNTIF(G104:AT104,"&lt;&gt;"))</f>
        <v/>
      </c>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8"/>
    </row>
    <row r="108" spans="1:46" ht="32" customHeight="1" x14ac:dyDescent="0.35">
      <c r="A108" s="291" t="s">
        <v>124</v>
      </c>
      <c r="B108" s="291"/>
      <c r="C108" s="291"/>
      <c r="D108" s="291"/>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IFERROR(INDEX('Recommendations'!$H$2:$H$22, MATCH(G2,'Recommendations'!$A$2:$A$22,0))="Implemented", FALSE))</xm:f>
            <x14:dxf>
              <font>
                <color rgb="FF000000"/>
              </font>
              <fill>
                <patternFill>
                  <bgColor rgb="FF3C7D22"/>
                </patternFill>
              </fill>
            </x14:dxf>
          </x14:cfRule>
          <x14:cfRule type="expression" priority="2" id="{00000000-000E-0000-0800-000002000000}">
            <xm:f>AND(G2&lt;&gt;"", IFERROR(INDEX('Recommendations'!$H$2:$H$22, MATCH(G2,'Recommendations'!$A$2:$A$22,0))="Compensated", FALSE))</xm:f>
            <x14:dxf>
              <font>
                <color rgb="FF000000"/>
              </font>
              <fill>
                <patternFill>
                  <bgColor rgb="FFC6E0B4"/>
                </patternFill>
              </fill>
            </x14:dxf>
          </x14:cfRule>
          <x14:cfRule type="expression" priority="3" id="{00000000-000E-0000-0800-000003000000}">
            <xm:f>AND(G2&lt;&gt;"", IFERROR(INDEX('Recommendations'!$H$2:$H$22, MATCH(G2,'Recommendations'!$A$2:$A$22,0))="Testing", FALSE))</xm:f>
            <x14:dxf>
              <font>
                <color rgb="FF000000"/>
              </font>
              <fill>
                <patternFill>
                  <bgColor rgb="FFFFC000"/>
                </patternFill>
              </fill>
            </x14:dxf>
          </x14:cfRule>
          <x14:cfRule type="expression" priority="4" id="{00000000-000E-0000-0800-000004000000}">
            <xm:f>AND(G2&lt;&gt;"", IFERROR(INDEX('Recommendations'!$H$2:$H$22, MATCH(G2,'Recommendations'!$A$2:$A$22,0))="Failed", FALSE))</xm:f>
            <x14:dxf>
              <font>
                <color rgb="FF000000"/>
              </font>
              <fill>
                <patternFill>
                  <bgColor rgb="FFD82891"/>
                </patternFill>
              </fill>
            </x14:dxf>
          </x14:cfRule>
          <x14:cfRule type="expression" priority="5" id="{00000000-000E-0000-0800-000005000000}">
            <xm:f>AND(G2&lt;&gt;"", IFERROR(INDEX('Recommendations'!$H$2:$H$22, MATCH(G2,'Recommendations'!$A$2:$A$22,0))="Risk Accepted", FALSE))</xm:f>
            <x14:dxf>
              <font>
                <color rgb="FF000000"/>
              </font>
              <fill>
                <patternFill>
                  <bgColor rgb="FFD9D9D9"/>
                </patternFill>
              </fill>
            </x14:dxf>
          </x14:cfRule>
          <x14:cfRule type="expression" priority="6" id="{00000000-000E-0000-0800-000006000000}">
            <xm:f>AND(G2&lt;&gt;"", IFERROR(INDEX('Recommendations'!$H$2:$H$22, MATCH(G2,'Recommendations'!$A$2:$A$22,0))="N/A",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Citrix Virtual Apps and Desktop 7.x Security Technical Implementation Guide - SHGIR</dc:title>
  <dc:subject>Generated on: 2026-06-08 13:37:28</dc:subject>
  <dc:creator>Anicet Fopa Tchoffo</dc:creator>
  <cp:keywords>Baseline;Hardening;DISA;STIG</cp:keywords>
  <dc:description>Baseline Developed By: Citrix Systems Inc. and Defense Information Systems Agency (DISA) for the US DoD</dc:description>
  <cp:lastModifiedBy>Anicet Fopa Tchoffo</cp:lastModifiedBy>
  <dcterms:modified xsi:type="dcterms:W3CDTF">2026-06-08T12:37:36Z</dcterms:modified>
  <cp:category>DISA-STIG</cp:category>
  <cp:contentStatus>Draft</cp:contentStatus>
</cp:coreProperties>
</file>