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92CB0EC6B626591A0C7DDACBBC6D810FCADAE40B" xr6:coauthVersionLast="47" xr6:coauthVersionMax="47" xr10:uidLastSave="{00DD0115-0A72-4E33-8A5A-30B0A1D4A58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F127" i="3" s="1"/>
  <c r="M4" i="1"/>
  <c r="M3" i="1"/>
  <c r="M2" i="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F106" i="3" s="1"/>
  <c r="C106" i="3"/>
  <c r="E105" i="3"/>
  <c r="D105" i="3"/>
  <c r="C105" i="3"/>
  <c r="F105" i="3" s="1"/>
  <c r="E88" i="3"/>
  <c r="D88" i="3"/>
  <c r="C88" i="3"/>
  <c r="F88" i="3" s="1"/>
  <c r="F87" i="3"/>
  <c r="D95" i="3" s="1"/>
  <c r="E87" i="3"/>
  <c r="D87" i="3"/>
  <c r="C87" i="3"/>
  <c r="E86" i="3"/>
  <c r="D86" i="3"/>
  <c r="C86" i="3"/>
  <c r="W138" i="3" s="1"/>
  <c r="E85" i="3"/>
  <c r="D85" i="3"/>
  <c r="C85" i="3"/>
  <c r="F85" i="3" s="1"/>
  <c r="F84" i="3"/>
  <c r="T168" i="3" s="1"/>
  <c r="E84" i="3"/>
  <c r="D84" i="3"/>
  <c r="C84" i="3"/>
  <c r="S138" i="3" s="1"/>
  <c r="E69" i="3"/>
  <c r="D69" i="3"/>
  <c r="C69" i="3"/>
  <c r="F69" i="3" s="1"/>
  <c r="E68" i="3"/>
  <c r="D68" i="3"/>
  <c r="C68" i="3"/>
  <c r="F68" i="3" s="1"/>
  <c r="E67" i="3"/>
  <c r="D67" i="3"/>
  <c r="F67" i="3" s="1"/>
  <c r="C67" i="3"/>
  <c r="F49" i="3"/>
  <c r="E58" i="3" s="1"/>
  <c r="E49" i="3"/>
  <c r="D49" i="3"/>
  <c r="C49" i="3"/>
  <c r="E48" i="3"/>
  <c r="F48" i="3" s="1"/>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F16" i="3" s="1"/>
  <c r="C16" i="3"/>
  <c r="Q138" i="3" s="1"/>
  <c r="D9" i="3"/>
  <c r="C9" i="3"/>
  <c r="C7" i="3" s="1"/>
  <c r="D7" i="3" s="1"/>
  <c r="D8" i="3"/>
  <c r="C8" i="3"/>
  <c r="E114" i="3" l="1"/>
  <c r="D114" i="3"/>
  <c r="C114" i="3"/>
  <c r="V168" i="3"/>
  <c r="V163" i="3"/>
  <c r="V158" i="3"/>
  <c r="V153" i="3"/>
  <c r="V148" i="3"/>
  <c r="V143" i="3"/>
  <c r="V167" i="3"/>
  <c r="V162" i="3"/>
  <c r="V157" i="3"/>
  <c r="V152" i="3"/>
  <c r="V147" i="3"/>
  <c r="V142" i="3"/>
  <c r="E93" i="3"/>
  <c r="D93" i="3"/>
  <c r="V166" i="3"/>
  <c r="V161" i="3"/>
  <c r="V156" i="3"/>
  <c r="V151" i="3"/>
  <c r="V146" i="3"/>
  <c r="V141" i="3"/>
  <c r="C93" i="3"/>
  <c r="V170" i="3"/>
  <c r="V165" i="3"/>
  <c r="V160" i="3"/>
  <c r="V155" i="3"/>
  <c r="V150" i="3"/>
  <c r="V145" i="3"/>
  <c r="V140" i="3"/>
  <c r="V169" i="3"/>
  <c r="V164" i="3"/>
  <c r="V159" i="3"/>
  <c r="V154" i="3"/>
  <c r="V149" i="3"/>
  <c r="V144" i="3"/>
  <c r="R168" i="3"/>
  <c r="R163" i="3"/>
  <c r="R158" i="3"/>
  <c r="R153" i="3"/>
  <c r="R148" i="3"/>
  <c r="R143" i="3"/>
  <c r="R167" i="3"/>
  <c r="R162" i="3"/>
  <c r="R157" i="3"/>
  <c r="R152" i="3"/>
  <c r="R147" i="3"/>
  <c r="R142" i="3"/>
  <c r="E20" i="3"/>
  <c r="D20" i="3"/>
  <c r="C20" i="3"/>
  <c r="R166" i="3"/>
  <c r="R161" i="3"/>
  <c r="R156" i="3"/>
  <c r="R151" i="3"/>
  <c r="R146" i="3"/>
  <c r="R141" i="3"/>
  <c r="R170" i="3"/>
  <c r="R165" i="3"/>
  <c r="R160" i="3"/>
  <c r="R155" i="3"/>
  <c r="R150" i="3"/>
  <c r="R145" i="3"/>
  <c r="R140" i="3"/>
  <c r="R169" i="3"/>
  <c r="R164" i="3"/>
  <c r="R159" i="3"/>
  <c r="R154" i="3"/>
  <c r="R149" i="3"/>
  <c r="R144" i="3"/>
  <c r="G127" i="3"/>
  <c r="E34" i="3"/>
  <c r="D34" i="3"/>
  <c r="C34" i="3"/>
  <c r="E57" i="3"/>
  <c r="D57" i="3"/>
  <c r="C57" i="3"/>
  <c r="C54" i="3"/>
  <c r="D54" i="3"/>
  <c r="E54" i="3"/>
  <c r="E96" i="3"/>
  <c r="D96" i="3"/>
  <c r="C96" i="3"/>
  <c r="E74" i="3"/>
  <c r="D74" i="3"/>
  <c r="C74" i="3"/>
  <c r="D55" i="3"/>
  <c r="E55" i="3"/>
  <c r="C55" i="3"/>
  <c r="E112" i="3"/>
  <c r="D112" i="3"/>
  <c r="C112" i="3"/>
  <c r="E53" i="3"/>
  <c r="D53" i="3"/>
  <c r="C53" i="3"/>
  <c r="E75" i="3"/>
  <c r="D75" i="3"/>
  <c r="C75" i="3"/>
  <c r="E115" i="3"/>
  <c r="D115" i="3"/>
  <c r="C115" i="3"/>
  <c r="E35" i="3"/>
  <c r="D35" i="3"/>
  <c r="C35" i="3"/>
  <c r="E73" i="3"/>
  <c r="D73" i="3"/>
  <c r="C73" i="3"/>
  <c r="E56" i="3"/>
  <c r="D56" i="3"/>
  <c r="C56" i="3"/>
  <c r="E113" i="3"/>
  <c r="D113" i="3"/>
  <c r="C113" i="3"/>
  <c r="F86" i="3"/>
  <c r="E95" i="3"/>
  <c r="T144" i="3"/>
  <c r="T149" i="3"/>
  <c r="T154" i="3"/>
  <c r="T159" i="3"/>
  <c r="T164" i="3"/>
  <c r="T169" i="3"/>
  <c r="U138" i="3"/>
  <c r="C58" i="3"/>
  <c r="T140" i="3"/>
  <c r="T145" i="3"/>
  <c r="T150" i="3"/>
  <c r="T155" i="3"/>
  <c r="T160" i="3"/>
  <c r="T165" i="3"/>
  <c r="T170" i="3"/>
  <c r="D58" i="3"/>
  <c r="C92" i="3"/>
  <c r="T141" i="3"/>
  <c r="T146" i="3"/>
  <c r="T151" i="3"/>
  <c r="T156" i="3"/>
  <c r="T161" i="3"/>
  <c r="T166" i="3"/>
  <c r="D92" i="3"/>
  <c r="E92" i="3"/>
  <c r="T142" i="3"/>
  <c r="T147" i="3"/>
  <c r="T152" i="3"/>
  <c r="T157" i="3"/>
  <c r="T162" i="3"/>
  <c r="T167" i="3"/>
  <c r="T143" i="3"/>
  <c r="T148" i="3"/>
  <c r="T153" i="3"/>
  <c r="T158" i="3"/>
  <c r="T163" i="3"/>
  <c r="C95" i="3"/>
  <c r="X168" i="3" l="1"/>
  <c r="X163" i="3"/>
  <c r="X158" i="3"/>
  <c r="X153" i="3"/>
  <c r="X148" i="3"/>
  <c r="X143" i="3"/>
  <c r="E94" i="3"/>
  <c r="D94" i="3"/>
  <c r="X167" i="3"/>
  <c r="X162" i="3"/>
  <c r="X157" i="3"/>
  <c r="X152" i="3"/>
  <c r="X147" i="3"/>
  <c r="X142" i="3"/>
  <c r="C94" i="3"/>
  <c r="X166" i="3"/>
  <c r="X161" i="3"/>
  <c r="X156" i="3"/>
  <c r="X151" i="3"/>
  <c r="X146" i="3"/>
  <c r="X141" i="3"/>
  <c r="X170" i="3"/>
  <c r="X165" i="3"/>
  <c r="X160" i="3"/>
  <c r="X155" i="3"/>
  <c r="X150" i="3"/>
  <c r="X145" i="3"/>
  <c r="X140" i="3"/>
  <c r="X169" i="3"/>
  <c r="X164" i="3"/>
  <c r="X159" i="3"/>
  <c r="X154" i="3"/>
  <c r="X149" i="3"/>
  <c r="X14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5" authorId="0" shapeId="0" xr:uid="{00000000-0006-0000-0400-000001000000}">
      <text>
        <r>
          <rPr>
            <sz val="11"/>
            <rFont val="Calibri"/>
          </rPr>
          <t>The Cisco ISE must be configured to profile endpoints connecting to the network. This is required for compliance with C2C Step 4.</t>
        </r>
      </text>
    </comment>
    <comment ref="K5" authorId="0" shapeId="0" xr:uid="{00000000-0006-0000-0400-000006000000}">
      <text>
        <r>
          <rPr>
            <sz val="11"/>
            <rFont val="Calibri"/>
          </rPr>
          <t>The Cisco ISE must be configured to notify the user before proceeding with remediation of the user</t>
        </r>
        <r>
          <rPr>
            <sz val="11"/>
            <color rgb="FF000000"/>
            <rFont val="Calibri"/>
          </rPr>
          <t>'</t>
        </r>
        <r>
          <rPr>
            <sz val="11"/>
            <color rgb="FF000000"/>
            <rFont val="Calibri"/>
          </rPr>
          <t>s endpoint device when automated remediation is used. This is required for compliance with C2C Step 3.</t>
        </r>
      </text>
    </comment>
    <comment ref="L5" authorId="0" shapeId="0" xr:uid="{00000000-0006-0000-0400-000002000000}">
      <text>
        <r>
          <rPr>
            <sz val="11"/>
            <rFont val="Calibri"/>
          </rPr>
          <t>The Cisco ISE must deny or restrict access for endpoints that fail required posture checks. This is required for compliance with C2C Step 4.</t>
        </r>
      </text>
    </comment>
    <comment ref="M5" authorId="0" shapeId="0" xr:uid="{00000000-0006-0000-0400-000003000000}">
      <text>
        <r>
          <rPr>
            <sz val="11"/>
            <rFont val="Calibri"/>
          </rPr>
          <t>The Cisco ISE must perform continuous detection and tracking of endpoint devices attached to the network. This is required for compliance with C2C Step 1.</t>
        </r>
      </text>
    </comment>
    <comment ref="N5" authorId="0" shapeId="0" xr:uid="{00000000-0006-0000-0400-000004000000}">
      <text>
        <r>
          <rPr>
            <sz val="11"/>
            <rFont val="Calibri"/>
          </rPr>
          <t>The Cisco ISE must enforce posture status assessment for posture required clients defined in the NAC System Security Plan (SSP). This is required for compliance with C2C Step 3.</t>
        </r>
      </text>
    </comment>
    <comment ref="O5" authorId="0" shapeId="0" xr:uid="{00000000-0006-0000-0400-000005000000}">
      <text>
        <r>
          <rPr>
            <sz val="11"/>
            <rFont val="Calibri"/>
          </rPr>
          <t>The Cisco ISE must have a posture policy for posture required clients defined in the NAC System Security Plan (SSP). This is required for compliance with C2C Step 2.</t>
        </r>
      </text>
    </comment>
    <comment ref="J10" authorId="0" shapeId="0" xr:uid="{00000000-0006-0000-0400-000007000000}">
      <text>
        <r>
          <rPr>
            <sz val="11"/>
            <rFont val="Calibri"/>
          </rPr>
          <t>The Cisco ISE must enforce access restrictions associated with changes to the firmware, OS, and hardware components.</t>
        </r>
      </text>
    </comment>
    <comment ref="K10" authorId="0" shapeId="0" xr:uid="{00000000-0006-0000-0400-000008000000}">
      <text>
        <r>
          <rPr>
            <sz val="11"/>
            <rFont val="Calibri"/>
          </rPr>
          <t>The Cisco ISE must be running an operating system release that is currently supported by the vendor.</t>
        </r>
      </text>
    </comment>
    <comment ref="J15" authorId="0" shapeId="0" xr:uid="{00000000-0006-0000-0400-000009000000}">
      <text>
        <r>
          <rPr>
            <sz val="11"/>
            <rFont val="Calibri"/>
          </rPr>
          <t>The Cisco ISE must verify the checksum value of any software download, including install files (ISO or OVA), patch files, and upgrade bundles.</t>
        </r>
      </text>
    </comment>
    <comment ref="J26" authorId="0" shapeId="0" xr:uid="{00000000-0006-0000-0400-00000A000000}">
      <text>
        <r>
          <rPr>
            <sz val="11"/>
            <rFont val="Calibri"/>
          </rPr>
          <t>The Cisco ISE must use TLS 1.2, at a minimum, to protect the confidentiality of information passed between the endpoint agent and the Cisco ISE. This is This is required for compliance with C2C Step 1.</t>
        </r>
      </text>
    </comment>
    <comment ref="K26" authorId="0" shapeId="0" xr:uid="{00000000-0006-0000-0400-00000C000000}">
      <text>
        <r>
          <rPr>
            <sz val="11"/>
            <rFont val="Calibri"/>
          </rPr>
          <t>Before establishing a connection with a Network Time Protocol (NTP) server, the Cisco ISE must authenticate using a bidirectional, cryptographically based authentication method that uses a FIPS-validated Advanced Encryption Standard (AES) cipher block algorithm to authenticate with the NTP server. This is required for compliance with C2C Step 1.</t>
        </r>
      </text>
    </comment>
    <comment ref="L26" authorId="0" shapeId="0" xr:uid="{00000000-0006-0000-0400-00000D000000}">
      <text>
        <r>
          <rPr>
            <sz val="11"/>
            <rFont val="Calibri"/>
          </rPr>
          <t>Before establishing a local, remote, and/or network connection with any endpoint device, the Cisco ISE must use a bidirectional authentication mechanism configured with a FIPS-validated Advanced Encryption Standard (AES) cipher block algorithm to authenticate with the endpoint device. This is required for compliance with C2C Step 1.</t>
        </r>
      </text>
    </comment>
    <comment ref="M26" authorId="0" shapeId="0" xr:uid="{00000000-0006-0000-0400-00000E000000}">
      <text>
        <r>
          <rPr>
            <sz val="11"/>
            <rFont val="Calibri"/>
          </rPr>
          <t>The Cisco ISE must be configured to authenticate SNMP messages using a FIPS-validated Keyed-Hash Message Authentication Code (HMAC).</t>
        </r>
      </text>
    </comment>
    <comment ref="N26" authorId="0" shapeId="0" xr:uid="{00000000-0006-0000-0400-00000F000000}">
      <text>
        <r>
          <rPr>
            <sz val="11"/>
            <rFont val="Calibri"/>
          </rPr>
          <t>The Cisco ISE must use FIPS-validated Keyed-Hash Message Authentication Code (HMAC) to protect the integrity of nonlocal maintenance and diagnostic communications.</t>
        </r>
      </text>
    </comment>
    <comment ref="O26" authorId="0" shapeId="0" xr:uid="{00000000-0006-0000-0400-000010000000}">
      <text>
        <r>
          <rPr>
            <sz val="11"/>
            <rFont val="Calibri"/>
          </rPr>
          <t>The Cisco ISE must be configured to implement cryptographic mechanisms using a FIPS 140-2 validated algorithm to protect the confidentiality of remote maintenance sessions.</t>
        </r>
      </text>
    </comment>
    <comment ref="P26" authorId="0" shapeId="0" xr:uid="{00000000-0006-0000-0400-00000B000000}">
      <text>
        <r>
          <rPr>
            <sz val="11"/>
            <rFont val="Calibri"/>
          </rPr>
          <t>The Cisco ISE must generate unique session identifiers using a FIPS 140-2 approved Random Number Generator (RNG) using DRGB.</t>
        </r>
      </text>
    </comment>
    <comment ref="J32" authorId="0" shapeId="0" xr:uid="{00000000-0006-0000-0400-000011000000}">
      <text>
        <r>
          <rPr>
            <sz val="11"/>
            <rFont val="Calibri"/>
          </rPr>
          <t>The Cisco ISE must be configured to profile endpoints connecting to the network. This is required for compliance with C2C Step 4.</t>
        </r>
      </text>
    </comment>
    <comment ref="K32" authorId="0" shapeId="0" xr:uid="{00000000-0006-0000-0400-000012000000}">
      <text>
        <r>
          <rPr>
            <sz val="11"/>
            <rFont val="Calibri"/>
          </rPr>
          <t>The Cisco ISE must deny or restrict access for endpoints that fail required posture checks. This is required for compliance with C2C Step 4.</t>
        </r>
      </text>
    </comment>
    <comment ref="L32" authorId="0" shapeId="0" xr:uid="{00000000-0006-0000-0400-000013000000}">
      <text>
        <r>
          <rPr>
            <sz val="11"/>
            <rFont val="Calibri"/>
          </rPr>
          <t>The Cisco ISE must enforce posture status assessment for posture required clients defined in the NAC System Security Plan (SSP). This is required for compliance with C2C Step 3.</t>
        </r>
      </text>
    </comment>
    <comment ref="M32" authorId="0" shapeId="0" xr:uid="{00000000-0006-0000-0400-000014000000}">
      <text>
        <r>
          <rPr>
            <sz val="11"/>
            <rFont val="Calibri"/>
          </rPr>
          <t>The Cisco ISE must have a posture policy for posture required clients defined in the NAC System Security Plan (SSP). This is required for compliance with C2C Step 2.</t>
        </r>
      </text>
    </comment>
    <comment ref="J34" authorId="0" shapeId="0" xr:uid="{00000000-0006-0000-0400-000015000000}">
      <text>
        <r>
          <rPr>
            <sz val="11"/>
            <rFont val="Calibri"/>
          </rPr>
          <t>The Cisco ISE must terminate all network connections associated with a device management session at the end of the session, or the session must be terminated after six minutes of inactivity, except to fulfill documented and validated mission requirements.</t>
        </r>
      </text>
    </comment>
    <comment ref="J36" authorId="0" shapeId="0" xr:uid="{00000000-0006-0000-0400-000016000000}">
      <text>
        <r>
          <rPr>
            <sz val="11"/>
            <rFont val="Calibri"/>
          </rPr>
          <t>The Cisco ISE must verify host-based firewall software is running on posture required clients defined in the NAC System Security Plan (SSP) prior to granting trusted network access. This is required for compliance with C2C Step 4.</t>
        </r>
      </text>
    </comment>
    <comment ref="J38" authorId="0" shapeId="0" xr:uid="{00000000-0006-0000-0400-000017000000}">
      <text>
        <r>
          <rPr>
            <sz val="11"/>
            <rFont val="Calibri"/>
          </rPr>
          <t>The Cisco ISE must be configured with only one local web-based account to be used as the account of last resort in the event the authentication server is unavailable.</t>
        </r>
      </text>
    </comment>
    <comment ref="K38" authorId="0" shapeId="0" xr:uid="{00000000-0006-0000-0400-000018000000}">
      <text>
        <r>
          <rPr>
            <sz val="11"/>
            <rFont val="Calibri"/>
          </rPr>
          <t>For the local account of last resort, the Cisco ISE must display the Standard Mandatory DoD Notice and Consent Banner before granting access to the device.</t>
        </r>
      </text>
    </comment>
    <comment ref="J39" authorId="0" shapeId="0" xr:uid="{00000000-0006-0000-0400-000019000000}">
      <text>
        <r>
          <rPr>
            <sz val="11"/>
            <rFont val="Calibri"/>
          </rPr>
          <t>The Cisco ISE must be configured to prohibit the use of all unnecessary and/or nonsecure functions, ports, protocols, and/or services.</t>
        </r>
      </text>
    </comment>
    <comment ref="K39" authorId="0" shapeId="0" xr:uid="{00000000-0006-0000-0400-00001A000000}">
      <text>
        <r>
          <rPr>
            <sz val="11"/>
            <rFont val="Calibri"/>
          </rPr>
          <t>The Cisco ISE must be configured to disable Wireless Setup for production systems.</t>
        </r>
      </text>
    </comment>
    <comment ref="J41" authorId="0" shapeId="0" xr:uid="{00000000-0006-0000-0400-00001B000000}">
      <text>
        <r>
          <rPr>
            <sz val="11"/>
            <rFont val="Calibri"/>
          </rPr>
          <t>The Cisco ISE must be configured to enforce the limit of three consecutive invalid logon attempts, after which time it must lock out the user account from accessing the device for 15 minutes.</t>
        </r>
      </text>
    </comment>
    <comment ref="J45" authorId="0" shapeId="0" xr:uid="{00000000-0006-0000-0400-00001C000000}">
      <text>
        <r>
          <rPr>
            <sz val="11"/>
            <rFont val="Calibri"/>
          </rPr>
          <t>For the local web-based account of last resort, the Cisco ISE must automatically audit account creation.</t>
        </r>
      </text>
    </comment>
    <comment ref="K45" authorId="0" shapeId="0" xr:uid="{00000000-0006-0000-0400-00001D000000}">
      <text>
        <r>
          <rPr>
            <sz val="11"/>
            <rFont val="Calibri"/>
          </rPr>
          <t>For the local web-based account of last resort and the default local CLI account, the Cisco ISE must automatically audit account modification.</t>
        </r>
      </text>
    </comment>
    <comment ref="L45" authorId="0" shapeId="0" xr:uid="{00000000-0006-0000-0400-00001E000000}">
      <text>
        <r>
          <rPr>
            <sz val="11"/>
            <rFont val="Calibri"/>
          </rPr>
          <t>For the local web-based account of last resort, the Cisco ISE must automatically audit account disabling actions.</t>
        </r>
      </text>
    </comment>
    <comment ref="M45" authorId="0" shapeId="0" xr:uid="{00000000-0006-0000-0400-00001F000000}">
      <text>
        <r>
          <rPr>
            <sz val="11"/>
            <rFont val="Calibri"/>
          </rPr>
          <t>For the local account of last resort, the Cisco ISE must automatically audit account removal actions.</t>
        </r>
      </text>
    </comment>
    <comment ref="N45" authorId="0" shapeId="0" xr:uid="{00000000-0006-0000-0400-000020000000}">
      <text>
        <r>
          <rPr>
            <sz val="11"/>
            <rFont val="Calibri"/>
          </rPr>
          <t>The Cisco ISE must automatically audit account enabling actions.</t>
        </r>
      </text>
    </comment>
    <comment ref="J46" authorId="0" shapeId="0" xr:uid="{00000000-0006-0000-0400-000021000000}">
      <text>
        <r>
          <rPr>
            <sz val="11"/>
            <rFont val="Calibri"/>
          </rPr>
          <t>For accounts using password authentication, the Cisco ISE must enforce a minimum 15-character password length.</t>
        </r>
      </text>
    </comment>
    <comment ref="K46" authorId="0" shapeId="0" xr:uid="{00000000-0006-0000-0400-000023000000}">
      <text>
        <r>
          <rPr>
            <sz val="11"/>
            <rFont val="Calibri"/>
          </rPr>
          <t>For accounts using password authentication, the Cisco ISE must enforce password complexity by requiring that at least one uppercase character be used.</t>
        </r>
      </text>
    </comment>
    <comment ref="L46" authorId="0" shapeId="0" xr:uid="{00000000-0006-0000-0400-000024000000}">
      <text>
        <r>
          <rPr>
            <sz val="11"/>
            <rFont val="Calibri"/>
          </rPr>
          <t>For accounts using password authentication, the Cisco ISE must enforce password complexity by requiring that at least one lowercase character be used.</t>
        </r>
      </text>
    </comment>
    <comment ref="M46" authorId="0" shapeId="0" xr:uid="{00000000-0006-0000-0400-000025000000}">
      <text>
        <r>
          <rPr>
            <sz val="11"/>
            <rFont val="Calibri"/>
          </rPr>
          <t>For accounts using password authentication, the Cisco ISE must enforce password complexity by requiring that at least one digit be used.</t>
        </r>
      </text>
    </comment>
    <comment ref="N46" authorId="0" shapeId="0" xr:uid="{00000000-0006-0000-0400-000026000000}">
      <text>
        <r>
          <rPr>
            <sz val="11"/>
            <rFont val="Calibri"/>
          </rPr>
          <t>For accounts using password authentication, the Cisco ISE must enforce password complexity by requiring that at least one special character be used.</t>
        </r>
      </text>
    </comment>
    <comment ref="O46" authorId="0" shapeId="0" xr:uid="{00000000-0006-0000-0400-000027000000}">
      <text>
        <r>
          <rPr>
            <sz val="11"/>
            <rFont val="Calibri"/>
          </rPr>
          <t>For accounts using password authentication, the Cisco ISE must use FIPS-validated SHA-2 or later protocol to protect the integrity of the password authentication process.</t>
        </r>
      </text>
    </comment>
    <comment ref="P46" authorId="0" shapeId="0" xr:uid="{00000000-0006-0000-0400-000028000000}">
      <text>
        <r>
          <rPr>
            <sz val="11"/>
            <rFont val="Calibri"/>
          </rPr>
          <t>The Cisco ISE must prohibit the use of cached authenticators after an organization-defined time period.</t>
        </r>
      </text>
    </comment>
    <comment ref="Q46" authorId="0" shapeId="0" xr:uid="{00000000-0006-0000-0400-000022000000}">
      <text>
        <r>
          <rPr>
            <sz val="11"/>
            <rFont val="Calibri"/>
          </rPr>
          <t>The Cisco ISE must use FIPS-validated SHA-2 (or greater) to protect the integrity of hash message authentication code (HMAC), Key Derivation Functions (KDFs), Random Bit Generation, and hash-only applications.</t>
        </r>
      </text>
    </comment>
    <comment ref="J48" authorId="0" shapeId="0" xr:uid="{00000000-0006-0000-0400-000029000000}">
      <text>
        <r>
          <rPr>
            <sz val="11"/>
            <rFont val="Calibri"/>
          </rPr>
          <t>The Cisco ISE must be configured with only one local web-based account to be used as the account of last resort in the event the authentication server is unavailable.</t>
        </r>
      </text>
    </comment>
    <comment ref="K48" authorId="0" shapeId="0" xr:uid="{00000000-0006-0000-0400-00002A000000}">
      <text>
        <r>
          <rPr>
            <sz val="11"/>
            <rFont val="Calibri"/>
          </rPr>
          <t>The Cisco ISE must prevent non-privileged users from executing privileged functions to include disabling, circumventing, or altering implemented security safeguards/countermeasures.</t>
        </r>
      </text>
    </comment>
    <comment ref="L48" authorId="0" shapeId="0" xr:uid="{00000000-0006-0000-0400-00002B000000}">
      <text>
        <r>
          <rPr>
            <sz val="11"/>
            <rFont val="Calibri"/>
          </rPr>
          <t>The Cisco ISE must audit the execution of privileged functions.</t>
        </r>
      </text>
    </comment>
    <comment ref="M48" authorId="0" shapeId="0" xr:uid="{00000000-0006-0000-0400-00002C000000}">
      <text>
        <r>
          <rPr>
            <sz val="11"/>
            <rFont val="Calibri"/>
          </rPr>
          <t>For the local account of last resort, the Cisco ISE must display the Standard Mandatory DoD Notice and Consent Banner before granting access to the device.</t>
        </r>
      </text>
    </comment>
    <comment ref="J52" authorId="0" shapeId="0" xr:uid="{00000000-0006-0000-0400-00002D000000}">
      <text>
        <r>
          <rPr>
            <sz val="11"/>
            <rFont val="Calibri"/>
          </rPr>
          <t>For the local web-based account of last resort, the Cisco ISE must automatically audit account creation.</t>
        </r>
      </text>
    </comment>
    <comment ref="K52" authorId="0" shapeId="0" xr:uid="{00000000-0006-0000-0400-00002E000000}">
      <text>
        <r>
          <rPr>
            <sz val="11"/>
            <rFont val="Calibri"/>
          </rPr>
          <t>For the local web-based account of last resort and the default local CLI account, the Cisco ISE must automatically audit account modification.</t>
        </r>
      </text>
    </comment>
    <comment ref="L52" authorId="0" shapeId="0" xr:uid="{00000000-0006-0000-0400-00002F000000}">
      <text>
        <r>
          <rPr>
            <sz val="11"/>
            <rFont val="Calibri"/>
          </rPr>
          <t>For the local web-based account of last resort, the Cisco ISE must automatically audit account disabling actions.</t>
        </r>
      </text>
    </comment>
    <comment ref="M52" authorId="0" shapeId="0" xr:uid="{00000000-0006-0000-0400-000030000000}">
      <text>
        <r>
          <rPr>
            <sz val="11"/>
            <rFont val="Calibri"/>
          </rPr>
          <t>For the local account of last resort, the Cisco ISE must automatically audit account removal actions.</t>
        </r>
      </text>
    </comment>
    <comment ref="N52" authorId="0" shapeId="0" xr:uid="{00000000-0006-0000-0400-000031000000}">
      <text>
        <r>
          <rPr>
            <sz val="11"/>
            <rFont val="Calibri"/>
          </rPr>
          <t>The Cisco ISE must automatically audit account enabling actions.</t>
        </r>
      </text>
    </comment>
    <comment ref="J53" authorId="0" shapeId="0" xr:uid="{00000000-0006-0000-0400-000032000000}">
      <text>
        <r>
          <rPr>
            <sz val="11"/>
            <rFont val="Calibri"/>
          </rPr>
          <t>For the local web-based account of last resort, the Cisco ISE must automatically audit account creation.</t>
        </r>
      </text>
    </comment>
    <comment ref="K53" authorId="0" shapeId="0" xr:uid="{00000000-0006-0000-0400-000033000000}">
      <text>
        <r>
          <rPr>
            <sz val="11"/>
            <rFont val="Calibri"/>
          </rPr>
          <t>For the local web-based account of last resort and the default local CLI account, the Cisco ISE must automatically audit account modification.</t>
        </r>
      </text>
    </comment>
    <comment ref="L53" authorId="0" shapeId="0" xr:uid="{00000000-0006-0000-0400-000034000000}">
      <text>
        <r>
          <rPr>
            <sz val="11"/>
            <rFont val="Calibri"/>
          </rPr>
          <t>For the local web-based account of last resort, the Cisco ISE must automatically audit account disabling actions.</t>
        </r>
      </text>
    </comment>
    <comment ref="M53" authorId="0" shapeId="0" xr:uid="{00000000-0006-0000-0400-000035000000}">
      <text>
        <r>
          <rPr>
            <sz val="11"/>
            <rFont val="Calibri"/>
          </rPr>
          <t>For the local account of last resort, the Cisco ISE must automatically audit account removal actions.</t>
        </r>
      </text>
    </comment>
    <comment ref="N53" authorId="0" shapeId="0" xr:uid="{00000000-0006-0000-0400-000036000000}">
      <text>
        <r>
          <rPr>
            <sz val="11"/>
            <rFont val="Calibri"/>
          </rPr>
          <t>The Cisco ISE must automatically audit account enabling actions.</t>
        </r>
      </text>
    </comment>
    <comment ref="J54" authorId="0" shapeId="0" xr:uid="{00000000-0006-0000-0400-000037000000}">
      <text>
        <r>
          <rPr>
            <sz val="11"/>
            <rFont val="Calibri"/>
          </rPr>
          <t>For accounts using password authentication, the Cisco ISE must implement replay-resistant authentication mechanisms for network access to privileged accounts.</t>
        </r>
      </text>
    </comment>
    <comment ref="J56" authorId="0" shapeId="0" xr:uid="{00000000-0006-0000-0400-000038000000}">
      <text>
        <r>
          <rPr>
            <sz val="11"/>
            <rFont val="Calibri"/>
          </rPr>
          <t>For accounts using password authentication, the Cisco ISE must implement replay-resistant authentication mechanisms for network access to privileged accounts.</t>
        </r>
      </text>
    </comment>
    <comment ref="J63" authorId="0" shapeId="0" xr:uid="{00000000-0006-0000-0400-000039000000}">
      <text>
        <r>
          <rPr>
            <sz val="11"/>
            <rFont val="Calibri"/>
          </rPr>
          <t>The Cisco ISE must enforce access restrictions associated with changes to the firmware, OS, and hardware components.</t>
        </r>
      </text>
    </comment>
    <comment ref="K63" authorId="0" shapeId="0" xr:uid="{00000000-0006-0000-0400-00003A000000}">
      <text>
        <r>
          <rPr>
            <sz val="11"/>
            <rFont val="Calibri"/>
          </rPr>
          <t>The Cisco ISE must be running an operating system release that is currently supported by the vendor.</t>
        </r>
      </text>
    </comment>
    <comment ref="J70" authorId="0" shapeId="0" xr:uid="{00000000-0006-0000-0400-00003B000000}">
      <text>
        <r>
          <rPr>
            <sz val="11"/>
            <rFont val="Calibri"/>
          </rPr>
          <t>The Cisco ISE must generate a log record when an endpoint fails authentication. This is This is required for compliance with C2C Step 1.</t>
        </r>
      </text>
    </comment>
    <comment ref="K70" authorId="0" shapeId="0" xr:uid="{00000000-0006-0000-0400-000043000000}">
      <text>
        <r>
          <rPr>
            <sz val="11"/>
            <rFont val="Calibri"/>
          </rPr>
          <t>The Cisco ISE must generate a log record when the client machine fails posture assessment because required security software is missing or has been deleted. This is This is required for compliance with C2C Step 1.</t>
        </r>
      </text>
    </comment>
    <comment ref="L70" authorId="0" shapeId="0" xr:uid="{00000000-0006-0000-0400-000044000000}">
      <text>
        <r>
          <rPr>
            <sz val="11"/>
            <rFont val="Calibri"/>
          </rPr>
          <t>The Cisco ISE must provide an alert to, at a minimum, the SA and ISSO of all audit failure events where the detection and/or prevention function is unable to write events to either local storage or the centralized server. This is required for compliance with C2C Step 1.</t>
        </r>
      </text>
    </comment>
    <comment ref="M70" authorId="0" shapeId="0" xr:uid="{00000000-0006-0000-0400-000045000000}">
      <text>
        <r>
          <rPr>
            <sz val="11"/>
            <rFont val="Calibri"/>
          </rPr>
          <t>The Cisco ISE must be configured with a secondary log server in case the primary log is unreachable. This is required for compliance with C2C Step 1.</t>
        </r>
      </text>
    </comment>
    <comment ref="N70" authorId="0" shapeId="0" xr:uid="{00000000-0006-0000-0400-000046000000}">
      <text>
        <r>
          <rPr>
            <sz val="11"/>
            <rFont val="Calibri"/>
          </rPr>
          <t>The Cisco ISE must continue to queue traffic log records locally when communication with the central log server is lost and there is an audit archival failure. This is required for compliance with C2C Step 1.</t>
        </r>
      </text>
    </comment>
    <comment ref="O70" authorId="0" shapeId="0" xr:uid="{00000000-0006-0000-0400-000047000000}">
      <text>
        <r>
          <rPr>
            <sz val="11"/>
            <rFont val="Calibri"/>
          </rPr>
          <t>The Cisco ISE must protect against an individual (or process acting on behalf of an individual) falsely denying having performed organization-defined actions to be covered by non-repudiation.</t>
        </r>
      </text>
    </comment>
    <comment ref="P70" authorId="0" shapeId="0" xr:uid="{00000000-0006-0000-0400-000048000000}">
      <text>
        <r>
          <rPr>
            <sz val="11"/>
            <rFont val="Calibri"/>
          </rPr>
          <t>The Cisco ISE must generate audit records when successful logon attempts occur.</t>
        </r>
      </text>
    </comment>
    <comment ref="Q70" authorId="0" shapeId="0" xr:uid="{00000000-0006-0000-0400-000049000000}">
      <text>
        <r>
          <rPr>
            <sz val="11"/>
            <rFont val="Calibri"/>
          </rPr>
          <t>The Cisco ISE must generate audit records when concurrent logons from different workstations occur.</t>
        </r>
      </text>
    </comment>
    <comment ref="R70" authorId="0" shapeId="0" xr:uid="{00000000-0006-0000-0400-00003C000000}">
      <text>
        <r>
          <rPr>
            <sz val="11"/>
            <rFont val="Calibri"/>
          </rPr>
          <t>The Cisco ISE must limit audit record storage capacity for all locally stored logs.</t>
        </r>
      </text>
    </comment>
    <comment ref="S70" authorId="0" shapeId="0" xr:uid="{00000000-0006-0000-0400-00003D000000}">
      <text>
        <r>
          <rPr>
            <sz val="11"/>
            <rFont val="Calibri"/>
          </rPr>
          <t>The Cisco ISE must configure a remote syslog where audit records are stored on a centralized logging target that is different from the system being audited.</t>
        </r>
      </text>
    </comment>
    <comment ref="T70" authorId="0" shapeId="0" xr:uid="{00000000-0006-0000-0400-00003E000000}">
      <text>
        <r>
          <rPr>
            <sz val="11"/>
            <rFont val="Calibri"/>
          </rPr>
          <t>The Cisco ISE must record time stamps for audit records that can be mapped to Coordinated Universal Time (UTC).</t>
        </r>
      </text>
    </comment>
    <comment ref="U70" authorId="0" shapeId="0" xr:uid="{00000000-0006-0000-0400-00003F000000}">
      <text>
        <r>
          <rPr>
            <sz val="11"/>
            <rFont val="Calibri"/>
          </rPr>
          <t>The Cisco ISE must generate log records for a locally developed list of auditable events.</t>
        </r>
      </text>
    </comment>
    <comment ref="V70" authorId="0" shapeId="0" xr:uid="{00000000-0006-0000-0400-000040000000}">
      <text>
        <r>
          <rPr>
            <sz val="11"/>
            <rFont val="Calibri"/>
          </rPr>
          <t>The Cisco ISE must be configured to send log data to at least two central log servers for the purpose of forwarding alerts to the administrators and the information system security officer (ISSO).</t>
        </r>
      </text>
    </comment>
    <comment ref="W70" authorId="0" shapeId="0" xr:uid="{00000000-0006-0000-0400-000041000000}">
      <text>
        <r>
          <rPr>
            <sz val="11"/>
            <rFont val="Calibri"/>
          </rPr>
          <t>The Cisco ISE must initiate session auditing upon startup.</t>
        </r>
      </text>
    </comment>
    <comment ref="X70" authorId="0" shapeId="0" xr:uid="{00000000-0006-0000-0400-000042000000}">
      <text>
        <r>
          <rPr>
            <sz val="11"/>
            <rFont val="Calibri"/>
          </rPr>
          <t>The Cisco ISE must generate audit records containing the full-text recording of privileged commands.</t>
        </r>
      </text>
    </comment>
    <comment ref="J72" authorId="0" shapeId="0" xr:uid="{00000000-0006-0000-0400-00004A000000}">
      <text>
        <r>
          <rPr>
            <sz val="11"/>
            <rFont val="Calibri"/>
          </rPr>
          <t>The Cisco ISE must be configured to synchronize internal information system clocks using redundant authoritative time sources.</t>
        </r>
      </text>
    </comment>
    <comment ref="K72" authorId="0" shapeId="0" xr:uid="{00000000-0006-0000-0400-00004B000000}">
      <text>
        <r>
          <rPr>
            <sz val="11"/>
            <rFont val="Calibri"/>
          </rPr>
          <t>The Cisco ISE must record time stamps for audit records that can be mapped to Coordinated Universal Time (UTC).</t>
        </r>
      </text>
    </comment>
    <comment ref="L72" authorId="0" shapeId="0" xr:uid="{00000000-0006-0000-0400-00004C000000}">
      <text>
        <r>
          <rPr>
            <sz val="11"/>
            <rFont val="Calibri"/>
          </rPr>
          <t>The Cisco ISE must authenticate Network Time Protocol (NTP) sources using authentication that is cryptographically based.</t>
        </r>
      </text>
    </comment>
    <comment ref="J73" authorId="0" shapeId="0" xr:uid="{00000000-0006-0000-0400-00004D000000}">
      <text>
        <r>
          <rPr>
            <sz val="11"/>
            <rFont val="Calibri"/>
          </rPr>
          <t>The Cisco ISE must generate a log record when an endpoint fails authentication. This is This is required for compliance with C2C Step 1.</t>
        </r>
      </text>
    </comment>
    <comment ref="K73" authorId="0" shapeId="0" xr:uid="{00000000-0006-0000-0400-00004E000000}">
      <text>
        <r>
          <rPr>
            <sz val="11"/>
            <rFont val="Calibri"/>
          </rPr>
          <t>The Cisco ISE must generate a log record when the client machine fails posture assessment because required security software is missing or has been deleted. This is This is required for compliance with C2C Step 1.</t>
        </r>
      </text>
    </comment>
    <comment ref="L73" authorId="0" shapeId="0" xr:uid="{00000000-0006-0000-0400-00004F000000}">
      <text>
        <r>
          <rPr>
            <sz val="11"/>
            <rFont val="Calibri"/>
          </rPr>
          <t>The Cisco ISE must continue to queue traffic log records locally when communication with the central log server is lost and there is an audit archival failure. This is required for compliance with C2C Step 1.</t>
        </r>
      </text>
    </comment>
    <comment ref="M73" authorId="0" shapeId="0" xr:uid="{00000000-0006-0000-0400-000050000000}">
      <text>
        <r>
          <rPr>
            <sz val="11"/>
            <rFont val="Calibri"/>
          </rPr>
          <t>The Cisco ISE must prevent non-privileged users from executing privileged functions to include disabling, circumventing, or altering implemented security safeguards/countermeasures.</t>
        </r>
      </text>
    </comment>
    <comment ref="N73" authorId="0" shapeId="0" xr:uid="{00000000-0006-0000-0400-000051000000}">
      <text>
        <r>
          <rPr>
            <sz val="11"/>
            <rFont val="Calibri"/>
          </rPr>
          <t>The Cisco ISE must audit the execution of privileged functions.</t>
        </r>
      </text>
    </comment>
    <comment ref="O73" authorId="0" shapeId="0" xr:uid="{00000000-0006-0000-0400-000052000000}">
      <text>
        <r>
          <rPr>
            <sz val="11"/>
            <rFont val="Calibri"/>
          </rPr>
          <t>The Cisco ISE must generate audit records when successful attempts to access privileges occur.</t>
        </r>
      </text>
    </comment>
    <comment ref="P73" authorId="0" shapeId="0" xr:uid="{00000000-0006-0000-0400-000053000000}">
      <text>
        <r>
          <rPr>
            <sz val="11"/>
            <rFont val="Calibri"/>
          </rPr>
          <t>The Cisco ISE must generate audit records when successful attempts to modify administrator privileges occur.</t>
        </r>
      </text>
    </comment>
    <comment ref="Q73" authorId="0" shapeId="0" xr:uid="{00000000-0006-0000-0400-000054000000}">
      <text>
        <r>
          <rPr>
            <sz val="11"/>
            <rFont val="Calibri"/>
          </rPr>
          <t>The Cisco ISE must generate audit records when successful attempts to delete administrator privileges occur.</t>
        </r>
      </text>
    </comment>
    <comment ref="R73" authorId="0" shapeId="0" xr:uid="{00000000-0006-0000-0400-000055000000}">
      <text>
        <r>
          <rPr>
            <sz val="11"/>
            <rFont val="Calibri"/>
          </rPr>
          <t>The Cisco ISE must generate audit records for privileged activities or other system-level access.</t>
        </r>
      </text>
    </comment>
    <comment ref="S73" authorId="0" shapeId="0" xr:uid="{00000000-0006-0000-0400-000056000000}">
      <text>
        <r>
          <rPr>
            <sz val="11"/>
            <rFont val="Calibri"/>
          </rPr>
          <t>The Cisco ISE must generate audit records when concurrent logons from different workstations occur.</t>
        </r>
      </text>
    </comment>
    <comment ref="T73" authorId="0" shapeId="0" xr:uid="{00000000-0006-0000-0400-000057000000}">
      <text>
        <r>
          <rPr>
            <sz val="11"/>
            <rFont val="Calibri"/>
          </rPr>
          <t>The Cisco ISE must limit audit record storage capacity for all locally stored logs.</t>
        </r>
      </text>
    </comment>
    <comment ref="U73" authorId="0" shapeId="0" xr:uid="{00000000-0006-0000-0400-000058000000}">
      <text>
        <r>
          <rPr>
            <sz val="11"/>
            <rFont val="Calibri"/>
          </rPr>
          <t>The Cisco ISE must configure a remote syslog where audit records are stored on a centralized logging target that is different from the system being audited.</t>
        </r>
      </text>
    </comment>
    <comment ref="V73" authorId="0" shapeId="0" xr:uid="{00000000-0006-0000-0400-000059000000}">
      <text>
        <r>
          <rPr>
            <sz val="11"/>
            <rFont val="Calibri"/>
          </rPr>
          <t>The Cisco ISE must generate log records for a locally developed list of auditable events.</t>
        </r>
      </text>
    </comment>
    <comment ref="W73" authorId="0" shapeId="0" xr:uid="{00000000-0006-0000-0400-00005A000000}">
      <text>
        <r>
          <rPr>
            <sz val="11"/>
            <rFont val="Calibri"/>
          </rPr>
          <t>The Cisco ISE must generate audit records containing the full-text recording of privileged commands.</t>
        </r>
      </text>
    </comment>
    <comment ref="J76" authorId="0" shapeId="0" xr:uid="{00000000-0006-0000-0400-00005B000000}">
      <text>
        <r>
          <rPr>
            <sz val="11"/>
            <rFont val="Calibri"/>
          </rPr>
          <t>The Cisco ISE must generate audit records when successful attempts to access privileges occur.</t>
        </r>
      </text>
    </comment>
    <comment ref="K76" authorId="0" shapeId="0" xr:uid="{00000000-0006-0000-0400-00005C000000}">
      <text>
        <r>
          <rPr>
            <sz val="11"/>
            <rFont val="Calibri"/>
          </rPr>
          <t>The Cisco ISE must generate audit records when successful attempts to modify administrator privileges occur.</t>
        </r>
      </text>
    </comment>
    <comment ref="L76" authorId="0" shapeId="0" xr:uid="{00000000-0006-0000-0400-00005D000000}">
      <text>
        <r>
          <rPr>
            <sz val="11"/>
            <rFont val="Calibri"/>
          </rPr>
          <t>The Cisco ISE must generate audit records when successful attempts to delete administrator privileges occur.</t>
        </r>
      </text>
    </comment>
    <comment ref="M76" authorId="0" shapeId="0" xr:uid="{00000000-0006-0000-0400-00005E000000}">
      <text>
        <r>
          <rPr>
            <sz val="11"/>
            <rFont val="Calibri"/>
          </rPr>
          <t>The Cisco ISE must generate audit records for privileged activities or other system-level access.</t>
        </r>
      </text>
    </comment>
    <comment ref="N76" authorId="0" shapeId="0" xr:uid="{00000000-0006-0000-0400-00005F000000}">
      <text>
        <r>
          <rPr>
            <sz val="11"/>
            <rFont val="Calibri"/>
          </rPr>
          <t>The Cisco ISE must generate audit records containing the full-text recording of privileged commands.</t>
        </r>
      </text>
    </comment>
    <comment ref="J77" authorId="0" shapeId="0" xr:uid="{00000000-0006-0000-0400-000060000000}">
      <text>
        <r>
          <rPr>
            <sz val="11"/>
            <rFont val="Calibri"/>
          </rPr>
          <t>The Cisco ISE must provide an alert to, at a minimum, the SA and ISSO of all audit failure events where the detection and/or prevention function is unable to write events to either local storage or the centralized server. This is required for compliance with C2C Step 1.</t>
        </r>
      </text>
    </comment>
    <comment ref="K77" authorId="0" shapeId="0" xr:uid="{00000000-0006-0000-0400-000061000000}">
      <text>
        <r>
          <rPr>
            <sz val="11"/>
            <rFont val="Calibri"/>
          </rPr>
          <t>The Cisco ISE must be configured with a secondary log server in case the primary log is unreachable. This is required for compliance with C2C Step 1.</t>
        </r>
      </text>
    </comment>
    <comment ref="L77" authorId="0" shapeId="0" xr:uid="{00000000-0006-0000-0400-000062000000}">
      <text>
        <r>
          <rPr>
            <sz val="11"/>
            <rFont val="Calibri"/>
          </rPr>
          <t>The Cisco ISE must be configured to send log data to at least two central log servers for the purpose of forwarding alerts to the administrators and the information system security officer (ISSO).</t>
        </r>
      </text>
    </comment>
    <comment ref="J83" authorId="0" shapeId="0" xr:uid="{00000000-0006-0000-0400-000063000000}">
      <text>
        <r>
          <rPr>
            <sz val="11"/>
            <rFont val="Calibri"/>
          </rPr>
          <t>The Cisco ISE must place client machines on the blacklist and terminate the agent connection when critical security issues are found that put the network at risk. This is required for compliance with C2C Step 4.</t>
        </r>
      </text>
    </comment>
    <comment ref="J90" authorId="0" shapeId="0" xr:uid="{00000000-0006-0000-0400-000064000000}">
      <text>
        <r>
          <rPr>
            <sz val="11"/>
            <rFont val="Calibri"/>
          </rPr>
          <t>The Cisco ISE must verify host-based firewall software is running on posture required clients defined in the NAC System Security Plan (SSP) prior to granting trusted network access. This is required for compliance with C2C Step 4.</t>
        </r>
      </text>
    </comment>
    <comment ref="K90" authorId="0" shapeId="0" xr:uid="{00000000-0006-0000-0400-000065000000}">
      <text>
        <r>
          <rPr>
            <sz val="11"/>
            <rFont val="Calibri"/>
          </rPr>
          <t>The Cisco ISE must verify anti-malware software is installed and up to date on posture required clients defined in the NAC System Security Plan (SSP) prior to granting trusted network access. This is required for compliance with C2C Step 4.</t>
        </r>
      </text>
    </comment>
    <comment ref="L90" authorId="0" shapeId="0" xr:uid="{00000000-0006-0000-0400-000066000000}">
      <text>
        <r>
          <rPr>
            <sz val="11"/>
            <rFont val="Calibri"/>
          </rPr>
          <t>The Cisco ISE must verify host-based IDS/IPS software is authorized and running on posture required clients defined in the NAC System Security Plan (SSP) prior to granting trusted network access. This is required for compliance with C2C Step 4.</t>
        </r>
      </text>
    </comment>
    <comment ref="J91" authorId="0" shapeId="0" xr:uid="{00000000-0006-0000-0400-000067000000}">
      <text>
        <r>
          <rPr>
            <sz val="11"/>
            <rFont val="Calibri"/>
          </rPr>
          <t>The Cisco ISE must verify anti-malware software is installed and up to date on posture required clients defined in the NAC System Security Plan (SSP) prior to granting trusted network access. This is required for compliance with C2C Step 4.</t>
        </r>
      </text>
    </comment>
    <comment ref="K91" authorId="0" shapeId="0" xr:uid="{00000000-0006-0000-0400-000068000000}">
      <text>
        <r>
          <rPr>
            <sz val="11"/>
            <rFont val="Calibri"/>
          </rPr>
          <t>The Cisco ISE must verify host-based IDS/IPS software is authorized and running on posture required clients defined in the NAC System Security Plan (SSP) prior to granting trusted network access. This is required for compliance with C2C Step 4.</t>
        </r>
      </text>
    </comment>
    <comment ref="J99" authorId="0" shapeId="0" xr:uid="{00000000-0006-0000-0400-000069000000}">
      <text>
        <r>
          <rPr>
            <sz val="11"/>
            <rFont val="Calibri"/>
          </rPr>
          <t>The Cisco ISE must conduct configuration and operational backups when changes are made or must schedule backups weekly, at a minimum.</t>
        </r>
      </text>
    </comment>
    <comment ref="J100" authorId="0" shapeId="0" xr:uid="{00000000-0006-0000-0400-00006A000000}">
      <text>
        <r>
          <rPr>
            <sz val="11"/>
            <rFont val="Calibri"/>
          </rPr>
          <t>The Cisco ISE must conduct configuration and operational backups when changes are made or must schedule backups weekly, at a minimum.</t>
        </r>
      </text>
    </comment>
    <comment ref="J104" authorId="0" shapeId="0" xr:uid="{00000000-0006-0000-0400-00006B000000}">
      <text>
        <r>
          <rPr>
            <sz val="11"/>
            <rFont val="Calibri"/>
          </rPr>
          <t>The Cisco ISE must enforce access restrictions associated with changes to the firmware, OS, and hardware components.</t>
        </r>
      </text>
    </comment>
    <comment ref="K104" authorId="0" shapeId="0" xr:uid="{00000000-0006-0000-0400-00006C000000}">
      <text>
        <r>
          <rPr>
            <sz val="11"/>
            <rFont val="Calibri"/>
          </rPr>
          <t>The Cisco ISE must be running an operating system release that is currently supported by the vendor.</t>
        </r>
      </text>
    </comment>
    <comment ref="J105" authorId="0" shapeId="0" xr:uid="{00000000-0006-0000-0400-00006D000000}">
      <text>
        <r>
          <rPr>
            <sz val="11"/>
            <rFont val="Calibri"/>
          </rPr>
          <t>For endpoints that require automated remediation, the Cisco ISE must be configured to redirect endpoints to a logically separate VLAN for remediation services. This is required for compliance with C2C Step 4.</t>
        </r>
      </text>
    </comment>
    <comment ref="J108" authorId="0" shapeId="0" xr:uid="{00000000-0006-0000-0400-00006E000000}">
      <text>
        <r>
          <rPr>
            <sz val="11"/>
            <rFont val="Calibri"/>
          </rPr>
          <t>The Cisco ISE must be configured to use an external authentication server to authenticate administrators prior to granting administrative access.</t>
        </r>
      </text>
    </comment>
    <comment ref="J109" authorId="0" shapeId="0" xr:uid="{00000000-0006-0000-0400-00006F000000}">
      <text>
        <r>
          <rPr>
            <sz val="11"/>
            <rFont val="Calibri"/>
          </rPr>
          <t>The Cisco ISE must use TLS 1.2, at a minimum, to protect the confidentiality of information passed between the endpoint agent and the Cisco ISE. This is This is required for compliance with C2C Step 1.</t>
        </r>
      </text>
    </comment>
    <comment ref="K109" authorId="0" shapeId="0" xr:uid="{00000000-0006-0000-0400-000070000000}">
      <text>
        <r>
          <rPr>
            <sz val="11"/>
            <rFont val="Calibri"/>
          </rPr>
          <t>Before establishing a connection with a Network Time Protocol (NTP) server, the Cisco ISE must authenticate using a bidirectional, cryptographically based authentication method that uses a FIPS-validated Advanced Encryption Standard (AES) cipher block algorithm to authenticate with the NTP server. This is required for compliance with C2C Step 1.</t>
        </r>
      </text>
    </comment>
    <comment ref="L109" authorId="0" shapeId="0" xr:uid="{00000000-0006-0000-0400-000071000000}">
      <text>
        <r>
          <rPr>
            <sz val="11"/>
            <rFont val="Calibri"/>
          </rPr>
          <t>Before establishing a local, remote, and/or network connection with any endpoint device, the Cisco ISE must use a bidirectional authentication mechanism configured with a FIPS-validated Advanced Encryption Standard (AES) cipher block algorithm to authenticate with the endpoint device. This is required for compliance with C2C Step 1.</t>
        </r>
      </text>
    </comment>
    <comment ref="M109" authorId="0" shapeId="0" xr:uid="{00000000-0006-0000-0400-000072000000}">
      <text>
        <r>
          <rPr>
            <sz val="11"/>
            <rFont val="Calibri"/>
          </rPr>
          <t>The Cisco ISE must use DoD-approved PKI rather than proprietary or self-signed device certificates.</t>
        </r>
      </text>
    </comment>
    <comment ref="N109" authorId="0" shapeId="0" xr:uid="{00000000-0006-0000-0400-000073000000}">
      <text>
        <r>
          <rPr>
            <sz val="11"/>
            <rFont val="Calibri"/>
          </rPr>
          <t>The Cisco ISE must be configured to authenticate SNMP messages using a FIPS-validated Keyed-Hash Message Authentication Code (HMAC).</t>
        </r>
      </text>
    </comment>
    <comment ref="O109" authorId="0" shapeId="0" xr:uid="{00000000-0006-0000-0400-000074000000}">
      <text>
        <r>
          <rPr>
            <sz val="11"/>
            <rFont val="Calibri"/>
          </rPr>
          <t>The Cisco ISE must use FIPS-validated Keyed-Hash Message Authentication Code (HMAC) to protect the integrity of nonlocal maintenance and diagnostic communications.</t>
        </r>
      </text>
    </comment>
    <comment ref="P109" authorId="0" shapeId="0" xr:uid="{00000000-0006-0000-0400-000075000000}">
      <text>
        <r>
          <rPr>
            <sz val="11"/>
            <rFont val="Calibri"/>
          </rPr>
          <t>The Cisco ISE must be configured to implement cryptographic mechanisms using a FIPS 140-2 validated algorithm to protect the confidentiality of remote maintenance sessions.</t>
        </r>
      </text>
    </comment>
    <comment ref="Q109" authorId="0" shapeId="0" xr:uid="{00000000-0006-0000-0400-000076000000}">
      <text>
        <r>
          <rPr>
            <sz val="11"/>
            <rFont val="Calibri"/>
          </rPr>
          <t>The Cisco ISE must generate unique session identifiers using a FIPS 140-2 approved Random Number Generator (RNG) using DRGB.</t>
        </r>
      </text>
    </comment>
    <comment ref="J115" authorId="0" shapeId="0" xr:uid="{00000000-0006-0000-0400-000077000000}">
      <text>
        <r>
          <rPr>
            <sz val="11"/>
            <rFont val="Calibri"/>
          </rPr>
          <t>The Cisco ISE must verify anti-malware software is installed and up to date on posture required clients defined in the NAC System Security Plan (SSP) prior to granting trusted network access. This is required for compliance with C2C Step 4.</t>
        </r>
      </text>
    </comment>
    <comment ref="K115" authorId="0" shapeId="0" xr:uid="{00000000-0006-0000-0400-000078000000}">
      <text>
        <r>
          <rPr>
            <sz val="11"/>
            <rFont val="Calibri"/>
          </rPr>
          <t>The Cisco ISE must verify host-based IDS/IPS software is authorized and running on posture required clients defined in the NAC System Security Plan (SSP) prior to granting trusted network access. This is required for compliance with C2C Step 4.</t>
        </r>
      </text>
    </comment>
    <comment ref="J120" authorId="0" shapeId="0" xr:uid="{00000000-0006-0000-0400-000079000000}">
      <text>
        <r>
          <rPr>
            <sz val="11"/>
            <rFont val="Calibri"/>
          </rPr>
          <t>The Cisco ISE must place client machines on the blacklist and terminate the agent connection when critical security issues are found that put the network at risk. This is required for compliance with C2C Step 4.</t>
        </r>
      </text>
    </comment>
    <comment ref="K120" authorId="0" shapeId="0" xr:uid="{00000000-0006-0000-0400-00007A000000}">
      <text>
        <r>
          <rPr>
            <sz val="11"/>
            <rFont val="Calibri"/>
          </rPr>
          <t>The Cisco ISE must configure the control plane to protect against or limit the effects of common types of Denial of Service (DoS) attacks on the device itself by configuring applicable system options and internet-options.</t>
        </r>
      </text>
    </comment>
    <comment ref="J121" authorId="0" shapeId="0" xr:uid="{00000000-0006-0000-0400-00007B000000}">
      <text>
        <r>
          <rPr>
            <sz val="11"/>
            <rFont val="Calibri"/>
          </rPr>
          <t>The Cisco ISE must deny network connection for endpoints that cannot be authenticated using an approved method. This is required for compliance with C2C Step 4.</t>
        </r>
      </text>
    </comment>
    <comment ref="K121" authorId="0" shapeId="0" xr:uid="{00000000-0006-0000-0400-00007C000000}">
      <text>
        <r>
          <rPr>
            <sz val="11"/>
            <rFont val="Calibri"/>
          </rPr>
          <t>The Cisco ISE must authenticate all endpoint devices before establishing a connection and proceeding with posture assessment. This is required for compliance with C2C Step 4.</t>
        </r>
      </text>
    </comment>
    <comment ref="J161" authorId="0" shapeId="0" xr:uid="{00000000-0006-0000-0400-00007D000000}">
      <text>
        <r>
          <rPr>
            <sz val="11"/>
            <rFont val="Calibri"/>
          </rPr>
          <t>The Cisco ISE must send an alert to the Information System Security Manager (ISSM) and System Administrator (SA), at a minimum, when security issues are found that put the network at risk. This is required for compliance with C2C Step 2.</t>
        </r>
      </text>
    </comment>
    <comment ref="K161" authorId="0" shapeId="0" xr:uid="{00000000-0006-0000-0400-00007E000000}">
      <text>
        <r>
          <rPr>
            <sz val="11"/>
            <rFont val="Calibri"/>
          </rPr>
          <t>The Cisco ISE must send an alert to the system administrator, at a minimum, when endpoints fail the policy assessment checks for organization-defined infractions. This is required for compliance with C2C Step 3.</t>
        </r>
      </text>
    </comment>
    <comment ref="L161" authorId="0" shapeId="0" xr:uid="{00000000-0006-0000-0400-00007F000000}">
      <text>
        <r>
          <rPr>
            <sz val="11"/>
            <rFont val="Calibri"/>
          </rPr>
          <t>The Cisco ISE must generate a critical alert to be sent to the ISSO and SA (at a minimum) in the event of an audit processing failure. This is required for compliance with C2C Step 1.</t>
        </r>
      </text>
    </comment>
    <comment ref="M161" authorId="0" shapeId="0" xr:uid="{00000000-0006-0000-0400-000080000000}">
      <text>
        <r>
          <rPr>
            <sz val="11"/>
            <rFont val="Calibri"/>
          </rPr>
          <t>The Cisco ISE must generate a critical alert to be sent to the ISSO and SA (at a minimum) if it is unable to communicate with the central event log. This is required for compliance with C2C Step 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Cisco ISE must be configured to enforce the limit of three consecutive invalid logon attempts, after which time it must lock out the user account from accessing the device for 15 minutes.</t>
        </r>
      </text>
    </comment>
    <comment ref="I2" authorId="0" shapeId="0" xr:uid="{00000000-0006-0000-0500-000002000000}">
      <text>
        <r>
          <rPr>
            <sz val="11"/>
            <rFont val="Calibri"/>
          </rPr>
          <t>The Cisco ISE must terminate all network connections associated with a device management session at the end of the session, or the session must be terminated after six minutes of inactivity, except to fulfill documented and validated mission requirements.</t>
        </r>
      </text>
    </comment>
    <comment ref="H4" authorId="0" shapeId="0" xr:uid="{00000000-0006-0000-0500-000003000000}">
      <text>
        <r>
          <rPr>
            <sz val="11"/>
            <rFont val="Calibri"/>
          </rPr>
          <t>The Cisco ISE must verify host-based firewall software is running on posture required clients defined in the NAC System Security Plan (SSP) prior to granting trusted network access. This is required for compliance with C2C Step 4.</t>
        </r>
      </text>
    </comment>
    <comment ref="I4" authorId="0" shapeId="0" xr:uid="{00000000-0006-0000-0500-000005000000}">
      <text>
        <r>
          <rPr>
            <sz val="11"/>
            <rFont val="Calibri"/>
          </rPr>
          <t>The Cisco ISE must verify anti-malware software is installed and up to date on posture required clients defined in the NAC System Security Plan (SSP) prior to granting trusted network access. This is required for compliance with C2C Step 4.</t>
        </r>
      </text>
    </comment>
    <comment ref="J4" authorId="0" shapeId="0" xr:uid="{00000000-0006-0000-0500-000004000000}">
      <text>
        <r>
          <rPr>
            <sz val="11"/>
            <rFont val="Calibri"/>
          </rPr>
          <t>The Cisco ISE must verify host-based IDS/IPS software is authorized and running on posture required clients defined in the NAC System Security Plan (SSP) prior to granting trusted network access. This is required for compliance with C2C Step 4.</t>
        </r>
      </text>
    </comment>
    <comment ref="H7" authorId="0" shapeId="0" xr:uid="{00000000-0006-0000-0500-000006000000}">
      <text>
        <r>
          <rPr>
            <sz val="11"/>
            <rFont val="Calibri"/>
          </rPr>
          <t>The Cisco ISE must generate a log record when an endpoint fails authentication. This is This is required for compliance with C2C Step 1.</t>
        </r>
      </text>
    </comment>
    <comment ref="I7" authorId="0" shapeId="0" xr:uid="{00000000-0006-0000-0500-000016000000}">
      <text>
        <r>
          <rPr>
            <sz val="11"/>
            <rFont val="Calibri"/>
          </rPr>
          <t>The Cisco ISE must generate a log record when the client machine fails posture assessment because required security software is missing or has been deleted. This is This is required for compliance with C2C Step 1.</t>
        </r>
      </text>
    </comment>
    <comment ref="J7" authorId="0" shapeId="0" xr:uid="{00000000-0006-0000-0500-000017000000}">
      <text>
        <r>
          <rPr>
            <sz val="11"/>
            <rFont val="Calibri"/>
          </rPr>
          <t>The Cisco ISE must provide an alert to, at a minimum, the SA and ISSO of all audit failure events where the detection and/or prevention function is unable to write events to either local storage or the centralized server. This is required for compliance with C2C Step 1.</t>
        </r>
      </text>
    </comment>
    <comment ref="K7" authorId="0" shapeId="0" xr:uid="{00000000-0006-0000-0500-000007000000}">
      <text>
        <r>
          <rPr>
            <sz val="11"/>
            <rFont val="Calibri"/>
          </rPr>
          <t>The Cisco ISE must be configured with a secondary log server in case the primary log is unreachable. This is required for compliance with C2C Step 1.</t>
        </r>
      </text>
    </comment>
    <comment ref="L7" authorId="0" shapeId="0" xr:uid="{00000000-0006-0000-0500-000008000000}">
      <text>
        <r>
          <rPr>
            <sz val="11"/>
            <rFont val="Calibri"/>
          </rPr>
          <t>The Cisco ISE must continue to queue traffic log records locally when communication with the central log server is lost and there is an audit archival failure. This is required for compliance with C2C Step 1.</t>
        </r>
      </text>
    </comment>
    <comment ref="M7" authorId="0" shapeId="0" xr:uid="{00000000-0006-0000-0500-000009000000}">
      <text>
        <r>
          <rPr>
            <sz val="11"/>
            <rFont val="Calibri"/>
          </rPr>
          <t>The Cisco ISE must protect against an individual (or process acting on behalf of an individual) falsely denying having performed organization-defined actions to be covered by non-repudiation.</t>
        </r>
      </text>
    </comment>
    <comment ref="N7" authorId="0" shapeId="0" xr:uid="{00000000-0006-0000-0500-00000A000000}">
      <text>
        <r>
          <rPr>
            <sz val="11"/>
            <rFont val="Calibri"/>
          </rPr>
          <t>The Cisco ISE must generate audit records when successful attempts to access privileges occur.</t>
        </r>
      </text>
    </comment>
    <comment ref="O7" authorId="0" shapeId="0" xr:uid="{00000000-0006-0000-0500-00000B000000}">
      <text>
        <r>
          <rPr>
            <sz val="11"/>
            <rFont val="Calibri"/>
          </rPr>
          <t>The Cisco ISE must generate audit records when successful attempts to modify administrator privileges occur.</t>
        </r>
      </text>
    </comment>
    <comment ref="P7" authorId="0" shapeId="0" xr:uid="{00000000-0006-0000-0500-00000C000000}">
      <text>
        <r>
          <rPr>
            <sz val="11"/>
            <rFont val="Calibri"/>
          </rPr>
          <t>The Cisco ISE must generate audit records when successful attempts to delete administrator privileges occur.</t>
        </r>
      </text>
    </comment>
    <comment ref="Q7" authorId="0" shapeId="0" xr:uid="{00000000-0006-0000-0500-00000D000000}">
      <text>
        <r>
          <rPr>
            <sz val="11"/>
            <rFont val="Calibri"/>
          </rPr>
          <t>The Cisco ISE must generate audit records when successful logon attempts occur.</t>
        </r>
      </text>
    </comment>
    <comment ref="R7" authorId="0" shapeId="0" xr:uid="{00000000-0006-0000-0500-00000E000000}">
      <text>
        <r>
          <rPr>
            <sz val="11"/>
            <rFont val="Calibri"/>
          </rPr>
          <t>The Cisco ISE must generate audit records for privileged activities or other system-level access.</t>
        </r>
      </text>
    </comment>
    <comment ref="S7" authorId="0" shapeId="0" xr:uid="{00000000-0006-0000-0500-00000F000000}">
      <text>
        <r>
          <rPr>
            <sz val="11"/>
            <rFont val="Calibri"/>
          </rPr>
          <t>The Cisco ISE must generate audit records when concurrent logons from different workstations occur.</t>
        </r>
      </text>
    </comment>
    <comment ref="T7" authorId="0" shapeId="0" xr:uid="{00000000-0006-0000-0500-000010000000}">
      <text>
        <r>
          <rPr>
            <sz val="11"/>
            <rFont val="Calibri"/>
          </rPr>
          <t>The Cisco ISE must limit audit record storage capacity for all locally stored logs.</t>
        </r>
      </text>
    </comment>
    <comment ref="U7" authorId="0" shapeId="0" xr:uid="{00000000-0006-0000-0500-000011000000}">
      <text>
        <r>
          <rPr>
            <sz val="11"/>
            <rFont val="Calibri"/>
          </rPr>
          <t>The Cisco ISE must configure a remote syslog where audit records are stored on a centralized logging target that is different from the system being audited.</t>
        </r>
      </text>
    </comment>
    <comment ref="V7" authorId="0" shapeId="0" xr:uid="{00000000-0006-0000-0500-000012000000}">
      <text>
        <r>
          <rPr>
            <sz val="11"/>
            <rFont val="Calibri"/>
          </rPr>
          <t>The Cisco ISE must record time stamps for audit records that can be mapped to Coordinated Universal Time (UTC).</t>
        </r>
      </text>
    </comment>
    <comment ref="W7" authorId="0" shapeId="0" xr:uid="{00000000-0006-0000-0500-000013000000}">
      <text>
        <r>
          <rPr>
            <sz val="11"/>
            <rFont val="Calibri"/>
          </rPr>
          <t>The Cisco ISE must generate log records for a locally developed list of auditable events.</t>
        </r>
      </text>
    </comment>
    <comment ref="X7" authorId="0" shapeId="0" xr:uid="{00000000-0006-0000-0500-000014000000}">
      <text>
        <r>
          <rPr>
            <sz val="11"/>
            <rFont val="Calibri"/>
          </rPr>
          <t>The Cisco ISE must be configured to send log data to at least two central log servers for the purpose of forwarding alerts to the administrators and the information system security officer (ISSO).</t>
        </r>
      </text>
    </comment>
    <comment ref="Y7" authorId="0" shapeId="0" xr:uid="{00000000-0006-0000-0500-000015000000}">
      <text>
        <r>
          <rPr>
            <sz val="11"/>
            <rFont val="Calibri"/>
          </rPr>
          <t>The Cisco ISE must generate audit records containing the full-text recording of privileged commands.</t>
        </r>
      </text>
    </comment>
    <comment ref="H10" authorId="0" shapeId="0" xr:uid="{00000000-0006-0000-0500-000018000000}">
      <text>
        <r>
          <rPr>
            <sz val="11"/>
            <rFont val="Calibri"/>
          </rPr>
          <t>The Cisco ISE must verify the checksum value of any software download, including install files (ISO or OVA), patch files, and upgrade bundles.</t>
        </r>
      </text>
    </comment>
    <comment ref="H12" authorId="0" shapeId="0" xr:uid="{00000000-0006-0000-0500-000019000000}">
      <text>
        <r>
          <rPr>
            <sz val="11"/>
            <rFont val="Calibri"/>
          </rPr>
          <t>The Cisco ISE must conduct configuration and operational backups when changes are made or must schedule backups weekly, at a minimum.</t>
        </r>
      </text>
    </comment>
    <comment ref="H14" authorId="0" shapeId="0" xr:uid="{00000000-0006-0000-0500-00001A000000}">
      <text>
        <r>
          <rPr>
            <sz val="11"/>
            <rFont val="Calibri"/>
          </rPr>
          <t>The Cisco ISE must be configured to prohibit the use of all unnecessary and/or nonsecure functions, ports, protocols, and/or services.</t>
        </r>
      </text>
    </comment>
    <comment ref="I14" authorId="0" shapeId="0" xr:uid="{00000000-0006-0000-0500-00001B000000}">
      <text>
        <r>
          <rPr>
            <sz val="11"/>
            <rFont val="Calibri"/>
          </rPr>
          <t>The Cisco ISE must be configured to disable Wireless Setup for production systems.</t>
        </r>
      </text>
    </comment>
    <comment ref="H16" authorId="0" shapeId="0" xr:uid="{00000000-0006-0000-0500-00001C000000}">
      <text>
        <r>
          <rPr>
            <sz val="11"/>
            <rFont val="Calibri"/>
          </rPr>
          <t>The Cisco ISE must use TLS 1.2, at a minimum, to protect the confidentiality of information passed between the endpoint agent and the Cisco ISE. This is This is required for compliance with C2C Step 1.</t>
        </r>
      </text>
    </comment>
    <comment ref="I16" authorId="0" shapeId="0" xr:uid="{00000000-0006-0000-0500-00001D000000}">
      <text>
        <r>
          <rPr>
            <sz val="11"/>
            <rFont val="Calibri"/>
          </rPr>
          <t>Before establishing a connection with a Network Time Protocol (NTP) server, the Cisco ISE must authenticate using a bidirectional, cryptographically based authentication method that uses a FIPS-validated Advanced Encryption Standard (AES) cipher block algorithm to authenticate with the NTP server. This is required for compliance with C2C Step 1.</t>
        </r>
      </text>
    </comment>
    <comment ref="J16" authorId="0" shapeId="0" xr:uid="{00000000-0006-0000-0500-00001E000000}">
      <text>
        <r>
          <rPr>
            <sz val="11"/>
            <rFont val="Calibri"/>
          </rPr>
          <t>Before establishing a local, remote, and/or network connection with any endpoint device, the Cisco ISE must use a bidirectional authentication mechanism configured with a FIPS-validated Advanced Encryption Standard (AES) cipher block algorithm to authenticate with the endpoint device. This is required for compliance with C2C Step 1.</t>
        </r>
      </text>
    </comment>
    <comment ref="K16" authorId="0" shapeId="0" xr:uid="{00000000-0006-0000-0500-00001F000000}">
      <text>
        <r>
          <rPr>
            <sz val="11"/>
            <rFont val="Calibri"/>
          </rPr>
          <t>The Cisco ISE must use DoD-approved PKI rather than proprietary or self-signed device certificates.</t>
        </r>
      </text>
    </comment>
    <comment ref="L16" authorId="0" shapeId="0" xr:uid="{00000000-0006-0000-0500-000020000000}">
      <text>
        <r>
          <rPr>
            <sz val="11"/>
            <rFont val="Calibri"/>
          </rPr>
          <t>The Cisco ISE must be configured to authenticate SNMP messages using a FIPS-validated Keyed-Hash Message Authentication Code (HMAC).</t>
        </r>
      </text>
    </comment>
    <comment ref="M16" authorId="0" shapeId="0" xr:uid="{00000000-0006-0000-0500-000021000000}">
      <text>
        <r>
          <rPr>
            <sz val="11"/>
            <rFont val="Calibri"/>
          </rPr>
          <t>The Cisco ISE must use FIPS-validated Keyed-Hash Message Authentication Code (HMAC) to protect the integrity of nonlocal maintenance and diagnostic communications.</t>
        </r>
      </text>
    </comment>
    <comment ref="N16" authorId="0" shapeId="0" xr:uid="{00000000-0006-0000-0500-000022000000}">
      <text>
        <r>
          <rPr>
            <sz val="11"/>
            <rFont val="Calibri"/>
          </rPr>
          <t>The Cisco ISE must be configured to implement cryptographic mechanisms using a FIPS 140-2 validated algorithm to protect the confidentiality of remote maintenance sessions.</t>
        </r>
      </text>
    </comment>
    <comment ref="O16" authorId="0" shapeId="0" xr:uid="{00000000-0006-0000-0500-000023000000}">
      <text>
        <r>
          <rPr>
            <sz val="11"/>
            <rFont val="Calibri"/>
          </rPr>
          <t>The Cisco ISE must generate unique session identifiers using a FIPS 140-2 approved Random Number Generator (RNG) using DRGB.</t>
        </r>
      </text>
    </comment>
    <comment ref="H20" authorId="0" shapeId="0" xr:uid="{00000000-0006-0000-0500-000024000000}">
      <text>
        <r>
          <rPr>
            <sz val="11"/>
            <rFont val="Calibri"/>
          </rPr>
          <t>The Cisco ISE must place client machines on the blacklist and terminate the agent connection when critical security issues are found that put the network at risk. This is required for compliance with C2C Step 4.</t>
        </r>
      </text>
    </comment>
    <comment ref="I20" authorId="0" shapeId="0" xr:uid="{00000000-0006-0000-0500-000025000000}">
      <text>
        <r>
          <rPr>
            <sz val="11"/>
            <rFont val="Calibri"/>
          </rPr>
          <t>The Cisco ISE must configure the control plane to protect against or limit the effects of common types of Denial of Service (DoS) attacks on the device itself by configuring applicable system options and internet-options.</t>
        </r>
      </text>
    </comment>
    <comment ref="H21" authorId="0" shapeId="0" xr:uid="{00000000-0006-0000-0500-000026000000}">
      <text>
        <r>
          <rPr>
            <sz val="11"/>
            <rFont val="Calibri"/>
          </rPr>
          <t>The Cisco ISE must verify host-based firewall software is running on posture required clients defined in the NAC System Security Plan (SSP) prior to granting trusted network access. This is required for compliance with C2C Step 4.</t>
        </r>
      </text>
    </comment>
    <comment ref="H24" authorId="0" shapeId="0" xr:uid="{00000000-0006-0000-0500-000027000000}">
      <text>
        <r>
          <rPr>
            <sz val="11"/>
            <rFont val="Calibri"/>
          </rPr>
          <t>The Cisco ISE must be configured to profile endpoints connecting to the network. This is required for compliance with C2C Step 4.</t>
        </r>
      </text>
    </comment>
    <comment ref="I24" authorId="0" shapeId="0" xr:uid="{00000000-0006-0000-0500-000028000000}">
      <text>
        <r>
          <rPr>
            <sz val="11"/>
            <rFont val="Calibri"/>
          </rPr>
          <t>The Cisco ISE must deny or restrict access for endpoints that fail required posture checks. This is required for compliance with C2C Step 4.</t>
        </r>
      </text>
    </comment>
    <comment ref="J24" authorId="0" shapeId="0" xr:uid="{00000000-0006-0000-0500-000029000000}">
      <text>
        <r>
          <rPr>
            <sz val="11"/>
            <rFont val="Calibri"/>
          </rPr>
          <t>The Cisco ISE must enforce posture status assessment for posture required clients defined in the NAC System Security Plan (SSP). This is required for compliance with C2C Step 3.</t>
        </r>
      </text>
    </comment>
    <comment ref="K24" authorId="0" shapeId="0" xr:uid="{00000000-0006-0000-0500-00002A000000}">
      <text>
        <r>
          <rPr>
            <sz val="11"/>
            <rFont val="Calibri"/>
          </rPr>
          <t>The Cisco ISE must have a posture policy for posture required clients defined in the NAC System Security Plan (SSP). This is required for compliance with C2C Step 2.</t>
        </r>
      </text>
    </comment>
    <comment ref="L24" authorId="0" shapeId="0" xr:uid="{00000000-0006-0000-0500-00002B000000}">
      <text>
        <r>
          <rPr>
            <sz val="11"/>
            <rFont val="Calibri"/>
          </rPr>
          <t>The Cisco ISE must be configured to use an external authentication server to authenticate administrators prior to granting administrative access.</t>
        </r>
      </text>
    </comment>
    <comment ref="M24" authorId="0" shapeId="0" xr:uid="{00000000-0006-0000-0500-00002C000000}">
      <text>
        <r>
          <rPr>
            <sz val="11"/>
            <rFont val="Calibri"/>
          </rPr>
          <t>For accounts using password authentication, the Cisco ISE must implement replay-resistant authentication mechanisms for network access to privileged accounts.</t>
        </r>
      </text>
    </comment>
    <comment ref="H25" authorId="0" shapeId="0" xr:uid="{00000000-0006-0000-0500-00002D000000}">
      <text>
        <r>
          <rPr>
            <sz val="11"/>
            <rFont val="Calibri"/>
          </rPr>
          <t>The Cisco ISE must place client machines on the blacklist and terminate the agent connection when critical security issues are found that put the network at risk. This is required for compliance with C2C Step 4.</t>
        </r>
      </text>
    </comment>
    <comment ref="H26" authorId="0" shapeId="0" xr:uid="{00000000-0006-0000-0500-00002E000000}">
      <text>
        <r>
          <rPr>
            <sz val="11"/>
            <rFont val="Calibri"/>
          </rPr>
          <t>For endpoints that require automated remediation, the Cisco ISE must be configured to redirect endpoints to a logically separate VLAN for remediation services. This is required for compliance with C2C Step 4.</t>
        </r>
      </text>
    </comment>
    <comment ref="I26" authorId="0" shapeId="0" xr:uid="{00000000-0006-0000-0500-00002F000000}">
      <text>
        <r>
          <rPr>
            <sz val="11"/>
            <rFont val="Calibri"/>
          </rPr>
          <t>The Cisco ISE must be configured to notify the user before proceeding with remediation of the user</t>
        </r>
        <r>
          <rPr>
            <sz val="11"/>
            <color rgb="FF000000"/>
            <rFont val="Calibri"/>
          </rPr>
          <t>'</t>
        </r>
        <r>
          <rPr>
            <sz val="11"/>
            <color rgb="FF000000"/>
            <rFont val="Calibri"/>
          </rPr>
          <t>s endpoint device when automated remediation is used. This is required for compliance with C2C Step 3.</t>
        </r>
      </text>
    </comment>
    <comment ref="J26" authorId="0" shapeId="0" xr:uid="{00000000-0006-0000-0500-000030000000}">
      <text>
        <r>
          <rPr>
            <sz val="11"/>
            <rFont val="Calibri"/>
          </rPr>
          <t>The Cisco ISE must perform continuous detection and tracking of endpoint devices attached to the network. This is required for compliance with C2C Step 1.</t>
        </r>
      </text>
    </comment>
    <comment ref="K26" authorId="0" shapeId="0" xr:uid="{00000000-0006-0000-0500-000031000000}">
      <text>
        <r>
          <rPr>
            <sz val="11"/>
            <rFont val="Calibri"/>
          </rPr>
          <t>The Cisco ISE must deny network connection for endpoints that cannot be authenticated using an approved method. This is required for compliance with C2C Step 4.</t>
        </r>
      </text>
    </comment>
    <comment ref="L26" authorId="0" shapeId="0" xr:uid="{00000000-0006-0000-0500-000032000000}">
      <text>
        <r>
          <rPr>
            <sz val="11"/>
            <rFont val="Calibri"/>
          </rPr>
          <t>The Cisco ISE must authenticate all endpoint devices before establishing a connection and proceeding with posture assessment. This is required for compliance with C2C Step 4.</t>
        </r>
      </text>
    </comment>
    <comment ref="H29" authorId="0" shapeId="0" xr:uid="{00000000-0006-0000-0500-000033000000}">
      <text>
        <r>
          <rPr>
            <sz val="11"/>
            <rFont val="Calibri"/>
          </rPr>
          <t>For accounts using password authentication, the Cisco ISE must enforce a minimum 15-character password length.</t>
        </r>
      </text>
    </comment>
    <comment ref="I29" authorId="0" shapeId="0" xr:uid="{00000000-0006-0000-0500-000034000000}">
      <text>
        <r>
          <rPr>
            <sz val="11"/>
            <rFont val="Calibri"/>
          </rPr>
          <t>For accounts using password authentication, the Cisco ISE must enforce password complexity by requiring that at least one uppercase character be used.</t>
        </r>
      </text>
    </comment>
    <comment ref="J29" authorId="0" shapeId="0" xr:uid="{00000000-0006-0000-0500-000035000000}">
      <text>
        <r>
          <rPr>
            <sz val="11"/>
            <rFont val="Calibri"/>
          </rPr>
          <t>For accounts using password authentication, the Cisco ISE must enforce password complexity by requiring that at least one lowercase character be used.</t>
        </r>
      </text>
    </comment>
    <comment ref="K29" authorId="0" shapeId="0" xr:uid="{00000000-0006-0000-0500-000036000000}">
      <text>
        <r>
          <rPr>
            <sz val="11"/>
            <rFont val="Calibri"/>
          </rPr>
          <t>For accounts using password authentication, the Cisco ISE must enforce password complexity by requiring that at least one digit be used.</t>
        </r>
      </text>
    </comment>
    <comment ref="L29" authorId="0" shapeId="0" xr:uid="{00000000-0006-0000-0500-000037000000}">
      <text>
        <r>
          <rPr>
            <sz val="11"/>
            <rFont val="Calibri"/>
          </rPr>
          <t>For accounts using password authentication, the Cisco ISE must enforce password complexity by requiring that at least one special character be used.</t>
        </r>
      </text>
    </comment>
    <comment ref="M29" authorId="0" shapeId="0" xr:uid="{00000000-0006-0000-0500-000038000000}">
      <text>
        <r>
          <rPr>
            <sz val="11"/>
            <rFont val="Calibri"/>
          </rPr>
          <t>For accounts using password authentication, the Cisco ISE must use FIPS-validated SHA-2 or later protocol to protect the integrity of the password authentication process.</t>
        </r>
      </text>
    </comment>
    <comment ref="N29" authorId="0" shapeId="0" xr:uid="{00000000-0006-0000-0500-000039000000}">
      <text>
        <r>
          <rPr>
            <sz val="11"/>
            <rFont val="Calibri"/>
          </rPr>
          <t>The Cisco ISE must prohibit the use of cached authenticators after an organization-defined time period.</t>
        </r>
      </text>
    </comment>
    <comment ref="O29" authorId="0" shapeId="0" xr:uid="{00000000-0006-0000-0500-00003A000000}">
      <text>
        <r>
          <rPr>
            <sz val="11"/>
            <rFont val="Calibri"/>
          </rPr>
          <t>The Cisco ISE must use FIPS-validated SHA-2 (or greater) to protect the integrity of hash message authentication code (HMAC), Key Derivation Functions (KDFs), Random Bit Generation, and hash-only applications.</t>
        </r>
      </text>
    </comment>
    <comment ref="H31" authorId="0" shapeId="0" xr:uid="{00000000-0006-0000-0500-00003B000000}">
      <text>
        <r>
          <rPr>
            <sz val="11"/>
            <rFont val="Calibri"/>
          </rPr>
          <t>For the local web-based account of last resort, the Cisco ISE must automatically audit account creation.</t>
        </r>
      </text>
    </comment>
    <comment ref="I31" authorId="0" shapeId="0" xr:uid="{00000000-0006-0000-0500-00003C000000}">
      <text>
        <r>
          <rPr>
            <sz val="11"/>
            <rFont val="Calibri"/>
          </rPr>
          <t>For the local web-based account of last resort and the default local CLI account, the Cisco ISE must automatically audit account modification.</t>
        </r>
      </text>
    </comment>
    <comment ref="J31" authorId="0" shapeId="0" xr:uid="{00000000-0006-0000-0500-00003D000000}">
      <text>
        <r>
          <rPr>
            <sz val="11"/>
            <rFont val="Calibri"/>
          </rPr>
          <t>For the local web-based account of last resort, the Cisco ISE must automatically audit account disabling actions.</t>
        </r>
      </text>
    </comment>
    <comment ref="K31" authorId="0" shapeId="0" xr:uid="{00000000-0006-0000-0500-00003E000000}">
      <text>
        <r>
          <rPr>
            <sz val="11"/>
            <rFont val="Calibri"/>
          </rPr>
          <t>For the local account of last resort, the Cisco ISE must automatically audit account removal actions.</t>
        </r>
      </text>
    </comment>
    <comment ref="L31" authorId="0" shapeId="0" xr:uid="{00000000-0006-0000-0500-00003F000000}">
      <text>
        <r>
          <rPr>
            <sz val="11"/>
            <rFont val="Calibri"/>
          </rPr>
          <t>The Cisco ISE must automatically audit account enabling actions.</t>
        </r>
      </text>
    </comment>
    <comment ref="M31" authorId="0" shapeId="0" xr:uid="{00000000-0006-0000-0500-000040000000}">
      <text>
        <r>
          <rPr>
            <sz val="11"/>
            <rFont val="Calibri"/>
          </rPr>
          <t>The Cisco ISE must be configured with only one local web-based account to be used as the account of last resort in the event the authentication server is unavailable.</t>
        </r>
      </text>
    </comment>
    <comment ref="N31" authorId="0" shapeId="0" xr:uid="{00000000-0006-0000-0500-000041000000}">
      <text>
        <r>
          <rPr>
            <sz val="11"/>
            <rFont val="Calibri"/>
          </rPr>
          <t>The Cisco ISE must prevent non-privileged users from executing privileged functions to include disabling, circumventing, or altering implemented security safeguards/countermeasures.</t>
        </r>
      </text>
    </comment>
    <comment ref="O31" authorId="0" shapeId="0" xr:uid="{00000000-0006-0000-0500-000042000000}">
      <text>
        <r>
          <rPr>
            <sz val="11"/>
            <rFont val="Calibri"/>
          </rPr>
          <t>The Cisco ISE must audit the execution of privileged functions.</t>
        </r>
      </text>
    </comment>
    <comment ref="P31" authorId="0" shapeId="0" xr:uid="{00000000-0006-0000-0500-000043000000}">
      <text>
        <r>
          <rPr>
            <sz val="11"/>
            <rFont val="Calibri"/>
          </rPr>
          <t>For the local account of last resort, the Cisco ISE must display the Standard Mandatory DoD Notice and Consent Banner before granting access to the device.</t>
        </r>
      </text>
    </comment>
    <comment ref="Q31" authorId="0" shapeId="0" xr:uid="{00000000-0006-0000-0500-000044000000}">
      <text>
        <r>
          <rPr>
            <sz val="11"/>
            <rFont val="Calibri"/>
          </rPr>
          <t>The Cisco ISE must generate audit records when successful attempts to access privileges occur.</t>
        </r>
      </text>
    </comment>
    <comment ref="R31" authorId="0" shapeId="0" xr:uid="{00000000-0006-0000-0500-000045000000}">
      <text>
        <r>
          <rPr>
            <sz val="11"/>
            <rFont val="Calibri"/>
          </rPr>
          <t>The Cisco ISE must generate audit records when successful attempts to modify administrator privileges occur.</t>
        </r>
      </text>
    </comment>
    <comment ref="S31" authorId="0" shapeId="0" xr:uid="{00000000-0006-0000-0500-000046000000}">
      <text>
        <r>
          <rPr>
            <sz val="11"/>
            <rFont val="Calibri"/>
          </rPr>
          <t>The Cisco ISE must generate audit records when successful attempts to delete administrator privileges occur.</t>
        </r>
      </text>
    </comment>
    <comment ref="T31" authorId="0" shapeId="0" xr:uid="{00000000-0006-0000-0500-000047000000}">
      <text>
        <r>
          <rPr>
            <sz val="11"/>
            <rFont val="Calibri"/>
          </rPr>
          <t>The Cisco ISE must generate audit records for privileged activities or other system-level access.</t>
        </r>
      </text>
    </comment>
    <comment ref="H41" authorId="0" shapeId="0" xr:uid="{00000000-0006-0000-0500-000048000000}">
      <text>
        <r>
          <rPr>
            <sz val="11"/>
            <rFont val="Calibri"/>
          </rPr>
          <t>The Cisco ISE must enforce access restrictions associated with changes to the firmware, OS, and hardware components.</t>
        </r>
      </text>
    </comment>
    <comment ref="I41" authorId="0" shapeId="0" xr:uid="{00000000-0006-0000-0500-000049000000}">
      <text>
        <r>
          <rPr>
            <sz val="11"/>
            <rFont val="Calibri"/>
          </rPr>
          <t>The Cisco ISE must be running an operating system release that is currently supported by the vendor.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Cisco ISE must be configured to notify the user before proceeding with remediation of the user</t>
        </r>
        <r>
          <rPr>
            <sz val="11"/>
            <color rgb="FF000000"/>
            <rFont val="Calibri"/>
          </rPr>
          <t>'</t>
        </r>
        <r>
          <rPr>
            <sz val="11"/>
            <color rgb="FF000000"/>
            <rFont val="Calibri"/>
          </rPr>
          <t>s endpoint device when automated remediation is used. This is required for compliance with C2C Step 3.</t>
        </r>
      </text>
    </comment>
    <comment ref="K3" authorId="0" shapeId="0" xr:uid="{00000000-0006-0000-0600-000007000000}">
      <text>
        <r>
          <rPr>
            <sz val="11"/>
            <rFont val="Calibri"/>
          </rPr>
          <t>The Cisco ISE must perform continuous detection and tracking of endpoint devices attached to the network. This is required for compliance with C2C Step 1.</t>
        </r>
      </text>
    </comment>
    <comment ref="L3" authorId="0" shapeId="0" xr:uid="{00000000-0006-0000-0600-000002000000}">
      <text>
        <r>
          <rPr>
            <sz val="11"/>
            <rFont val="Calibri"/>
          </rPr>
          <t>For the local web-based account of last resort, the Cisco ISE must automatically audit account creation.</t>
        </r>
      </text>
    </comment>
    <comment ref="M3" authorId="0" shapeId="0" xr:uid="{00000000-0006-0000-0600-000003000000}">
      <text>
        <r>
          <rPr>
            <sz val="11"/>
            <rFont val="Calibri"/>
          </rPr>
          <t>For the local web-based account of last resort and the default local CLI account, the Cisco ISE must automatically audit account modification.</t>
        </r>
      </text>
    </comment>
    <comment ref="N3" authorId="0" shapeId="0" xr:uid="{00000000-0006-0000-0600-000004000000}">
      <text>
        <r>
          <rPr>
            <sz val="11"/>
            <rFont val="Calibri"/>
          </rPr>
          <t>For the local web-based account of last resort, the Cisco ISE must automatically audit account disabling actions.</t>
        </r>
      </text>
    </comment>
    <comment ref="O3" authorId="0" shapeId="0" xr:uid="{00000000-0006-0000-0600-000005000000}">
      <text>
        <r>
          <rPr>
            <sz val="11"/>
            <rFont val="Calibri"/>
          </rPr>
          <t>For the local account of last resort, the Cisco ISE must automatically audit account removal actions.</t>
        </r>
      </text>
    </comment>
    <comment ref="P3" authorId="0" shapeId="0" xr:uid="{00000000-0006-0000-0600-000006000000}">
      <text>
        <r>
          <rPr>
            <sz val="11"/>
            <rFont val="Calibri"/>
          </rPr>
          <t>The Cisco ISE must automatically audit account enabling actions.</t>
        </r>
      </text>
    </comment>
    <comment ref="J7" authorId="0" shapeId="0" xr:uid="{00000000-0006-0000-0600-000008000000}">
      <text>
        <r>
          <rPr>
            <sz val="11"/>
            <rFont val="Calibri"/>
          </rPr>
          <t>The Cisco ISE must be configured with only one local web-based account to be used as the account of last resort in the event the authentication server is unavailable.</t>
        </r>
      </text>
    </comment>
    <comment ref="K7" authorId="0" shapeId="0" xr:uid="{00000000-0006-0000-0600-000009000000}">
      <text>
        <r>
          <rPr>
            <sz val="11"/>
            <rFont val="Calibri"/>
          </rPr>
          <t>The Cisco ISE must prevent non-privileged users from executing privileged functions to include disabling, circumventing, or altering implemented security safeguards/countermeasures.</t>
        </r>
      </text>
    </comment>
    <comment ref="L7" authorId="0" shapeId="0" xr:uid="{00000000-0006-0000-0600-00000A000000}">
      <text>
        <r>
          <rPr>
            <sz val="11"/>
            <rFont val="Calibri"/>
          </rPr>
          <t>The Cisco ISE must audit the execution of privileged functions.</t>
        </r>
      </text>
    </comment>
    <comment ref="M7" authorId="0" shapeId="0" xr:uid="{00000000-0006-0000-0600-00000B000000}">
      <text>
        <r>
          <rPr>
            <sz val="11"/>
            <rFont val="Calibri"/>
          </rPr>
          <t>For the local account of last resort, the Cisco ISE must display the Standard Mandatory DoD Notice and Consent Banner before granting access to the device.</t>
        </r>
      </text>
    </comment>
    <comment ref="J8" authorId="0" shapeId="0" xr:uid="{00000000-0006-0000-0600-00000C000000}">
      <text>
        <r>
          <rPr>
            <sz val="11"/>
            <rFont val="Calibri"/>
          </rPr>
          <t>The Cisco ISE must prevent non-privileged users from executing privileged functions to include disabling, circumventing, or altering implemented security safeguards/countermeasures.</t>
        </r>
      </text>
    </comment>
    <comment ref="K8" authorId="0" shapeId="0" xr:uid="{00000000-0006-0000-0600-00000D000000}">
      <text>
        <r>
          <rPr>
            <sz val="11"/>
            <rFont val="Calibri"/>
          </rPr>
          <t>The Cisco ISE must audit the execution of privileged functions.</t>
        </r>
      </text>
    </comment>
    <comment ref="J13" authorId="0" shapeId="0" xr:uid="{00000000-0006-0000-0600-00000E000000}">
      <text>
        <r>
          <rPr>
            <sz val="11"/>
            <rFont val="Calibri"/>
          </rPr>
          <t>The Cisco ISE must terminate all network connections associated with a device management session at the end of the session, or the session must be terminated after six minutes of inactivity, except to fulfill documented and validated mission requirements.</t>
        </r>
      </text>
    </comment>
    <comment ref="J23" authorId="0" shapeId="0" xr:uid="{00000000-0006-0000-0600-00000F000000}">
      <text>
        <r>
          <rPr>
            <sz val="11"/>
            <rFont val="Calibri"/>
          </rPr>
          <t>The Cisco ISE must generate a log record when an endpoint fails authentication. This is This is required for compliance with C2C Step 1.</t>
        </r>
      </text>
    </comment>
    <comment ref="K23" authorId="0" shapeId="0" xr:uid="{00000000-0006-0000-0600-000020000000}">
      <text>
        <r>
          <rPr>
            <sz val="11"/>
            <rFont val="Calibri"/>
          </rPr>
          <t>The Cisco ISE must generate a log record when the client machine fails posture assessment because required security software is missing or has been deleted. This is This is required for compliance with C2C Step 1.</t>
        </r>
      </text>
    </comment>
    <comment ref="L23" authorId="0" shapeId="0" xr:uid="{00000000-0006-0000-0600-000021000000}">
      <text>
        <r>
          <rPr>
            <sz val="11"/>
            <rFont val="Calibri"/>
          </rPr>
          <t>The Cisco ISE must provide an alert to, at a minimum, the SA and ISSO of all audit failure events where the detection and/or prevention function is unable to write events to either local storage or the centralized server. This is required for compliance with C2C Step 1.</t>
        </r>
      </text>
    </comment>
    <comment ref="M23" authorId="0" shapeId="0" xr:uid="{00000000-0006-0000-0600-000022000000}">
      <text>
        <r>
          <rPr>
            <sz val="11"/>
            <rFont val="Calibri"/>
          </rPr>
          <t>The Cisco ISE must be configured with a secondary log server in case the primary log is unreachable. This is required for compliance with C2C Step 1.</t>
        </r>
      </text>
    </comment>
    <comment ref="N23" authorId="0" shapeId="0" xr:uid="{00000000-0006-0000-0600-000023000000}">
      <text>
        <r>
          <rPr>
            <sz val="11"/>
            <rFont val="Calibri"/>
          </rPr>
          <t>The Cisco ISE must continue to queue traffic log records locally when communication with the central log server is lost and there is an audit archival failure. This is required for compliance with C2C Step 1.</t>
        </r>
      </text>
    </comment>
    <comment ref="O23" authorId="0" shapeId="0" xr:uid="{00000000-0006-0000-0600-000024000000}">
      <text>
        <r>
          <rPr>
            <sz val="11"/>
            <rFont val="Calibri"/>
          </rPr>
          <t>For the local web-based account of last resort, the Cisco ISE must automatically audit account creation.</t>
        </r>
      </text>
    </comment>
    <comment ref="P23" authorId="0" shapeId="0" xr:uid="{00000000-0006-0000-0600-000025000000}">
      <text>
        <r>
          <rPr>
            <sz val="11"/>
            <rFont val="Calibri"/>
          </rPr>
          <t>For the local web-based account of last resort and the default local CLI account, the Cisco ISE must automatically audit account modification.</t>
        </r>
      </text>
    </comment>
    <comment ref="Q23" authorId="0" shapeId="0" xr:uid="{00000000-0006-0000-0600-000010000000}">
      <text>
        <r>
          <rPr>
            <sz val="11"/>
            <rFont val="Calibri"/>
          </rPr>
          <t>For the local web-based account of last resort, the Cisco ISE must automatically audit account disabling actions.</t>
        </r>
      </text>
    </comment>
    <comment ref="R23" authorId="0" shapeId="0" xr:uid="{00000000-0006-0000-0600-000011000000}">
      <text>
        <r>
          <rPr>
            <sz val="11"/>
            <rFont val="Calibri"/>
          </rPr>
          <t>For the local account of last resort, the Cisco ISE must automatically audit account removal actions.</t>
        </r>
      </text>
    </comment>
    <comment ref="S23" authorId="0" shapeId="0" xr:uid="{00000000-0006-0000-0600-000012000000}">
      <text>
        <r>
          <rPr>
            <sz val="11"/>
            <rFont val="Calibri"/>
          </rPr>
          <t>The Cisco ISE must automatically audit account enabling actions.</t>
        </r>
      </text>
    </comment>
    <comment ref="T23" authorId="0" shapeId="0" xr:uid="{00000000-0006-0000-0600-000013000000}">
      <text>
        <r>
          <rPr>
            <sz val="11"/>
            <rFont val="Calibri"/>
          </rPr>
          <t>The Cisco ISE must generate audit records when successful attempts to access privileges occur.</t>
        </r>
      </text>
    </comment>
    <comment ref="U23" authorId="0" shapeId="0" xr:uid="{00000000-0006-0000-0600-000014000000}">
      <text>
        <r>
          <rPr>
            <sz val="11"/>
            <rFont val="Calibri"/>
          </rPr>
          <t>The Cisco ISE must generate audit records when successful attempts to modify administrator privileges occur.</t>
        </r>
      </text>
    </comment>
    <comment ref="V23" authorId="0" shapeId="0" xr:uid="{00000000-0006-0000-0600-000015000000}">
      <text>
        <r>
          <rPr>
            <sz val="11"/>
            <rFont val="Calibri"/>
          </rPr>
          <t>The Cisco ISE must generate audit records when successful attempts to delete administrator privileges occur.</t>
        </r>
      </text>
    </comment>
    <comment ref="W23" authorId="0" shapeId="0" xr:uid="{00000000-0006-0000-0600-000016000000}">
      <text>
        <r>
          <rPr>
            <sz val="11"/>
            <rFont val="Calibri"/>
          </rPr>
          <t>The Cisco ISE must generate audit records when successful logon attempts occur.</t>
        </r>
      </text>
    </comment>
    <comment ref="X23" authorId="0" shapeId="0" xr:uid="{00000000-0006-0000-0600-000017000000}">
      <text>
        <r>
          <rPr>
            <sz val="11"/>
            <rFont val="Calibri"/>
          </rPr>
          <t>The Cisco ISE must generate audit records for privileged activities or other system-level access.</t>
        </r>
      </text>
    </comment>
    <comment ref="Y23" authorId="0" shapeId="0" xr:uid="{00000000-0006-0000-0600-000018000000}">
      <text>
        <r>
          <rPr>
            <sz val="11"/>
            <rFont val="Calibri"/>
          </rPr>
          <t>The Cisco ISE must generate audit records when concurrent logons from different workstations occur.</t>
        </r>
      </text>
    </comment>
    <comment ref="Z23" authorId="0" shapeId="0" xr:uid="{00000000-0006-0000-0600-000019000000}">
      <text>
        <r>
          <rPr>
            <sz val="11"/>
            <rFont val="Calibri"/>
          </rPr>
          <t>The Cisco ISE must limit audit record storage capacity for all locally stored logs.</t>
        </r>
      </text>
    </comment>
    <comment ref="AA23" authorId="0" shapeId="0" xr:uid="{00000000-0006-0000-0600-00001A000000}">
      <text>
        <r>
          <rPr>
            <sz val="11"/>
            <rFont val="Calibri"/>
          </rPr>
          <t>The Cisco ISE must configure a remote syslog where audit records are stored on a centralized logging target that is different from the system being audited.</t>
        </r>
      </text>
    </comment>
    <comment ref="AB23" authorId="0" shapeId="0" xr:uid="{00000000-0006-0000-0600-00001B000000}">
      <text>
        <r>
          <rPr>
            <sz val="11"/>
            <rFont val="Calibri"/>
          </rPr>
          <t>The Cisco ISE must record time stamps for audit records that can be mapped to Coordinated Universal Time (UTC).</t>
        </r>
      </text>
    </comment>
    <comment ref="AC23" authorId="0" shapeId="0" xr:uid="{00000000-0006-0000-0600-00001C000000}">
      <text>
        <r>
          <rPr>
            <sz val="11"/>
            <rFont val="Calibri"/>
          </rPr>
          <t>The Cisco ISE must generate log records for a locally developed list of auditable events.</t>
        </r>
      </text>
    </comment>
    <comment ref="AD23" authorId="0" shapeId="0" xr:uid="{00000000-0006-0000-0600-00001D000000}">
      <text>
        <r>
          <rPr>
            <sz val="11"/>
            <rFont val="Calibri"/>
          </rPr>
          <t>The Cisco ISE must be configured to send log data to at least two central log servers for the purpose of forwarding alerts to the administrators and the information system security officer (ISSO).</t>
        </r>
      </text>
    </comment>
    <comment ref="AE23" authorId="0" shapeId="0" xr:uid="{00000000-0006-0000-0600-00001E000000}">
      <text>
        <r>
          <rPr>
            <sz val="11"/>
            <rFont val="Calibri"/>
          </rPr>
          <t>The Cisco ISE must initiate session auditing upon startup.</t>
        </r>
      </text>
    </comment>
    <comment ref="AF23" authorId="0" shapeId="0" xr:uid="{00000000-0006-0000-0600-00001F000000}">
      <text>
        <r>
          <rPr>
            <sz val="11"/>
            <rFont val="Calibri"/>
          </rPr>
          <t>The Cisco ISE must generate audit records containing the full-text recording of privileged commands.</t>
        </r>
      </text>
    </comment>
    <comment ref="J24" authorId="0" shapeId="0" xr:uid="{00000000-0006-0000-0600-000026000000}">
      <text>
        <r>
          <rPr>
            <sz val="11"/>
            <rFont val="Calibri"/>
          </rPr>
          <t>The Cisco ISE must generate a log record when an endpoint fails authentication. This is This is required for compliance with C2C Step 1.</t>
        </r>
      </text>
    </comment>
    <comment ref="K24" authorId="0" shapeId="0" xr:uid="{00000000-0006-0000-0600-000027000000}">
      <text>
        <r>
          <rPr>
            <sz val="11"/>
            <rFont val="Calibri"/>
          </rPr>
          <t>The Cisco ISE must generate a log record when the client machine fails posture assessment because required security software is missing or has been deleted. This is This is required for compliance with C2C Step 1.</t>
        </r>
      </text>
    </comment>
    <comment ref="L24" authorId="0" shapeId="0" xr:uid="{00000000-0006-0000-0600-000028000000}">
      <text>
        <r>
          <rPr>
            <sz val="11"/>
            <rFont val="Calibri"/>
          </rPr>
          <t>The Cisco ISE must continue to queue traffic log records locally when communication with the central log server is lost and there is an audit archival failure. This is required for compliance with C2C Step 1.</t>
        </r>
      </text>
    </comment>
    <comment ref="M24" authorId="0" shapeId="0" xr:uid="{00000000-0006-0000-0600-000029000000}">
      <text>
        <r>
          <rPr>
            <sz val="11"/>
            <rFont val="Calibri"/>
          </rPr>
          <t>The Cisco ISE must prevent non-privileged users from executing privileged functions to include disabling, circumventing, or altering implemented security safeguards/countermeasures.</t>
        </r>
      </text>
    </comment>
    <comment ref="N24" authorId="0" shapeId="0" xr:uid="{00000000-0006-0000-0600-00002A000000}">
      <text>
        <r>
          <rPr>
            <sz val="11"/>
            <rFont val="Calibri"/>
          </rPr>
          <t>The Cisco ISE must audit the execution of privileged functions.</t>
        </r>
      </text>
    </comment>
    <comment ref="O24" authorId="0" shapeId="0" xr:uid="{00000000-0006-0000-0600-00002B000000}">
      <text>
        <r>
          <rPr>
            <sz val="11"/>
            <rFont val="Calibri"/>
          </rPr>
          <t>The Cisco ISE must generate audit records when successful attempts to access privileges occur.</t>
        </r>
      </text>
    </comment>
    <comment ref="P24" authorId="0" shapeId="0" xr:uid="{00000000-0006-0000-0600-00002C000000}">
      <text>
        <r>
          <rPr>
            <sz val="11"/>
            <rFont val="Calibri"/>
          </rPr>
          <t>The Cisco ISE must generate audit records when successful attempts to modify administrator privileges occur.</t>
        </r>
      </text>
    </comment>
    <comment ref="Q24" authorId="0" shapeId="0" xr:uid="{00000000-0006-0000-0600-00002D000000}">
      <text>
        <r>
          <rPr>
            <sz val="11"/>
            <rFont val="Calibri"/>
          </rPr>
          <t>The Cisco ISE must generate audit records when successful attempts to delete administrator privileges occur.</t>
        </r>
      </text>
    </comment>
    <comment ref="R24" authorId="0" shapeId="0" xr:uid="{00000000-0006-0000-0600-00002E000000}">
      <text>
        <r>
          <rPr>
            <sz val="11"/>
            <rFont val="Calibri"/>
          </rPr>
          <t>The Cisco ISE must generate audit records when successful logon attempts occur.</t>
        </r>
      </text>
    </comment>
    <comment ref="S24" authorId="0" shapeId="0" xr:uid="{00000000-0006-0000-0600-00002F000000}">
      <text>
        <r>
          <rPr>
            <sz val="11"/>
            <rFont val="Calibri"/>
          </rPr>
          <t>The Cisco ISE must generate audit records for privileged activities or other system-level access.</t>
        </r>
      </text>
    </comment>
    <comment ref="T24" authorId="0" shapeId="0" xr:uid="{00000000-0006-0000-0600-000030000000}">
      <text>
        <r>
          <rPr>
            <sz val="11"/>
            <rFont val="Calibri"/>
          </rPr>
          <t>The Cisco ISE must generate audit records when concurrent logons from different workstations occur.</t>
        </r>
      </text>
    </comment>
    <comment ref="U24" authorId="0" shapeId="0" xr:uid="{00000000-0006-0000-0600-000031000000}">
      <text>
        <r>
          <rPr>
            <sz val="11"/>
            <rFont val="Calibri"/>
          </rPr>
          <t>The Cisco ISE must limit audit record storage capacity for all locally stored logs.</t>
        </r>
      </text>
    </comment>
    <comment ref="V24" authorId="0" shapeId="0" xr:uid="{00000000-0006-0000-0600-000032000000}">
      <text>
        <r>
          <rPr>
            <sz val="11"/>
            <rFont val="Calibri"/>
          </rPr>
          <t>The Cisco ISE must configure a remote syslog where audit records are stored on a centralized logging target that is different from the system being audited.</t>
        </r>
      </text>
    </comment>
    <comment ref="W24" authorId="0" shapeId="0" xr:uid="{00000000-0006-0000-0600-000033000000}">
      <text>
        <r>
          <rPr>
            <sz val="11"/>
            <rFont val="Calibri"/>
          </rPr>
          <t>The Cisco ISE must generate log records for a locally developed list of auditable events.</t>
        </r>
      </text>
    </comment>
    <comment ref="X24" authorId="0" shapeId="0" xr:uid="{00000000-0006-0000-0600-000034000000}">
      <text>
        <r>
          <rPr>
            <sz val="11"/>
            <rFont val="Calibri"/>
          </rPr>
          <t>The Cisco ISE must generate audit records containing the full-text recording of privileged commands.</t>
        </r>
      </text>
    </comment>
    <comment ref="J26" authorId="0" shapeId="0" xr:uid="{00000000-0006-0000-0600-000035000000}">
      <text>
        <r>
          <rPr>
            <sz val="11"/>
            <rFont val="Calibri"/>
          </rPr>
          <t>The Cisco ISE must send an alert to the Information System Security Manager (ISSM) and System Administrator (SA), at a minimum, when security issues are found that put the network at risk. This is required for compliance with C2C Step 2.</t>
        </r>
      </text>
    </comment>
    <comment ref="K26" authorId="0" shapeId="0" xr:uid="{00000000-0006-0000-0600-000036000000}">
      <text>
        <r>
          <rPr>
            <sz val="11"/>
            <rFont val="Calibri"/>
          </rPr>
          <t>The Cisco ISE must send an alert to the system administrator, at a minimum, when endpoints fail the policy assessment checks for organization-defined infractions. This is required for compliance with C2C Step 3.</t>
        </r>
      </text>
    </comment>
    <comment ref="L26" authorId="0" shapeId="0" xr:uid="{00000000-0006-0000-0600-000037000000}">
      <text>
        <r>
          <rPr>
            <sz val="11"/>
            <rFont val="Calibri"/>
          </rPr>
          <t>The Cisco ISE must generate a critical alert to be sent to the ISSO and SA (at a minimum) in the event of an audit processing failure. This is required for compliance with C2C Step 1.</t>
        </r>
      </text>
    </comment>
    <comment ref="M26" authorId="0" shapeId="0" xr:uid="{00000000-0006-0000-0600-000038000000}">
      <text>
        <r>
          <rPr>
            <sz val="11"/>
            <rFont val="Calibri"/>
          </rPr>
          <t>The Cisco ISE must provide an alert to, at a minimum, the SA and ISSO of all audit failure events where the detection and/or prevention function is unable to write events to either local storage or the centralized server. This is required for compliance with C2C Step 1.</t>
        </r>
      </text>
    </comment>
    <comment ref="N26" authorId="0" shapeId="0" xr:uid="{00000000-0006-0000-0600-000039000000}">
      <text>
        <r>
          <rPr>
            <sz val="11"/>
            <rFont val="Calibri"/>
          </rPr>
          <t>The Cisco ISE must be configured with a secondary log server in case the primary log is unreachable. This is required for compliance with C2C Step 1.</t>
        </r>
      </text>
    </comment>
    <comment ref="O26" authorId="0" shapeId="0" xr:uid="{00000000-0006-0000-0600-00003A000000}">
      <text>
        <r>
          <rPr>
            <sz val="11"/>
            <rFont val="Calibri"/>
          </rPr>
          <t>The Cisco ISE must generate a critical alert to be sent to the ISSO and SA (at a minimum) if it is unable to communicate with the central event log. This is required for compliance with C2C Step 1.</t>
        </r>
      </text>
    </comment>
    <comment ref="P26" authorId="0" shapeId="0" xr:uid="{00000000-0006-0000-0600-00003B000000}">
      <text>
        <r>
          <rPr>
            <sz val="11"/>
            <rFont val="Calibri"/>
          </rPr>
          <t>The Cisco ISE must be configured to send log data to at least two central log servers for the purpose of forwarding alerts to the administrators and the information system security officer (ISSO).</t>
        </r>
      </text>
    </comment>
    <comment ref="J29" authorId="0" shapeId="0" xr:uid="{00000000-0006-0000-0600-00003C000000}">
      <text>
        <r>
          <rPr>
            <sz val="11"/>
            <rFont val="Calibri"/>
          </rPr>
          <t>The Cisco ISE must be configured to synchronize internal information system clocks using redundant authoritative time sources.</t>
        </r>
      </text>
    </comment>
    <comment ref="K29" authorId="0" shapeId="0" xr:uid="{00000000-0006-0000-0600-00003D000000}">
      <text>
        <r>
          <rPr>
            <sz val="11"/>
            <rFont val="Calibri"/>
          </rPr>
          <t>The Cisco ISE must record time stamps for audit records that can be mapped to Coordinated Universal Time (UTC).</t>
        </r>
      </text>
    </comment>
    <comment ref="L29" authorId="0" shapeId="0" xr:uid="{00000000-0006-0000-0600-00003E000000}">
      <text>
        <r>
          <rPr>
            <sz val="11"/>
            <rFont val="Calibri"/>
          </rPr>
          <t>The Cisco ISE must authenticate Network Time Protocol (NTP) sources using authentication that is cryptographically based.</t>
        </r>
      </text>
    </comment>
    <comment ref="J30" authorId="0" shapeId="0" xr:uid="{00000000-0006-0000-0600-00003F000000}">
      <text>
        <r>
          <rPr>
            <sz val="11"/>
            <rFont val="Calibri"/>
          </rPr>
          <t>The Cisco ISE must protect against an individual (or process acting on behalf of an individual) falsely denying having performed organization-defined actions to be covered by non-repudiation.</t>
        </r>
      </text>
    </comment>
    <comment ref="J37" authorId="0" shapeId="0" xr:uid="{00000000-0006-0000-0600-000040000000}">
      <text>
        <r>
          <rPr>
            <sz val="11"/>
            <rFont val="Calibri"/>
          </rPr>
          <t>The Cisco ISE must be configured to prohibit the use of all unnecessary and/or nonsecure functions, ports, protocols, and/or services.</t>
        </r>
      </text>
    </comment>
    <comment ref="J38" authorId="0" shapeId="0" xr:uid="{00000000-0006-0000-0600-000041000000}">
      <text>
        <r>
          <rPr>
            <sz val="11"/>
            <rFont val="Calibri"/>
          </rPr>
          <t>The Cisco ISE must be configured to prohibit the use of all unnecessary and/or nonsecure functions, ports, protocols, and/or services.</t>
        </r>
      </text>
    </comment>
    <comment ref="J40" authorId="0" shapeId="0" xr:uid="{00000000-0006-0000-0600-000042000000}">
      <text>
        <r>
          <rPr>
            <sz val="11"/>
            <rFont val="Calibri"/>
          </rPr>
          <t>The Cisco ISE must verify the checksum value of any software download, including install files (ISO or OVA), patch files, and upgrade bundles.</t>
        </r>
      </text>
    </comment>
    <comment ref="J43" authorId="0" shapeId="0" xr:uid="{00000000-0006-0000-0600-000043000000}">
      <text>
        <r>
          <rPr>
            <sz val="11"/>
            <rFont val="Calibri"/>
          </rPr>
          <t>The Cisco ISE must be configured with only one local web-based account to be used as the account of last resort in the event the authentication server is unavailable.</t>
        </r>
      </text>
    </comment>
    <comment ref="K43" authorId="0" shapeId="0" xr:uid="{00000000-0006-0000-0600-000044000000}">
      <text>
        <r>
          <rPr>
            <sz val="11"/>
            <rFont val="Calibri"/>
          </rPr>
          <t>For the local account of last resort, the Cisco ISE must display the Standard Mandatory DoD Notice and Consent Banner before granting access to the device.</t>
        </r>
      </text>
    </comment>
    <comment ref="L43" authorId="0" shapeId="0" xr:uid="{00000000-0006-0000-0600-000045000000}">
      <text>
        <r>
          <rPr>
            <sz val="11"/>
            <rFont val="Calibri"/>
          </rPr>
          <t>The Cisco ISE must be configured to use an external authentication server to authenticate administrators prior to granting administrative access.</t>
        </r>
      </text>
    </comment>
    <comment ref="J44" authorId="0" shapeId="0" xr:uid="{00000000-0006-0000-0600-000046000000}">
      <text>
        <r>
          <rPr>
            <sz val="11"/>
            <rFont val="Calibri"/>
          </rPr>
          <t>The Cisco ISE must be configured to use an external authentication server to authenticate administrators prior to granting administrative access.</t>
        </r>
      </text>
    </comment>
    <comment ref="J45" authorId="0" shapeId="0" xr:uid="{00000000-0006-0000-0600-000047000000}">
      <text>
        <r>
          <rPr>
            <sz val="11"/>
            <rFont val="Calibri"/>
          </rPr>
          <t>For accounts using password authentication, the Cisco ISE must implement replay-resistant authentication mechanisms for network access to privileged accounts.</t>
        </r>
      </text>
    </comment>
    <comment ref="J46" authorId="0" shapeId="0" xr:uid="{00000000-0006-0000-0600-000048000000}">
      <text>
        <r>
          <rPr>
            <sz val="11"/>
            <rFont val="Calibri"/>
          </rPr>
          <t>For accounts using password authentication, the Cisco ISE must implement replay-resistant authentication mechanisms for network access to privileged accounts.</t>
        </r>
      </text>
    </comment>
    <comment ref="J47" authorId="0" shapeId="0" xr:uid="{00000000-0006-0000-0600-000049000000}">
      <text>
        <r>
          <rPr>
            <sz val="11"/>
            <rFont val="Calibri"/>
          </rPr>
          <t>The Cisco ISE must be configured to enforce the limit of three consecutive invalid logon attempts, after which time it must lock out the user account from accessing the device for 15 minutes.</t>
        </r>
      </text>
    </comment>
    <comment ref="J48" authorId="0" shapeId="0" xr:uid="{00000000-0006-0000-0600-00004A000000}">
      <text>
        <r>
          <rPr>
            <sz val="11"/>
            <rFont val="Calibri"/>
          </rPr>
          <t>For accounts using password authentication, the Cisco ISE must enforce a minimum 15-character password length.</t>
        </r>
      </text>
    </comment>
    <comment ref="K48" authorId="0" shapeId="0" xr:uid="{00000000-0006-0000-0600-00004B000000}">
      <text>
        <r>
          <rPr>
            <sz val="11"/>
            <rFont val="Calibri"/>
          </rPr>
          <t>For accounts using password authentication, the Cisco ISE must enforce password complexity by requiring that at least one uppercase character be used.</t>
        </r>
      </text>
    </comment>
    <comment ref="L48" authorId="0" shapeId="0" xr:uid="{00000000-0006-0000-0600-00004C000000}">
      <text>
        <r>
          <rPr>
            <sz val="11"/>
            <rFont val="Calibri"/>
          </rPr>
          <t>For accounts using password authentication, the Cisco ISE must enforce password complexity by requiring that at least one lowercase character be used.</t>
        </r>
      </text>
    </comment>
    <comment ref="M48" authorId="0" shapeId="0" xr:uid="{00000000-0006-0000-0600-00004D000000}">
      <text>
        <r>
          <rPr>
            <sz val="11"/>
            <rFont val="Calibri"/>
          </rPr>
          <t>For accounts using password authentication, the Cisco ISE must enforce password complexity by requiring that at least one digit be used.</t>
        </r>
      </text>
    </comment>
    <comment ref="N48" authorId="0" shapeId="0" xr:uid="{00000000-0006-0000-0600-00004E000000}">
      <text>
        <r>
          <rPr>
            <sz val="11"/>
            <rFont val="Calibri"/>
          </rPr>
          <t>For accounts using password authentication, the Cisco ISE must enforce password complexity by requiring that at least one special character be used.</t>
        </r>
      </text>
    </comment>
    <comment ref="O48" authorId="0" shapeId="0" xr:uid="{00000000-0006-0000-0600-00004F000000}">
      <text>
        <r>
          <rPr>
            <sz val="11"/>
            <rFont val="Calibri"/>
          </rPr>
          <t>The Cisco ISE must prohibit the use of cached authenticators after an organization-defined time period.</t>
        </r>
      </text>
    </comment>
    <comment ref="J50" authorId="0" shapeId="0" xr:uid="{00000000-0006-0000-0600-000050000000}">
      <text>
        <r>
          <rPr>
            <sz val="11"/>
            <rFont val="Calibri"/>
          </rPr>
          <t>For accounts using password authentication, the Cisco ISE must enforce a minimum 15-character password length.</t>
        </r>
      </text>
    </comment>
    <comment ref="K50" authorId="0" shapeId="0" xr:uid="{00000000-0006-0000-0600-000051000000}">
      <text>
        <r>
          <rPr>
            <sz val="11"/>
            <rFont val="Calibri"/>
          </rPr>
          <t>For accounts using password authentication, the Cisco ISE must enforce password complexity by requiring that at least one uppercase character be used.</t>
        </r>
      </text>
    </comment>
    <comment ref="L50" authorId="0" shapeId="0" xr:uid="{00000000-0006-0000-0600-000052000000}">
      <text>
        <r>
          <rPr>
            <sz val="11"/>
            <rFont val="Calibri"/>
          </rPr>
          <t>For accounts using password authentication, the Cisco ISE must enforce password complexity by requiring that at least one lowercase character be used.</t>
        </r>
      </text>
    </comment>
    <comment ref="M50" authorId="0" shapeId="0" xr:uid="{00000000-0006-0000-0600-000053000000}">
      <text>
        <r>
          <rPr>
            <sz val="11"/>
            <rFont val="Calibri"/>
          </rPr>
          <t>For accounts using password authentication, the Cisco ISE must enforce password complexity by requiring that at least one digit be used.</t>
        </r>
      </text>
    </comment>
    <comment ref="N50" authorId="0" shapeId="0" xr:uid="{00000000-0006-0000-0600-000054000000}">
      <text>
        <r>
          <rPr>
            <sz val="11"/>
            <rFont val="Calibri"/>
          </rPr>
          <t>For accounts using password authentication, the Cisco ISE must enforce password complexity by requiring that at least one special character be used.</t>
        </r>
      </text>
    </comment>
    <comment ref="J52" authorId="0" shapeId="0" xr:uid="{00000000-0006-0000-0600-000055000000}">
      <text>
        <r>
          <rPr>
            <sz val="11"/>
            <rFont val="Calibri"/>
          </rPr>
          <t>The Cisco ISE must send an alert to the Information System Security Manager (ISSM) and System Administrator (SA), at a minimum, when security issues are found that put the network at risk. This is required for compliance with C2C Step 2.</t>
        </r>
      </text>
    </comment>
    <comment ref="K52" authorId="0" shapeId="0" xr:uid="{00000000-0006-0000-0600-000056000000}">
      <text>
        <r>
          <rPr>
            <sz val="11"/>
            <rFont val="Calibri"/>
          </rPr>
          <t>The Cisco ISE must send an alert to the system administrator, at a minimum, when endpoints fail the policy assessment checks for organization-defined infractions. This is required for compliance with C2C Step 3.</t>
        </r>
      </text>
    </comment>
    <comment ref="L52" authorId="0" shapeId="0" xr:uid="{00000000-0006-0000-0600-000057000000}">
      <text>
        <r>
          <rPr>
            <sz val="11"/>
            <rFont val="Calibri"/>
          </rPr>
          <t>The Cisco ISE must generate a critical alert to be sent to the ISSO and SA (at a minimum) in the event of an audit processing failure. This is required for compliance with C2C Step 1.</t>
        </r>
      </text>
    </comment>
    <comment ref="M52" authorId="0" shapeId="0" xr:uid="{00000000-0006-0000-0600-000058000000}">
      <text>
        <r>
          <rPr>
            <sz val="11"/>
            <rFont val="Calibri"/>
          </rPr>
          <t>The Cisco ISE must generate a critical alert to be sent to the ISSO and SA (at a minimum) if it is unable to communicate with the central event log. This is required for compliance with C2C Step 1.</t>
        </r>
      </text>
    </comment>
    <comment ref="J68" authorId="0" shapeId="0" xr:uid="{00000000-0006-0000-0600-000059000000}">
      <text>
        <r>
          <rPr>
            <sz val="11"/>
            <rFont val="Calibri"/>
          </rPr>
          <t>The Cisco ISE must conduct configuration and operational backups when changes are made or must schedule backups weekly, at a minimum.</t>
        </r>
      </text>
    </comment>
    <comment ref="J83" authorId="0" shapeId="0" xr:uid="{00000000-0006-0000-0600-00005A000000}">
      <text>
        <r>
          <rPr>
            <sz val="11"/>
            <rFont val="Calibri"/>
          </rPr>
          <t>The Cisco ISE must be configured to profile endpoints connecting to the network. This is required for compliance with C2C Step 4.</t>
        </r>
      </text>
    </comment>
    <comment ref="K83" authorId="0" shapeId="0" xr:uid="{00000000-0006-0000-0600-00005B000000}">
      <text>
        <r>
          <rPr>
            <sz val="11"/>
            <rFont val="Calibri"/>
          </rPr>
          <t>The Cisco ISE must deny or restrict access for endpoints that fail required posture checks. This is required for compliance with C2C Step 4.</t>
        </r>
      </text>
    </comment>
    <comment ref="L83" authorId="0" shapeId="0" xr:uid="{00000000-0006-0000-0600-00005C000000}">
      <text>
        <r>
          <rPr>
            <sz val="11"/>
            <rFont val="Calibri"/>
          </rPr>
          <t>The Cisco ISE must enforce posture status assessment for posture required clients defined in the NAC System Security Plan (SSP). This is required for compliance with C2C Step 3.</t>
        </r>
      </text>
    </comment>
    <comment ref="M83" authorId="0" shapeId="0" xr:uid="{00000000-0006-0000-0600-00005D000000}">
      <text>
        <r>
          <rPr>
            <sz val="11"/>
            <rFont val="Calibri"/>
          </rPr>
          <t>The Cisco ISE must have a posture policy for posture required clients defined in the NAC System Security Plan (SSP). This is required for compliance with C2C Step 2.</t>
        </r>
      </text>
    </comment>
    <comment ref="J84" authorId="0" shapeId="0" xr:uid="{00000000-0006-0000-0600-00005E000000}">
      <text>
        <r>
          <rPr>
            <sz val="11"/>
            <rFont val="Calibri"/>
          </rPr>
          <t>The Cisco ISE must be configured to profile endpoints connecting to the network. This is required for compliance with C2C Step 4.</t>
        </r>
      </text>
    </comment>
    <comment ref="K84" authorId="0" shapeId="0" xr:uid="{00000000-0006-0000-0600-00005F000000}">
      <text>
        <r>
          <rPr>
            <sz val="11"/>
            <rFont val="Calibri"/>
          </rPr>
          <t>The Cisco ISE must verify host-based firewall software is running on posture required clients defined in the NAC System Security Plan (SSP) prior to granting trusted network access. This is required for compliance with C2C Step 4.</t>
        </r>
      </text>
    </comment>
    <comment ref="L84" authorId="0" shapeId="0" xr:uid="{00000000-0006-0000-0600-000060000000}">
      <text>
        <r>
          <rPr>
            <sz val="11"/>
            <rFont val="Calibri"/>
          </rPr>
          <t>The Cisco ISE must deny or restrict access for endpoints that fail required posture checks. This is required for compliance with C2C Step 4.</t>
        </r>
      </text>
    </comment>
    <comment ref="M84" authorId="0" shapeId="0" xr:uid="{00000000-0006-0000-0600-000061000000}">
      <text>
        <r>
          <rPr>
            <sz val="11"/>
            <rFont val="Calibri"/>
          </rPr>
          <t>The Cisco ISE must enforce posture status assessment for posture required clients defined in the NAC System Security Plan (SSP). This is required for compliance with C2C Step 3.</t>
        </r>
      </text>
    </comment>
    <comment ref="N84" authorId="0" shapeId="0" xr:uid="{00000000-0006-0000-0600-000062000000}">
      <text>
        <r>
          <rPr>
            <sz val="11"/>
            <rFont val="Calibri"/>
          </rPr>
          <t>The Cisco ISE must have a posture policy for posture required clients defined in the NAC System Security Plan (SSP). This is required for compliance with C2C Step 2.</t>
        </r>
      </text>
    </comment>
    <comment ref="J88" authorId="0" shapeId="0" xr:uid="{00000000-0006-0000-0600-000063000000}">
      <text>
        <r>
          <rPr>
            <sz val="11"/>
            <rFont val="Calibri"/>
          </rPr>
          <t>For endpoints that require automated remediation, the Cisco ISE must be configured to redirect endpoints to a logically separate VLAN for remediation services. This is required for compliance with C2C Step 4.</t>
        </r>
      </text>
    </comment>
    <comment ref="K88" authorId="0" shapeId="0" xr:uid="{00000000-0006-0000-0600-000064000000}">
      <text>
        <r>
          <rPr>
            <sz val="11"/>
            <rFont val="Calibri"/>
          </rPr>
          <t>The Cisco ISE must place client machines on the blacklist and terminate the agent connection when critical security issues are found that put the network at risk. This is required for compliance with C2C Step 4.</t>
        </r>
      </text>
    </comment>
    <comment ref="L88" authorId="0" shapeId="0" xr:uid="{00000000-0006-0000-0600-000065000000}">
      <text>
        <r>
          <rPr>
            <sz val="11"/>
            <rFont val="Calibri"/>
          </rPr>
          <t>The Cisco ISE must deny network connection for endpoints that cannot be authenticated using an approved method. This is required for compliance with C2C Step 4.</t>
        </r>
      </text>
    </comment>
    <comment ref="M88" authorId="0" shapeId="0" xr:uid="{00000000-0006-0000-0600-000066000000}">
      <text>
        <r>
          <rPr>
            <sz val="11"/>
            <rFont val="Calibri"/>
          </rPr>
          <t>The Cisco ISE must authenticate all endpoint devices before establishing a connection and proceeding with posture assessment. This is required for compliance with C2C Step 4.</t>
        </r>
      </text>
    </comment>
    <comment ref="J89" authorId="0" shapeId="0" xr:uid="{00000000-0006-0000-0600-000067000000}">
      <text>
        <r>
          <rPr>
            <sz val="11"/>
            <rFont val="Calibri"/>
          </rPr>
          <t>For endpoints that require automated remediation, the Cisco ISE must be configured to redirect endpoints to a logically separate VLAN for remediation services. This is required for compliance with C2C Step 4.</t>
        </r>
      </text>
    </comment>
    <comment ref="J91" authorId="0" shapeId="0" xr:uid="{00000000-0006-0000-0600-000068000000}">
      <text>
        <r>
          <rPr>
            <sz val="11"/>
            <rFont val="Calibri"/>
          </rPr>
          <t>The Cisco ISE must use TLS 1.2, at a minimum, to protect the confidentiality of information passed between the endpoint agent and the Cisco ISE. This is This is required for compliance with C2C Step 1.</t>
        </r>
      </text>
    </comment>
    <comment ref="K91" authorId="0" shapeId="0" xr:uid="{00000000-0006-0000-0600-000069000000}">
      <text>
        <r>
          <rPr>
            <sz val="11"/>
            <rFont val="Calibri"/>
          </rPr>
          <t>Before establishing a connection with a Network Time Protocol (NTP) server, the Cisco ISE must authenticate using a bidirectional, cryptographically based authentication method that uses a FIPS-validated Advanced Encryption Standard (AES) cipher block algorithm to authenticate with the NTP server. This is required for compliance with C2C Step 1.</t>
        </r>
      </text>
    </comment>
    <comment ref="L91" authorId="0" shapeId="0" xr:uid="{00000000-0006-0000-0600-00006A000000}">
      <text>
        <r>
          <rPr>
            <sz val="11"/>
            <rFont val="Calibri"/>
          </rPr>
          <t>Before establishing a local, remote, and/or network connection with any endpoint device, the Cisco ISE must use a bidirectional authentication mechanism configured with a FIPS-validated Advanced Encryption Standard (AES) cipher block algorithm to authenticate with the endpoint device. This is required for compliance with C2C Step 1.</t>
        </r>
      </text>
    </comment>
    <comment ref="M91" authorId="0" shapeId="0" xr:uid="{00000000-0006-0000-0600-00006B000000}">
      <text>
        <r>
          <rPr>
            <sz val="11"/>
            <rFont val="Calibri"/>
          </rPr>
          <t>The Cisco ISE must be configured to authenticate SNMP messages using a FIPS-validated Keyed-Hash Message Authentication Code (HMAC).</t>
        </r>
      </text>
    </comment>
    <comment ref="N91" authorId="0" shapeId="0" xr:uid="{00000000-0006-0000-0600-00006C000000}">
      <text>
        <r>
          <rPr>
            <sz val="11"/>
            <rFont val="Calibri"/>
          </rPr>
          <t>The Cisco ISE must use FIPS-validated Keyed-Hash Message Authentication Code (HMAC) to protect the integrity of nonlocal maintenance and diagnostic communications.</t>
        </r>
      </text>
    </comment>
    <comment ref="O91" authorId="0" shapeId="0" xr:uid="{00000000-0006-0000-0600-00006D000000}">
      <text>
        <r>
          <rPr>
            <sz val="11"/>
            <rFont val="Calibri"/>
          </rPr>
          <t>The Cisco ISE must be configured to implement cryptographic mechanisms using a FIPS 140-2 validated algorithm to protect the confidentiality of remote maintenance sessions.</t>
        </r>
      </text>
    </comment>
    <comment ref="P91" authorId="0" shapeId="0" xr:uid="{00000000-0006-0000-0600-00006E000000}">
      <text>
        <r>
          <rPr>
            <sz val="11"/>
            <rFont val="Calibri"/>
          </rPr>
          <t>The Cisco ISE must generate unique session identifiers using a FIPS 140-2 approved Random Number Generator (RNG) using DRGB.</t>
        </r>
      </text>
    </comment>
    <comment ref="J93" authorId="0" shapeId="0" xr:uid="{00000000-0006-0000-0600-00006F000000}">
      <text>
        <r>
          <rPr>
            <sz val="11"/>
            <rFont val="Calibri"/>
          </rPr>
          <t>Before establishing a connection with a Network Time Protocol (NTP) server, the Cisco ISE must authenticate using a bidirectional, cryptographically based authentication method that uses a FIPS-validated Advanced Encryption Standard (AES) cipher block algorithm to authenticate with the NTP server. This is required for compliance with C2C Step 1.</t>
        </r>
      </text>
    </comment>
    <comment ref="K93" authorId="0" shapeId="0" xr:uid="{00000000-0006-0000-0600-000070000000}">
      <text>
        <r>
          <rPr>
            <sz val="11"/>
            <rFont val="Calibri"/>
          </rPr>
          <t>Before establishing a local, remote, and/or network connection with any endpoint device, the Cisco ISE must use a bidirectional authentication mechanism configured with a FIPS-validated Advanced Encryption Standard (AES) cipher block algorithm to authenticate with the endpoint device. This is required for compliance with C2C Step 1.</t>
        </r>
      </text>
    </comment>
    <comment ref="L93" authorId="0" shapeId="0" xr:uid="{00000000-0006-0000-0600-000071000000}">
      <text>
        <r>
          <rPr>
            <sz val="11"/>
            <rFont val="Calibri"/>
          </rPr>
          <t>The Cisco ISE must use DoD-approved PKI rather than proprietary or self-signed device certificates.</t>
        </r>
      </text>
    </comment>
    <comment ref="M93" authorId="0" shapeId="0" xr:uid="{00000000-0006-0000-0600-000072000000}">
      <text>
        <r>
          <rPr>
            <sz val="11"/>
            <rFont val="Calibri"/>
          </rPr>
          <t>The Cisco ISE must be configured to authenticate SNMP messages using a FIPS-validated Keyed-Hash Message Authentication Code (HMAC).</t>
        </r>
      </text>
    </comment>
    <comment ref="N93" authorId="0" shapeId="0" xr:uid="{00000000-0006-0000-0600-000073000000}">
      <text>
        <r>
          <rPr>
            <sz val="11"/>
            <rFont val="Calibri"/>
          </rPr>
          <t>The Cisco ISE must use FIPS-validated Keyed-Hash Message Authentication Code (HMAC) to protect the integrity of nonlocal maintenance and diagnostic communications.</t>
        </r>
      </text>
    </comment>
    <comment ref="O93" authorId="0" shapeId="0" xr:uid="{00000000-0006-0000-0600-000074000000}">
      <text>
        <r>
          <rPr>
            <sz val="11"/>
            <rFont val="Calibri"/>
          </rPr>
          <t>The Cisco ISE must be configured to implement cryptographic mechanisms using a FIPS 140-2 validated algorithm to protect the confidentiality of remote maintenance sessions.</t>
        </r>
      </text>
    </comment>
    <comment ref="P93" authorId="0" shapeId="0" xr:uid="{00000000-0006-0000-0600-000075000000}">
      <text>
        <r>
          <rPr>
            <sz val="11"/>
            <rFont val="Calibri"/>
          </rPr>
          <t>The Cisco ISE must generate unique session identifiers using a FIPS 140-2 approved Random Number Generator (RNG) using DRGB.</t>
        </r>
      </text>
    </comment>
    <comment ref="J94" authorId="0" shapeId="0" xr:uid="{00000000-0006-0000-0600-000076000000}">
      <text>
        <r>
          <rPr>
            <sz val="11"/>
            <rFont val="Calibri"/>
          </rPr>
          <t>Before establishing a connection with a Network Time Protocol (NTP) server, the Cisco ISE must authenticate using a bidirectional, cryptographically based authentication method that uses a FIPS-validated Advanced Encryption Standard (AES) cipher block algorithm to authenticate with the NTP server. This is required for compliance with C2C Step 1.</t>
        </r>
      </text>
    </comment>
    <comment ref="K94" authorId="0" shapeId="0" xr:uid="{00000000-0006-0000-0600-000077000000}">
      <text>
        <r>
          <rPr>
            <sz val="11"/>
            <rFont val="Calibri"/>
          </rPr>
          <t>Before establishing a local, remote, and/or network connection with any endpoint device, the Cisco ISE must use a bidirectional authentication mechanism configured with a FIPS-validated Advanced Encryption Standard (AES) cipher block algorithm to authenticate with the endpoint device. This is required for compliance with C2C Step 1.</t>
        </r>
      </text>
    </comment>
    <comment ref="L94" authorId="0" shapeId="0" xr:uid="{00000000-0006-0000-0600-000078000000}">
      <text>
        <r>
          <rPr>
            <sz val="11"/>
            <rFont val="Calibri"/>
          </rPr>
          <t>The Cisco ISE must be configured to authenticate SNMP messages using a FIPS-validated Keyed-Hash Message Authentication Code (HMAC).</t>
        </r>
      </text>
    </comment>
    <comment ref="M94" authorId="0" shapeId="0" xr:uid="{00000000-0006-0000-0600-000079000000}">
      <text>
        <r>
          <rPr>
            <sz val="11"/>
            <rFont val="Calibri"/>
          </rPr>
          <t>For accounts using password authentication, the Cisco ISE must use FIPS-validated SHA-2 or later protocol to protect the integrity of the password authentication process.</t>
        </r>
      </text>
    </comment>
    <comment ref="N94" authorId="0" shapeId="0" xr:uid="{00000000-0006-0000-0600-00007A000000}">
      <text>
        <r>
          <rPr>
            <sz val="11"/>
            <rFont val="Calibri"/>
          </rPr>
          <t>The Cisco ISE must use FIPS-validated SHA-2 (or greater) to protect the integrity of hash message authentication code (HMAC), Key Derivation Functions (KDFs), Random Bit Generation, and hash-only applications.</t>
        </r>
      </text>
    </comment>
    <comment ref="O94" authorId="0" shapeId="0" xr:uid="{00000000-0006-0000-0600-00007B000000}">
      <text>
        <r>
          <rPr>
            <sz val="11"/>
            <rFont val="Calibri"/>
          </rPr>
          <t>The Cisco ISE must use FIPS-validated Keyed-Hash Message Authentication Code (HMAC) to protect the integrity of nonlocal maintenance and diagnostic communications.</t>
        </r>
      </text>
    </comment>
    <comment ref="P94" authorId="0" shapeId="0" xr:uid="{00000000-0006-0000-0600-00007C000000}">
      <text>
        <r>
          <rPr>
            <sz val="11"/>
            <rFont val="Calibri"/>
          </rPr>
          <t>The Cisco ISE must be configured to implement cryptographic mechanisms using a FIPS 140-2 validated algorithm to protect the confidentiality of remote maintenance sessions.</t>
        </r>
      </text>
    </comment>
    <comment ref="Q94" authorId="0" shapeId="0" xr:uid="{00000000-0006-0000-0600-00007D000000}">
      <text>
        <r>
          <rPr>
            <sz val="11"/>
            <rFont val="Calibri"/>
          </rPr>
          <t>The Cisco ISE must generate unique session identifiers using a FIPS 140-2 approved Random Number Generator (RNG) using DRGB.</t>
        </r>
      </text>
    </comment>
    <comment ref="J99" authorId="0" shapeId="0" xr:uid="{00000000-0006-0000-0600-00007E000000}">
      <text>
        <r>
          <rPr>
            <sz val="11"/>
            <rFont val="Calibri"/>
          </rPr>
          <t>The Cisco ISE must enforce access restrictions associated with changes to the firmware, OS, and hardware components.</t>
        </r>
      </text>
    </comment>
    <comment ref="K99" authorId="0" shapeId="0" xr:uid="{00000000-0006-0000-0600-00007F000000}">
      <text>
        <r>
          <rPr>
            <sz val="11"/>
            <rFont val="Calibri"/>
          </rPr>
          <t>The Cisco ISE must be running an operating system release that is currently supported by the vendor.</t>
        </r>
      </text>
    </comment>
    <comment ref="J100" authorId="0" shapeId="0" xr:uid="{00000000-0006-0000-0600-000080000000}">
      <text>
        <r>
          <rPr>
            <sz val="11"/>
            <rFont val="Calibri"/>
          </rPr>
          <t>The Cisco ISE must verify host-based firewall software is running on posture required clients defined in the NAC System Security Plan (SSP) prior to granting trusted network access. This is required for compliance with C2C Step 4.</t>
        </r>
      </text>
    </comment>
    <comment ref="K100" authorId="0" shapeId="0" xr:uid="{00000000-0006-0000-0600-000081000000}">
      <text>
        <r>
          <rPr>
            <sz val="11"/>
            <rFont val="Calibri"/>
          </rPr>
          <t>The Cisco ISE must verify anti-malware software is installed and up to date on posture required clients defined in the NAC System Security Plan (SSP) prior to granting trusted network access. This is required for compliance with C2C Step 4.</t>
        </r>
      </text>
    </comment>
    <comment ref="L100" authorId="0" shapeId="0" xr:uid="{00000000-0006-0000-0600-000082000000}">
      <text>
        <r>
          <rPr>
            <sz val="11"/>
            <rFont val="Calibri"/>
          </rPr>
          <t>The Cisco ISE must verify host-based IDS/IPS software is authorized and running on posture required clients defined in the NAC System Security Plan (SSP) prior to granting trusted network access. This is required for compliance with C2C Step 4.</t>
        </r>
      </text>
    </comment>
    <comment ref="M100" authorId="0" shapeId="0" xr:uid="{00000000-0006-0000-0600-000083000000}">
      <text>
        <r>
          <rPr>
            <sz val="11"/>
            <rFont val="Calibri"/>
          </rPr>
          <t>The Cisco ISE must configure the control plane to protect against or limit the effects of common types of Denial of Service (DoS) attacks on the device itself by configuring applicable system options and internet-options.</t>
        </r>
      </text>
    </comment>
    <comment ref="J102" authorId="0" shapeId="0" xr:uid="{00000000-0006-0000-0600-000084000000}">
      <text>
        <r>
          <rPr>
            <sz val="11"/>
            <rFont val="Calibri"/>
          </rPr>
          <t>The Cisco ISE must verify anti-malware software is installed and up to date on posture required clients defined in the NAC System Security Plan (SSP) prior to granting trusted network access. This is required for compliance with C2C Step 4.</t>
        </r>
      </text>
    </comment>
    <comment ref="K102" authorId="0" shapeId="0" xr:uid="{00000000-0006-0000-0600-000085000000}">
      <text>
        <r>
          <rPr>
            <sz val="11"/>
            <rFont val="Calibri"/>
          </rPr>
          <t>The Cisco ISE must verify host-based IDS/IPS software is authorized and running on posture required clients defined in the NAC System Security Plan (SSP) prior to granting trusted network access. This is required for compliance with C2C Step 4.</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42" authorId="0" shapeId="0" xr:uid="{00000000-0006-0000-0700-000001000000}">
      <text>
        <r>
          <rPr>
            <sz val="11"/>
            <rFont val="Calibri"/>
          </rPr>
          <t>The Cisco ISE must be configured to notify the user before proceeding with remediation of the user</t>
        </r>
        <r>
          <rPr>
            <sz val="11"/>
            <color rgb="FF000000"/>
            <rFont val="Calibri"/>
          </rPr>
          <t>'</t>
        </r>
        <r>
          <rPr>
            <sz val="11"/>
            <color rgb="FF000000"/>
            <rFont val="Calibri"/>
          </rPr>
          <t>s endpoint device when automated remediation is used. This is required for compliance with C2C Step 3.</t>
        </r>
      </text>
    </comment>
    <comment ref="I42" authorId="0" shapeId="0" xr:uid="{00000000-0006-0000-0700-000002000000}">
      <text>
        <r>
          <rPr>
            <sz val="11"/>
            <rFont val="Calibri"/>
          </rPr>
          <t>The Cisco ISE must perform continuous detection and tracking of endpoint devices attached to the network. This is required for compliance with C2C Step 1.</t>
        </r>
      </text>
    </comment>
    <comment ref="H89" authorId="0" shapeId="0" xr:uid="{00000000-0006-0000-0700-000003000000}">
      <text>
        <r>
          <rPr>
            <sz val="11"/>
            <rFont val="Calibri"/>
          </rPr>
          <t>The Cisco ISE must be configured to enforce the limit of three consecutive invalid logon attempts, after which time it must lock out the user account from accessing the device for 15 minutes.</t>
        </r>
      </text>
    </comment>
    <comment ref="I89" authorId="0" shapeId="0" xr:uid="{00000000-0006-0000-0700-00000C000000}">
      <text>
        <r>
          <rPr>
            <sz val="11"/>
            <rFont val="Calibri"/>
          </rPr>
          <t>For accounts using password authentication, the Cisco ISE must enforce a minimum 15-character password length.</t>
        </r>
      </text>
    </comment>
    <comment ref="J89" authorId="0" shapeId="0" xr:uid="{00000000-0006-0000-0700-000004000000}">
      <text>
        <r>
          <rPr>
            <sz val="11"/>
            <rFont val="Calibri"/>
          </rPr>
          <t>For accounts using password authentication, the Cisco ISE must enforce password complexity by requiring that at least one uppercase character be used.</t>
        </r>
      </text>
    </comment>
    <comment ref="K89" authorId="0" shapeId="0" xr:uid="{00000000-0006-0000-0700-000005000000}">
      <text>
        <r>
          <rPr>
            <sz val="11"/>
            <rFont val="Calibri"/>
          </rPr>
          <t>For accounts using password authentication, the Cisco ISE must enforce password complexity by requiring that at least one lowercase character be used.</t>
        </r>
      </text>
    </comment>
    <comment ref="L89" authorId="0" shapeId="0" xr:uid="{00000000-0006-0000-0700-000006000000}">
      <text>
        <r>
          <rPr>
            <sz val="11"/>
            <rFont val="Calibri"/>
          </rPr>
          <t>For accounts using password authentication, the Cisco ISE must enforce password complexity by requiring that at least one digit be used.</t>
        </r>
      </text>
    </comment>
    <comment ref="M89" authorId="0" shapeId="0" xr:uid="{00000000-0006-0000-0700-000007000000}">
      <text>
        <r>
          <rPr>
            <sz val="11"/>
            <rFont val="Calibri"/>
          </rPr>
          <t>For accounts using password authentication, the Cisco ISE must enforce password complexity by requiring that at least one special character be used.</t>
        </r>
      </text>
    </comment>
    <comment ref="N89" authorId="0" shapeId="0" xr:uid="{00000000-0006-0000-0700-000008000000}">
      <text>
        <r>
          <rPr>
            <sz val="11"/>
            <rFont val="Calibri"/>
          </rPr>
          <t>For accounts using password authentication, the Cisco ISE must use FIPS-validated SHA-2 or later protocol to protect the integrity of the password authentication process.</t>
        </r>
      </text>
    </comment>
    <comment ref="O89" authorId="0" shapeId="0" xr:uid="{00000000-0006-0000-0700-000009000000}">
      <text>
        <r>
          <rPr>
            <sz val="11"/>
            <rFont val="Calibri"/>
          </rPr>
          <t>The Cisco ISE must prohibit the use of cached authenticators after an organization-defined time period.</t>
        </r>
      </text>
    </comment>
    <comment ref="P89" authorId="0" shapeId="0" xr:uid="{00000000-0006-0000-0700-00000A000000}">
      <text>
        <r>
          <rPr>
            <sz val="11"/>
            <rFont val="Calibri"/>
          </rPr>
          <t>The Cisco ISE must use FIPS-validated SHA-2 (or greater) to protect the integrity of hash message authentication code (HMAC), Key Derivation Functions (KDFs), Random Bit Generation, and hash-only applications.</t>
        </r>
      </text>
    </comment>
    <comment ref="Q89" authorId="0" shapeId="0" xr:uid="{00000000-0006-0000-0700-00000B000000}">
      <text>
        <r>
          <rPr>
            <sz val="11"/>
            <rFont val="Calibri"/>
          </rPr>
          <t>The Cisco ISE must terminate all network connections associated with a device management session at the end of the session, or the session must be terminated after six minutes of inactivity, except to fulfill documented and validated mission requirements.</t>
        </r>
      </text>
    </comment>
    <comment ref="H91" authorId="0" shapeId="0" xr:uid="{00000000-0006-0000-0700-00000D000000}">
      <text>
        <r>
          <rPr>
            <sz val="11"/>
            <rFont val="Calibri"/>
          </rPr>
          <t>The Cisco ISE must deny network connection for endpoints that cannot be authenticated using an approved method. This is required for compliance with C2C Step 4.</t>
        </r>
      </text>
    </comment>
    <comment ref="I91" authorId="0" shapeId="0" xr:uid="{00000000-0006-0000-0700-00000F000000}">
      <text>
        <r>
          <rPr>
            <sz val="11"/>
            <rFont val="Calibri"/>
          </rPr>
          <t>The Cisco ISE must authenticate all endpoint devices before establishing a connection and proceeding with posture assessment. This is required for compliance with C2C Step 4.</t>
        </r>
      </text>
    </comment>
    <comment ref="J91" authorId="0" shapeId="0" xr:uid="{00000000-0006-0000-0700-000010000000}">
      <text>
        <r>
          <rPr>
            <sz val="11"/>
            <rFont val="Calibri"/>
          </rPr>
          <t>Before establishing a connection with a Network Time Protocol (NTP) server, the Cisco ISE must authenticate using a bidirectional, cryptographically based authentication method that uses a FIPS-validated Advanced Encryption Standard (AES) cipher block algorithm to authenticate with the NTP server. This is required for compliance with C2C Step 1.</t>
        </r>
      </text>
    </comment>
    <comment ref="K91" authorId="0" shapeId="0" xr:uid="{00000000-0006-0000-0700-000011000000}">
      <text>
        <r>
          <rPr>
            <sz val="11"/>
            <rFont val="Calibri"/>
          </rPr>
          <t>Before establishing a local, remote, and/or network connection with any endpoint device, the Cisco ISE must use a bidirectional authentication mechanism configured with a FIPS-validated Advanced Encryption Standard (AES) cipher block algorithm to authenticate with the endpoint device. This is required for compliance with C2C Step 1.</t>
        </r>
      </text>
    </comment>
    <comment ref="L91" authorId="0" shapeId="0" xr:uid="{00000000-0006-0000-0700-000012000000}">
      <text>
        <r>
          <rPr>
            <sz val="11"/>
            <rFont val="Calibri"/>
          </rPr>
          <t>The Cisco ISE must be configured to use an external authentication server to authenticate administrators prior to granting administrative access.</t>
        </r>
      </text>
    </comment>
    <comment ref="M91" authorId="0" shapeId="0" xr:uid="{00000000-0006-0000-0700-000013000000}">
      <text>
        <r>
          <rPr>
            <sz val="11"/>
            <rFont val="Calibri"/>
          </rPr>
          <t>The Cisco ISE must use DoD-approved PKI rather than proprietary or self-signed device certificates.</t>
        </r>
      </text>
    </comment>
    <comment ref="N91" authorId="0" shapeId="0" xr:uid="{00000000-0006-0000-0700-000014000000}">
      <text>
        <r>
          <rPr>
            <sz val="11"/>
            <rFont val="Calibri"/>
          </rPr>
          <t>For accounts using password authentication, the Cisco ISE must implement replay-resistant authentication mechanisms for network access to privileged accounts.</t>
        </r>
      </text>
    </comment>
    <comment ref="O91" authorId="0" shapeId="0" xr:uid="{00000000-0006-0000-0700-000015000000}">
      <text>
        <r>
          <rPr>
            <sz val="11"/>
            <rFont val="Calibri"/>
          </rPr>
          <t>The Cisco ISE must be configured to authenticate SNMP messages using a FIPS-validated Keyed-Hash Message Authentication Code (HMAC).</t>
        </r>
      </text>
    </comment>
    <comment ref="P91" authorId="0" shapeId="0" xr:uid="{00000000-0006-0000-0700-000016000000}">
      <text>
        <r>
          <rPr>
            <sz val="11"/>
            <rFont val="Calibri"/>
          </rPr>
          <t>The Cisco ISE must use FIPS-validated Keyed-Hash Message Authentication Code (HMAC) to protect the integrity of nonlocal maintenance and diagnostic communications.</t>
        </r>
      </text>
    </comment>
    <comment ref="Q91" authorId="0" shapeId="0" xr:uid="{00000000-0006-0000-0700-000017000000}">
      <text>
        <r>
          <rPr>
            <sz val="11"/>
            <rFont val="Calibri"/>
          </rPr>
          <t>The Cisco ISE must be configured to implement cryptographic mechanisms using a FIPS 140-2 validated algorithm to protect the confidentiality of remote maintenance sessions.</t>
        </r>
      </text>
    </comment>
    <comment ref="R91" authorId="0" shapeId="0" xr:uid="{00000000-0006-0000-0700-00000E000000}">
      <text>
        <r>
          <rPr>
            <sz val="11"/>
            <rFont val="Calibri"/>
          </rPr>
          <t>The Cisco ISE must generate unique session identifiers using a FIPS 140-2 approved Random Number Generator (RNG) using DRGB.</t>
        </r>
      </text>
    </comment>
    <comment ref="H92" authorId="0" shapeId="0" xr:uid="{00000000-0006-0000-0700-000018000000}">
      <text>
        <r>
          <rPr>
            <sz val="11"/>
            <rFont val="Calibri"/>
          </rPr>
          <t>The Cisco ISE must be configured to profile endpoints connecting to the network. This is required for compliance with C2C Step 4.</t>
        </r>
      </text>
    </comment>
    <comment ref="I92" authorId="0" shapeId="0" xr:uid="{00000000-0006-0000-0700-000019000000}">
      <text>
        <r>
          <rPr>
            <sz val="11"/>
            <rFont val="Calibri"/>
          </rPr>
          <t>The Cisco ISE must deny or restrict access for endpoints that fail required posture checks. This is required for compliance with C2C Step 4.</t>
        </r>
      </text>
    </comment>
    <comment ref="J92" authorId="0" shapeId="0" xr:uid="{00000000-0006-0000-0700-00001A000000}">
      <text>
        <r>
          <rPr>
            <sz val="11"/>
            <rFont val="Calibri"/>
          </rPr>
          <t>The Cisco ISE must deny network connection for endpoints that cannot be authenticated using an approved method. This is required for compliance with C2C Step 4.</t>
        </r>
      </text>
    </comment>
    <comment ref="K92" authorId="0" shapeId="0" xr:uid="{00000000-0006-0000-0700-00001B000000}">
      <text>
        <r>
          <rPr>
            <sz val="11"/>
            <rFont val="Calibri"/>
          </rPr>
          <t>The Cisco ISE must authenticate all endpoint devices before establishing a connection and proceeding with posture assessment. This is required for compliance with C2C Step 4.</t>
        </r>
      </text>
    </comment>
    <comment ref="L92" authorId="0" shapeId="0" xr:uid="{00000000-0006-0000-0700-00001C000000}">
      <text>
        <r>
          <rPr>
            <sz val="11"/>
            <rFont val="Calibri"/>
          </rPr>
          <t>The Cisco ISE must enforce posture status assessment for posture required clients defined in the NAC System Security Plan (SSP). This is required for compliance with C2C Step 3.</t>
        </r>
      </text>
    </comment>
    <comment ref="M92" authorId="0" shapeId="0" xr:uid="{00000000-0006-0000-0700-00001D000000}">
      <text>
        <r>
          <rPr>
            <sz val="11"/>
            <rFont val="Calibri"/>
          </rPr>
          <t>The Cisco ISE must have a posture policy for posture required clients defined in the NAC System Security Plan (SSP). This is required for compliance with C2C Step 2.</t>
        </r>
      </text>
    </comment>
    <comment ref="H93" authorId="0" shapeId="0" xr:uid="{00000000-0006-0000-0700-00001E000000}">
      <text>
        <r>
          <rPr>
            <sz val="11"/>
            <rFont val="Calibri"/>
          </rPr>
          <t>For the local web-based account of last resort, the Cisco ISE must automatically audit account creation.</t>
        </r>
      </text>
    </comment>
    <comment ref="I93" authorId="0" shapeId="0" xr:uid="{00000000-0006-0000-0700-00001F000000}">
      <text>
        <r>
          <rPr>
            <sz val="11"/>
            <rFont val="Calibri"/>
          </rPr>
          <t>For the local web-based account of last resort and the default local CLI account, the Cisco ISE must automatically audit account modification.</t>
        </r>
      </text>
    </comment>
    <comment ref="J93" authorId="0" shapeId="0" xr:uid="{00000000-0006-0000-0700-000020000000}">
      <text>
        <r>
          <rPr>
            <sz val="11"/>
            <rFont val="Calibri"/>
          </rPr>
          <t>For the local web-based account of last resort, the Cisco ISE must automatically audit account disabling actions.</t>
        </r>
      </text>
    </comment>
    <comment ref="K93" authorId="0" shapeId="0" xr:uid="{00000000-0006-0000-0700-000021000000}">
      <text>
        <r>
          <rPr>
            <sz val="11"/>
            <rFont val="Calibri"/>
          </rPr>
          <t>For the local account of last resort, the Cisco ISE must automatically audit account removal actions.</t>
        </r>
      </text>
    </comment>
    <comment ref="L93" authorId="0" shapeId="0" xr:uid="{00000000-0006-0000-0700-000022000000}">
      <text>
        <r>
          <rPr>
            <sz val="11"/>
            <rFont val="Calibri"/>
          </rPr>
          <t>The Cisco ISE must automatically audit account enabling actions.</t>
        </r>
      </text>
    </comment>
    <comment ref="M93" authorId="0" shapeId="0" xr:uid="{00000000-0006-0000-0700-000023000000}">
      <text>
        <r>
          <rPr>
            <sz val="11"/>
            <rFont val="Calibri"/>
          </rPr>
          <t>The Cisco ISE must be configured with only one local web-based account to be used as the account of last resort in the event the authentication server is unavailable.</t>
        </r>
      </text>
    </comment>
    <comment ref="N93" authorId="0" shapeId="0" xr:uid="{00000000-0006-0000-0700-000024000000}">
      <text>
        <r>
          <rPr>
            <sz val="11"/>
            <rFont val="Calibri"/>
          </rPr>
          <t>The Cisco ISE must prevent non-privileged users from executing privileged functions to include disabling, circumventing, or altering implemented security safeguards/countermeasures.</t>
        </r>
      </text>
    </comment>
    <comment ref="O93" authorId="0" shapeId="0" xr:uid="{00000000-0006-0000-0700-000025000000}">
      <text>
        <r>
          <rPr>
            <sz val="11"/>
            <rFont val="Calibri"/>
          </rPr>
          <t>The Cisco ISE must audit the execution of privileged functions.</t>
        </r>
      </text>
    </comment>
    <comment ref="P93" authorId="0" shapeId="0" xr:uid="{00000000-0006-0000-0700-000026000000}">
      <text>
        <r>
          <rPr>
            <sz val="11"/>
            <rFont val="Calibri"/>
          </rPr>
          <t>For the local account of last resort, the Cisco ISE must display the Standard Mandatory DoD Notice and Consent Banner before granting access to the device.</t>
        </r>
      </text>
    </comment>
    <comment ref="H111" authorId="0" shapeId="0" xr:uid="{00000000-0006-0000-0700-000027000000}">
      <text>
        <r>
          <rPr>
            <sz val="11"/>
            <rFont val="Calibri"/>
          </rPr>
          <t>The Cisco ISE must use TLS 1.2, at a minimum, to protect the confidentiality of information passed between the endpoint agent and the Cisco ISE. This is This is required for compliance with C2C Step 1.</t>
        </r>
      </text>
    </comment>
    <comment ref="I111" authorId="0" shapeId="0" xr:uid="{00000000-0006-0000-0700-000028000000}">
      <text>
        <r>
          <rPr>
            <sz val="11"/>
            <rFont val="Calibri"/>
          </rPr>
          <t>Before establishing a connection with a Network Time Protocol (NTP) server, the Cisco ISE must authenticate using a bidirectional, cryptographically based authentication method that uses a FIPS-validated Advanced Encryption Standard (AES) cipher block algorithm to authenticate with the NTP server. This is required for compliance with C2C Step 1.</t>
        </r>
      </text>
    </comment>
    <comment ref="J111" authorId="0" shapeId="0" xr:uid="{00000000-0006-0000-0700-000029000000}">
      <text>
        <r>
          <rPr>
            <sz val="11"/>
            <rFont val="Calibri"/>
          </rPr>
          <t>Before establishing a local, remote, and/or network connection with any endpoint device, the Cisco ISE must use a bidirectional authentication mechanism configured with a FIPS-validated Advanced Encryption Standard (AES) cipher block algorithm to authenticate with the endpoint device. This is required for compliance with C2C Step 1.</t>
        </r>
      </text>
    </comment>
    <comment ref="K111" authorId="0" shapeId="0" xr:uid="{00000000-0006-0000-0700-00002A000000}">
      <text>
        <r>
          <rPr>
            <sz val="11"/>
            <rFont val="Calibri"/>
          </rPr>
          <t>The Cisco ISE must be configured to authenticate SNMP messages using a FIPS-validated Keyed-Hash Message Authentication Code (HMAC).</t>
        </r>
      </text>
    </comment>
    <comment ref="L111" authorId="0" shapeId="0" xr:uid="{00000000-0006-0000-0700-00002B000000}">
      <text>
        <r>
          <rPr>
            <sz val="11"/>
            <rFont val="Calibri"/>
          </rPr>
          <t>The Cisco ISE must use FIPS-validated Keyed-Hash Message Authentication Code (HMAC) to protect the integrity of nonlocal maintenance and diagnostic communications.</t>
        </r>
      </text>
    </comment>
    <comment ref="M111" authorId="0" shapeId="0" xr:uid="{00000000-0006-0000-0700-00002C000000}">
      <text>
        <r>
          <rPr>
            <sz val="11"/>
            <rFont val="Calibri"/>
          </rPr>
          <t>The Cisco ISE must be configured to implement cryptographic mechanisms using a FIPS 140-2 validated algorithm to protect the confidentiality of remote maintenance sessions.</t>
        </r>
      </text>
    </comment>
    <comment ref="N111" authorId="0" shapeId="0" xr:uid="{00000000-0006-0000-0700-00002D000000}">
      <text>
        <r>
          <rPr>
            <sz val="11"/>
            <rFont val="Calibri"/>
          </rPr>
          <t>The Cisco ISE must generate unique session identifiers using a FIPS 140-2 approved Random Number Generator (RNG) using DRGB.</t>
        </r>
      </text>
    </comment>
    <comment ref="H115" authorId="0" shapeId="0" xr:uid="{00000000-0006-0000-0700-00002E000000}">
      <text>
        <r>
          <rPr>
            <sz val="11"/>
            <rFont val="Calibri"/>
          </rPr>
          <t>The Cisco ISE must verify the checksum value of any software download, including install files (ISO or OVA), patch files, and upgrade bundles.</t>
        </r>
      </text>
    </comment>
    <comment ref="H119" authorId="0" shapeId="0" xr:uid="{00000000-0006-0000-0700-00002F000000}">
      <text>
        <r>
          <rPr>
            <sz val="11"/>
            <rFont val="Calibri"/>
          </rPr>
          <t>The Cisco ISE must conduct configuration and operational backups when changes are made or must schedule backups weekly, at a minimum.</t>
        </r>
      </text>
    </comment>
    <comment ref="H134" authorId="0" shapeId="0" xr:uid="{00000000-0006-0000-0700-000030000000}">
      <text>
        <r>
          <rPr>
            <sz val="11"/>
            <rFont val="Calibri"/>
          </rPr>
          <t>The Cisco ISE must enforce approved access by employing authorization policies with specific attributes; such as resource groups, device type, certificate attributes, or any other attributes that are specific to a group of endpoints, and/or mission conditions as defined in the site</t>
        </r>
        <r>
          <rPr>
            <sz val="11"/>
            <color rgb="FF000000"/>
            <rFont val="Calibri"/>
          </rPr>
          <t>'</t>
        </r>
        <r>
          <rPr>
            <sz val="11"/>
            <color rgb="FF000000"/>
            <rFont val="Calibri"/>
          </rPr>
          <t>s Cisco ISE System Security Plan (SSP). This is required for compliance with C2C Step 4.</t>
        </r>
      </text>
    </comment>
    <comment ref="I134" authorId="0" shapeId="0" xr:uid="{00000000-0006-0000-0700-000031000000}">
      <text>
        <r>
          <rPr>
            <sz val="11"/>
            <rFont val="Calibri"/>
          </rPr>
          <t>For endpoints that require automated remediation, the Cisco ISE must be configured to redirect endpoints to a logically separate VLAN for remediation services. This is required for compliance with C2C Step 4.</t>
        </r>
      </text>
    </comment>
    <comment ref="J134" authorId="0" shapeId="0" xr:uid="{00000000-0006-0000-0700-000032000000}">
      <text>
        <r>
          <rPr>
            <sz val="11"/>
            <rFont val="Calibri"/>
          </rPr>
          <t>The Cisco ISE must be configured so that all endpoints that are allowed to bypass policy assessment are approved by the Information System Security Manager (ISSM) and documented in the System Security Plan (SSP). This is This is required for compliance with C2C Step 1.</t>
        </r>
      </text>
    </comment>
    <comment ref="K134" authorId="0" shapeId="0" xr:uid="{00000000-0006-0000-0700-000033000000}">
      <text>
        <r>
          <rPr>
            <sz val="11"/>
            <rFont val="Calibri"/>
          </rPr>
          <t>When endpoints fail the policy assessment, the Cisco ISE must create a record with sufficient detail suitable for forwarding to a remediation server for automated remediation or sending to the user for manual remediation. This is required for compliance with C2C Step 3.</t>
        </r>
      </text>
    </comment>
    <comment ref="L134" authorId="0" shapeId="0" xr:uid="{00000000-0006-0000-0700-000034000000}">
      <text>
        <r>
          <rPr>
            <sz val="11"/>
            <rFont val="Calibri"/>
          </rPr>
          <t>The Cisco ISE must be configured so client machines do not communicate with other network devices in the DMZ or subnet except as needed to perform an access client assessment or to identify themselves. This is required for compliance with C2C Step 2.</t>
        </r>
      </text>
    </comment>
    <comment ref="M134" authorId="0" shapeId="0" xr:uid="{00000000-0006-0000-0700-000035000000}">
      <text>
        <r>
          <rPr>
            <sz val="11"/>
            <rFont val="Calibri"/>
          </rPr>
          <t>The Cisco ISE must be configured to dynamically apply restricted access of endpoints that are granted access using MAC Authentication Bypass (MAB). This is required for compliance with C2C Step 4.</t>
        </r>
      </text>
    </comment>
    <comment ref="N134" authorId="0" shapeId="0" xr:uid="{00000000-0006-0000-0700-000036000000}">
      <text>
        <r>
          <rPr>
            <sz val="11"/>
            <rFont val="Calibri"/>
          </rPr>
          <t>The Cisco ISE must limit the number of CLI and GUI sessions to an organization-defined number.</t>
        </r>
      </text>
    </comment>
    <comment ref="O134" authorId="0" shapeId="0" xr:uid="{00000000-0006-0000-0700-000037000000}">
      <text>
        <r>
          <rPr>
            <sz val="11"/>
            <rFont val="Calibri"/>
          </rPr>
          <t>The Cisco ISE must change the password for the local CLI and web-based account when members who have access to the password leave the role and are no longer authorized access.</t>
        </r>
      </text>
    </comment>
    <comment ref="P134" authorId="0" shapeId="0" xr:uid="{00000000-0006-0000-0700-000038000000}">
      <text>
        <r>
          <rPr>
            <sz val="11"/>
            <rFont val="Calibri"/>
          </rPr>
          <t>The Cisco ISE must send an alarm to one or more individuals when the monitoring collector process has an error or failure.</t>
        </r>
      </text>
    </comment>
    <comment ref="Q134" authorId="0" shapeId="0" xr:uid="{00000000-0006-0000-0700-000039000000}">
      <text>
        <r>
          <rPr>
            <sz val="11"/>
            <rFont val="Calibri"/>
          </rPr>
          <t>The Cisco ISE must only allow authorized administrators to view or change the device configuration, system files, and other files stored.</t>
        </r>
      </text>
    </comment>
    <comment ref="H137" authorId="0" shapeId="0" xr:uid="{00000000-0006-0000-0700-00003A000000}">
      <text>
        <r>
          <rPr>
            <sz val="11"/>
            <rFont val="Calibri"/>
          </rPr>
          <t>The Cisco ISE must configure the control plane to protect against or limit the effects of common types of Denial of Service (DoS) attacks on the device itself by configuring applicable system options and internet-options.</t>
        </r>
      </text>
    </comment>
    <comment ref="H143" authorId="0" shapeId="0" xr:uid="{00000000-0006-0000-0700-00003B000000}">
      <text>
        <r>
          <rPr>
            <sz val="11"/>
            <rFont val="Calibri"/>
          </rPr>
          <t>The Cisco ISE must enforce access restrictions associated with changes to the firmware, OS, and hardware components.</t>
        </r>
      </text>
    </comment>
    <comment ref="I143" authorId="0" shapeId="0" xr:uid="{00000000-0006-0000-0700-00003C000000}">
      <text>
        <r>
          <rPr>
            <sz val="11"/>
            <rFont val="Calibri"/>
          </rPr>
          <t>The Cisco ISE must be running an operating system release that is currently supported by the vendor.</t>
        </r>
      </text>
    </comment>
    <comment ref="H145" authorId="0" shapeId="0" xr:uid="{00000000-0006-0000-0700-00003D000000}">
      <text>
        <r>
          <rPr>
            <sz val="11"/>
            <rFont val="Calibri"/>
          </rPr>
          <t>The Cisco ISE must be configured to prohibit the use of all unnecessary and/or nonsecure functions, ports, protocols, and/or services.</t>
        </r>
      </text>
    </comment>
    <comment ref="I145" authorId="0" shapeId="0" xr:uid="{00000000-0006-0000-0700-00003E000000}">
      <text>
        <r>
          <rPr>
            <sz val="11"/>
            <rFont val="Calibri"/>
          </rPr>
          <t>The Cisco ISE must be configured to disable Wireless Setup for production systems.</t>
        </r>
      </text>
    </comment>
    <comment ref="H149" authorId="0" shapeId="0" xr:uid="{00000000-0006-0000-0700-00003F000000}">
      <text>
        <r>
          <rPr>
            <sz val="11"/>
            <rFont val="Calibri"/>
          </rPr>
          <t>The Cisco ISE must generate a log record when an endpoint fails authentication. This is This is required for compliance with C2C Step 1.</t>
        </r>
      </text>
    </comment>
    <comment ref="I149" authorId="0" shapeId="0" xr:uid="{00000000-0006-0000-0700-000051000000}">
      <text>
        <r>
          <rPr>
            <sz val="11"/>
            <rFont val="Calibri"/>
          </rPr>
          <t>The Cisco ISE must generate a log record when the client machine fails posture assessment because required security software is missing or has been deleted. This is This is required for compliance with C2C Step 1.</t>
        </r>
      </text>
    </comment>
    <comment ref="J149" authorId="0" shapeId="0" xr:uid="{00000000-0006-0000-0700-000052000000}">
      <text>
        <r>
          <rPr>
            <sz val="11"/>
            <rFont val="Calibri"/>
          </rPr>
          <t>The Cisco ISE must provide an alert to, at a minimum, the SA and ISSO of all audit failure events where the detection and/or prevention function is unable to write events to either local storage or the centralized server. This is required for compliance with C2C Step 1.</t>
        </r>
      </text>
    </comment>
    <comment ref="K149" authorId="0" shapeId="0" xr:uid="{00000000-0006-0000-0700-000053000000}">
      <text>
        <r>
          <rPr>
            <sz val="11"/>
            <rFont val="Calibri"/>
          </rPr>
          <t>The Cisco ISE must be configured with a secondary log server in case the primary log is unreachable. This is required for compliance with C2C Step 1.</t>
        </r>
      </text>
    </comment>
    <comment ref="L149" authorId="0" shapeId="0" xr:uid="{00000000-0006-0000-0700-000054000000}">
      <text>
        <r>
          <rPr>
            <sz val="11"/>
            <rFont val="Calibri"/>
          </rPr>
          <t>The Cisco ISE must continue to queue traffic log records locally when communication with the central log server is lost and there is an audit archival failure. This is required for compliance with C2C Step 1.</t>
        </r>
      </text>
    </comment>
    <comment ref="M149" authorId="0" shapeId="0" xr:uid="{00000000-0006-0000-0700-000055000000}">
      <text>
        <r>
          <rPr>
            <sz val="11"/>
            <rFont val="Calibri"/>
          </rPr>
          <t>For the local web-based account of last resort, the Cisco ISE must automatically audit account creation.</t>
        </r>
      </text>
    </comment>
    <comment ref="N149" authorId="0" shapeId="0" xr:uid="{00000000-0006-0000-0700-000056000000}">
      <text>
        <r>
          <rPr>
            <sz val="11"/>
            <rFont val="Calibri"/>
          </rPr>
          <t>For the local web-based account of last resort and the default local CLI account, the Cisco ISE must automatically audit account modification.</t>
        </r>
      </text>
    </comment>
    <comment ref="O149" authorId="0" shapeId="0" xr:uid="{00000000-0006-0000-0700-000057000000}">
      <text>
        <r>
          <rPr>
            <sz val="11"/>
            <rFont val="Calibri"/>
          </rPr>
          <t>For the local web-based account of last resort, the Cisco ISE must automatically audit account disabling actions.</t>
        </r>
      </text>
    </comment>
    <comment ref="P149" authorId="0" shapeId="0" xr:uid="{00000000-0006-0000-0700-000058000000}">
      <text>
        <r>
          <rPr>
            <sz val="11"/>
            <rFont val="Calibri"/>
          </rPr>
          <t>For the local account of last resort, the Cisco ISE must automatically audit account removal actions.</t>
        </r>
      </text>
    </comment>
    <comment ref="Q149" authorId="0" shapeId="0" xr:uid="{00000000-0006-0000-0700-000059000000}">
      <text>
        <r>
          <rPr>
            <sz val="11"/>
            <rFont val="Calibri"/>
          </rPr>
          <t>The Cisco ISE must automatically audit account enabling actions.</t>
        </r>
      </text>
    </comment>
    <comment ref="R149" authorId="0" shapeId="0" xr:uid="{00000000-0006-0000-0700-00005A000000}">
      <text>
        <r>
          <rPr>
            <sz val="11"/>
            <rFont val="Calibri"/>
          </rPr>
          <t>The Cisco ISE must prevent non-privileged users from executing privileged functions to include disabling, circumventing, or altering implemented security safeguards/countermeasures.</t>
        </r>
      </text>
    </comment>
    <comment ref="S149" authorId="0" shapeId="0" xr:uid="{00000000-0006-0000-0700-000040000000}">
      <text>
        <r>
          <rPr>
            <sz val="11"/>
            <rFont val="Calibri"/>
          </rPr>
          <t>The Cisco ISE must audit the execution of privileged functions.</t>
        </r>
      </text>
    </comment>
    <comment ref="T149" authorId="0" shapeId="0" xr:uid="{00000000-0006-0000-0700-000041000000}">
      <text>
        <r>
          <rPr>
            <sz val="11"/>
            <rFont val="Calibri"/>
          </rPr>
          <t>The Cisco ISE must protect against an individual (or process acting on behalf of an individual) falsely denying having performed organization-defined actions to be covered by non-repudiation.</t>
        </r>
      </text>
    </comment>
    <comment ref="U149" authorId="0" shapeId="0" xr:uid="{00000000-0006-0000-0700-000042000000}">
      <text>
        <r>
          <rPr>
            <sz val="11"/>
            <rFont val="Calibri"/>
          </rPr>
          <t>The Cisco ISE must generate audit records when successful attempts to access privileges occur.</t>
        </r>
      </text>
    </comment>
    <comment ref="V149" authorId="0" shapeId="0" xr:uid="{00000000-0006-0000-0700-000043000000}">
      <text>
        <r>
          <rPr>
            <sz val="11"/>
            <rFont val="Calibri"/>
          </rPr>
          <t>The Cisco ISE must generate audit records when successful attempts to modify administrator privileges occur.</t>
        </r>
      </text>
    </comment>
    <comment ref="W149" authorId="0" shapeId="0" xr:uid="{00000000-0006-0000-0700-000044000000}">
      <text>
        <r>
          <rPr>
            <sz val="11"/>
            <rFont val="Calibri"/>
          </rPr>
          <t>The Cisco ISE must generate audit records when successful attempts to delete administrator privileges occur.</t>
        </r>
      </text>
    </comment>
    <comment ref="X149" authorId="0" shapeId="0" xr:uid="{00000000-0006-0000-0700-000045000000}">
      <text>
        <r>
          <rPr>
            <sz val="11"/>
            <rFont val="Calibri"/>
          </rPr>
          <t>The Cisco ISE must generate audit records when successful logon attempts occur.</t>
        </r>
      </text>
    </comment>
    <comment ref="Y149" authorId="0" shapeId="0" xr:uid="{00000000-0006-0000-0700-000046000000}">
      <text>
        <r>
          <rPr>
            <sz val="11"/>
            <rFont val="Calibri"/>
          </rPr>
          <t>The Cisco ISE must generate audit records for privileged activities or other system-level access.</t>
        </r>
      </text>
    </comment>
    <comment ref="Z149" authorId="0" shapeId="0" xr:uid="{00000000-0006-0000-0700-000047000000}">
      <text>
        <r>
          <rPr>
            <sz val="11"/>
            <rFont val="Calibri"/>
          </rPr>
          <t>The Cisco ISE must generate audit records when concurrent logons from different workstations occur.</t>
        </r>
      </text>
    </comment>
    <comment ref="AA149" authorId="0" shapeId="0" xr:uid="{00000000-0006-0000-0700-000048000000}">
      <text>
        <r>
          <rPr>
            <sz val="11"/>
            <rFont val="Calibri"/>
          </rPr>
          <t>The Cisco ISE must limit audit record storage capacity for all locally stored logs.</t>
        </r>
      </text>
    </comment>
    <comment ref="AB149" authorId="0" shapeId="0" xr:uid="{00000000-0006-0000-0700-000049000000}">
      <text>
        <r>
          <rPr>
            <sz val="11"/>
            <rFont val="Calibri"/>
          </rPr>
          <t>The Cisco ISE must configure a remote syslog where audit records are stored on a centralized logging target that is different from the system being audited.</t>
        </r>
      </text>
    </comment>
    <comment ref="AC149" authorId="0" shapeId="0" xr:uid="{00000000-0006-0000-0700-00004A000000}">
      <text>
        <r>
          <rPr>
            <sz val="11"/>
            <rFont val="Calibri"/>
          </rPr>
          <t>The Cisco ISE must be configured to synchronize internal information system clocks using redundant authoritative time sources.</t>
        </r>
      </text>
    </comment>
    <comment ref="AD149" authorId="0" shapeId="0" xr:uid="{00000000-0006-0000-0700-00004B000000}">
      <text>
        <r>
          <rPr>
            <sz val="11"/>
            <rFont val="Calibri"/>
          </rPr>
          <t>The Cisco ISE must record time stamps for audit records that can be mapped to Coordinated Universal Time (UTC).</t>
        </r>
      </text>
    </comment>
    <comment ref="AE149" authorId="0" shapeId="0" xr:uid="{00000000-0006-0000-0700-00004C000000}">
      <text>
        <r>
          <rPr>
            <sz val="11"/>
            <rFont val="Calibri"/>
          </rPr>
          <t>The Cisco ISE must generate log records for a locally developed list of auditable events.</t>
        </r>
      </text>
    </comment>
    <comment ref="AF149" authorId="0" shapeId="0" xr:uid="{00000000-0006-0000-0700-00004D000000}">
      <text>
        <r>
          <rPr>
            <sz val="11"/>
            <rFont val="Calibri"/>
          </rPr>
          <t>The Cisco ISE must authenticate Network Time Protocol (NTP) sources using authentication that is cryptographically based.</t>
        </r>
      </text>
    </comment>
    <comment ref="AG149" authorId="0" shapeId="0" xr:uid="{00000000-0006-0000-0700-00004E000000}">
      <text>
        <r>
          <rPr>
            <sz val="11"/>
            <rFont val="Calibri"/>
          </rPr>
          <t>The Cisco ISE must be configured to send log data to at least two central log servers for the purpose of forwarding alerts to the administrators and the information system security officer (ISSO).</t>
        </r>
      </text>
    </comment>
    <comment ref="AH149" authorId="0" shapeId="0" xr:uid="{00000000-0006-0000-0700-00004F000000}">
      <text>
        <r>
          <rPr>
            <sz val="11"/>
            <rFont val="Calibri"/>
          </rPr>
          <t>The Cisco ISE must initiate session auditing upon startup.</t>
        </r>
      </text>
    </comment>
    <comment ref="AI149" authorId="0" shapeId="0" xr:uid="{00000000-0006-0000-0700-000050000000}">
      <text>
        <r>
          <rPr>
            <sz val="11"/>
            <rFont val="Calibri"/>
          </rPr>
          <t>The Cisco ISE must generate audit records containing the full-text recording of privileged commands.</t>
        </r>
      </text>
    </comment>
    <comment ref="H158" authorId="0" shapeId="0" xr:uid="{00000000-0006-0000-0700-00005B000000}">
      <text>
        <r>
          <rPr>
            <sz val="11"/>
            <rFont val="Calibri"/>
          </rPr>
          <t>The Cisco ISE must generate a log record when an endpoint fails authentication. This is This is required for compliance with C2C Step 1.</t>
        </r>
      </text>
    </comment>
    <comment ref="I158" authorId="0" shapeId="0" xr:uid="{00000000-0006-0000-0700-00005C000000}">
      <text>
        <r>
          <rPr>
            <sz val="11"/>
            <rFont val="Calibri"/>
          </rPr>
          <t>The Cisco ISE must generate a log record when the client machine fails posture assessment because required security software is missing or has been deleted. This is This is required for compliance with C2C Step 1.</t>
        </r>
      </text>
    </comment>
    <comment ref="J158" authorId="0" shapeId="0" xr:uid="{00000000-0006-0000-0700-00005D000000}">
      <text>
        <r>
          <rPr>
            <sz val="11"/>
            <rFont val="Calibri"/>
          </rPr>
          <t>The Cisco ISE must provide an alert to, at a minimum, the SA and ISSO of all audit failure events where the detection and/or prevention function is unable to write events to either local storage or the centralized server. This is required for compliance with C2C Step 1.</t>
        </r>
      </text>
    </comment>
    <comment ref="K158" authorId="0" shapeId="0" xr:uid="{00000000-0006-0000-0700-00005E000000}">
      <text>
        <r>
          <rPr>
            <sz val="11"/>
            <rFont val="Calibri"/>
          </rPr>
          <t>The Cisco ISE must be configured with a secondary log server in case the primary log is unreachable. This is required for compliance with C2C Step 1.</t>
        </r>
      </text>
    </comment>
    <comment ref="L158" authorId="0" shapeId="0" xr:uid="{00000000-0006-0000-0700-00005F000000}">
      <text>
        <r>
          <rPr>
            <sz val="11"/>
            <rFont val="Calibri"/>
          </rPr>
          <t>The Cisco ISE must continue to queue traffic log records locally when communication with the central log server is lost and there is an audit archival failure. This is required for compliance with C2C Step 1.</t>
        </r>
      </text>
    </comment>
    <comment ref="M158" authorId="0" shapeId="0" xr:uid="{00000000-0006-0000-0700-000060000000}">
      <text>
        <r>
          <rPr>
            <sz val="11"/>
            <rFont val="Calibri"/>
          </rPr>
          <t>The Cisco ISE must generate audit records when successful attempts to access privileges occur.</t>
        </r>
      </text>
    </comment>
    <comment ref="N158" authorId="0" shapeId="0" xr:uid="{00000000-0006-0000-0700-000061000000}">
      <text>
        <r>
          <rPr>
            <sz val="11"/>
            <rFont val="Calibri"/>
          </rPr>
          <t>The Cisco ISE must generate audit records when successful attempts to modify administrator privileges occur.</t>
        </r>
      </text>
    </comment>
    <comment ref="O158" authorId="0" shapeId="0" xr:uid="{00000000-0006-0000-0700-000062000000}">
      <text>
        <r>
          <rPr>
            <sz val="11"/>
            <rFont val="Calibri"/>
          </rPr>
          <t>The Cisco ISE must generate audit records when successful attempts to delete administrator privileges occur.</t>
        </r>
      </text>
    </comment>
    <comment ref="P158" authorId="0" shapeId="0" xr:uid="{00000000-0006-0000-0700-000063000000}">
      <text>
        <r>
          <rPr>
            <sz val="11"/>
            <rFont val="Calibri"/>
          </rPr>
          <t>The Cisco ISE must generate audit records when successful logon attempts occur.</t>
        </r>
      </text>
    </comment>
    <comment ref="Q158" authorId="0" shapeId="0" xr:uid="{00000000-0006-0000-0700-000064000000}">
      <text>
        <r>
          <rPr>
            <sz val="11"/>
            <rFont val="Calibri"/>
          </rPr>
          <t>The Cisco ISE must generate audit records for privileged activities or other system-level access.</t>
        </r>
      </text>
    </comment>
    <comment ref="R158" authorId="0" shapeId="0" xr:uid="{00000000-0006-0000-0700-000065000000}">
      <text>
        <r>
          <rPr>
            <sz val="11"/>
            <rFont val="Calibri"/>
          </rPr>
          <t>The Cisco ISE must generate audit records when concurrent logons from different workstations occur.</t>
        </r>
      </text>
    </comment>
    <comment ref="S158" authorId="0" shapeId="0" xr:uid="{00000000-0006-0000-0700-000066000000}">
      <text>
        <r>
          <rPr>
            <sz val="11"/>
            <rFont val="Calibri"/>
          </rPr>
          <t>The Cisco ISE must limit audit record storage capacity for all locally stored logs.</t>
        </r>
      </text>
    </comment>
    <comment ref="T158" authorId="0" shapeId="0" xr:uid="{00000000-0006-0000-0700-000067000000}">
      <text>
        <r>
          <rPr>
            <sz val="11"/>
            <rFont val="Calibri"/>
          </rPr>
          <t>The Cisco ISE must configure a remote syslog where audit records are stored on a centralized logging target that is different from the system being audited.</t>
        </r>
      </text>
    </comment>
    <comment ref="U158" authorId="0" shapeId="0" xr:uid="{00000000-0006-0000-0700-000068000000}">
      <text>
        <r>
          <rPr>
            <sz val="11"/>
            <rFont val="Calibri"/>
          </rPr>
          <t>The Cisco ISE must record time stamps for audit records that can be mapped to Coordinated Universal Time (UTC).</t>
        </r>
      </text>
    </comment>
    <comment ref="V158" authorId="0" shapeId="0" xr:uid="{00000000-0006-0000-0700-000069000000}">
      <text>
        <r>
          <rPr>
            <sz val="11"/>
            <rFont val="Calibri"/>
          </rPr>
          <t>The Cisco ISE must generate log records for a locally developed list of auditable events.</t>
        </r>
      </text>
    </comment>
    <comment ref="W158" authorId="0" shapeId="0" xr:uid="{00000000-0006-0000-0700-00006A000000}">
      <text>
        <r>
          <rPr>
            <sz val="11"/>
            <rFont val="Calibri"/>
          </rPr>
          <t>The Cisco ISE must be configured to send log data to at least two central log servers for the purpose of forwarding alerts to the administrators and the information system security officer (ISSO).</t>
        </r>
      </text>
    </comment>
    <comment ref="X158" authorId="0" shapeId="0" xr:uid="{00000000-0006-0000-0700-00006B000000}">
      <text>
        <r>
          <rPr>
            <sz val="11"/>
            <rFont val="Calibri"/>
          </rPr>
          <t>The Cisco ISE must generate audit records containing the full-text recording of privileged commands.</t>
        </r>
      </text>
    </comment>
    <comment ref="H161" authorId="0" shapeId="0" xr:uid="{00000000-0006-0000-0700-00006C000000}">
      <text>
        <r>
          <rPr>
            <sz val="11"/>
            <rFont val="Calibri"/>
          </rPr>
          <t>The Cisco ISE must send an alert to the Information System Security Manager (ISSM) and System Administrator (SA), at a minimum, when security issues are found that put the network at risk. This is required for compliance with C2C Step 2.</t>
        </r>
      </text>
    </comment>
    <comment ref="I161" authorId="0" shapeId="0" xr:uid="{00000000-0006-0000-0700-00006D000000}">
      <text>
        <r>
          <rPr>
            <sz val="11"/>
            <rFont val="Calibri"/>
          </rPr>
          <t>The Cisco ISE must send an alert to the system administrator, at a minimum, when endpoints fail the policy assessment checks for organization-defined infractions. This is required for compliance with C2C Step 3.</t>
        </r>
      </text>
    </comment>
    <comment ref="J161" authorId="0" shapeId="0" xr:uid="{00000000-0006-0000-0700-00006E000000}">
      <text>
        <r>
          <rPr>
            <sz val="11"/>
            <rFont val="Calibri"/>
          </rPr>
          <t>The Cisco ISE must generate a critical alert to be sent to the ISSO and SA (at a minimum) in the event of an audit processing failure. This is required for compliance with C2C Step 1.</t>
        </r>
      </text>
    </comment>
    <comment ref="K161" authorId="0" shapeId="0" xr:uid="{00000000-0006-0000-0700-00006F000000}">
      <text>
        <r>
          <rPr>
            <sz val="11"/>
            <rFont val="Calibri"/>
          </rPr>
          <t>The Cisco ISE must generate a critical alert to be sent to the ISSO and SA (at a minimum) if it is unable to communicate with the central event log. This is required for compliance with C2C Step 1.</t>
        </r>
      </text>
    </comment>
    <comment ref="H165" authorId="0" shapeId="0" xr:uid="{00000000-0006-0000-0700-000070000000}">
      <text>
        <r>
          <rPr>
            <sz val="11"/>
            <rFont val="Calibri"/>
          </rPr>
          <t>The Cisco ISE must be configured to profile endpoints connecting to the network. This is required for compliance with C2C Step 4.</t>
        </r>
      </text>
    </comment>
    <comment ref="I165" authorId="0" shapeId="0" xr:uid="{00000000-0006-0000-0700-000071000000}">
      <text>
        <r>
          <rPr>
            <sz val="11"/>
            <rFont val="Calibri"/>
          </rPr>
          <t>The Cisco ISE must verify host-based firewall software is running on posture required clients defined in the NAC System Security Plan (SSP) prior to granting trusted network access. This is required for compliance with C2C Step 4.</t>
        </r>
      </text>
    </comment>
    <comment ref="J165" authorId="0" shapeId="0" xr:uid="{00000000-0006-0000-0700-000072000000}">
      <text>
        <r>
          <rPr>
            <sz val="11"/>
            <rFont val="Calibri"/>
          </rPr>
          <t>The Cisco ISE must verify anti-malware software is installed and up to date on posture required clients defined in the NAC System Security Plan (SSP) prior to granting trusted network access. This is required for compliance with C2C Step 4.</t>
        </r>
      </text>
    </comment>
    <comment ref="K165" authorId="0" shapeId="0" xr:uid="{00000000-0006-0000-0700-000073000000}">
      <text>
        <r>
          <rPr>
            <sz val="11"/>
            <rFont val="Calibri"/>
          </rPr>
          <t>The Cisco ISE must verify host-based IDS/IPS software is authorized and running on posture required clients defined in the NAC System Security Plan (SSP) prior to granting trusted network access. This is required for compliance with C2C Step 4.</t>
        </r>
      </text>
    </comment>
    <comment ref="L165" authorId="0" shapeId="0" xr:uid="{00000000-0006-0000-0700-000074000000}">
      <text>
        <r>
          <rPr>
            <sz val="11"/>
            <rFont val="Calibri"/>
          </rPr>
          <t>The Cisco ISE must be configured to notify the user before proceeding with remediation of the user</t>
        </r>
        <r>
          <rPr>
            <sz val="11"/>
            <color rgb="FF000000"/>
            <rFont val="Calibri"/>
          </rPr>
          <t>'</t>
        </r>
        <r>
          <rPr>
            <sz val="11"/>
            <color rgb="FF000000"/>
            <rFont val="Calibri"/>
          </rPr>
          <t>s endpoint device when automated remediation is used. This is required for compliance with C2C Step 3.</t>
        </r>
      </text>
    </comment>
    <comment ref="M165" authorId="0" shapeId="0" xr:uid="{00000000-0006-0000-0700-000075000000}">
      <text>
        <r>
          <rPr>
            <sz val="11"/>
            <rFont val="Calibri"/>
          </rPr>
          <t>The Cisco ISE must place client machines on the blacklist and terminate the agent connection when critical security issues are found that put the network at risk. This is required for compliance with C2C Step 4.</t>
        </r>
      </text>
    </comment>
    <comment ref="N165" authorId="0" shapeId="0" xr:uid="{00000000-0006-0000-0700-000076000000}">
      <text>
        <r>
          <rPr>
            <sz val="11"/>
            <rFont val="Calibri"/>
          </rPr>
          <t>The Cisco ISE must deny or restrict access for endpoints that fail required posture checks. This is required for compliance with C2C Step 4.</t>
        </r>
      </text>
    </comment>
    <comment ref="O165" authorId="0" shapeId="0" xr:uid="{00000000-0006-0000-0700-000077000000}">
      <text>
        <r>
          <rPr>
            <sz val="11"/>
            <rFont val="Calibri"/>
          </rPr>
          <t>The Cisco ISE must perform continuous detection and tracking of endpoint devices attached to the network. This is required for compliance with C2C Step 1.</t>
        </r>
      </text>
    </comment>
    <comment ref="P165" authorId="0" shapeId="0" xr:uid="{00000000-0006-0000-0700-000078000000}">
      <text>
        <r>
          <rPr>
            <sz val="11"/>
            <rFont val="Calibri"/>
          </rPr>
          <t>The Cisco ISE must enforce posture status assessment for posture required clients defined in the NAC System Security Plan (SSP). This is required for compliance with C2C Step 3.</t>
        </r>
      </text>
    </comment>
    <comment ref="Q165" authorId="0" shapeId="0" xr:uid="{00000000-0006-0000-0700-000079000000}">
      <text>
        <r>
          <rPr>
            <sz val="11"/>
            <rFont val="Calibri"/>
          </rPr>
          <t>The Cisco ISE must have a posture policy for posture required clients defined in the NAC System Security Plan (SSP). This is required for compliance with C2C Step 2.</t>
        </r>
      </text>
    </comment>
    <comment ref="R165" authorId="0" shapeId="0" xr:uid="{00000000-0006-0000-0700-00007A000000}">
      <text>
        <r>
          <rPr>
            <sz val="11"/>
            <rFont val="Calibri"/>
          </rPr>
          <t>The Cisco ISE must configure the control plane to protect against or limit the effects of common types of Denial of Service (DoS) attacks on the device itself by configuring applicable system options and internet-options.</t>
        </r>
      </text>
    </comment>
    <comment ref="H168" authorId="0" shapeId="0" xr:uid="{00000000-0006-0000-0700-00007B000000}">
      <text>
        <r>
          <rPr>
            <sz val="11"/>
            <rFont val="Calibri"/>
          </rPr>
          <t>The Cisco ISE must verify host-based firewall software is running on posture required clients defined in the NAC System Security Plan (SSP) prior to granting trusted network access. This is required for compliance with C2C Step 4.</t>
        </r>
      </text>
    </comment>
    <comment ref="I168" authorId="0" shapeId="0" xr:uid="{00000000-0006-0000-0700-00007C000000}">
      <text>
        <r>
          <rPr>
            <sz val="11"/>
            <rFont val="Calibri"/>
          </rPr>
          <t>The Cisco ISE must verify anti-malware software is installed and up to date on posture required clients defined in the NAC System Security Plan (SSP) prior to granting trusted network access. This is required for compliance with C2C Step 4.</t>
        </r>
      </text>
    </comment>
    <comment ref="J168" authorId="0" shapeId="0" xr:uid="{00000000-0006-0000-0700-00007D000000}">
      <text>
        <r>
          <rPr>
            <sz val="11"/>
            <rFont val="Calibri"/>
          </rPr>
          <t>The Cisco ISE must verify host-based IDS/IPS software is authorized and running on posture required clients defined in the NAC System Security Plan (SSP) prior to granting trusted network access. This is required for compliance with C2C Step 4.</t>
        </r>
      </text>
    </comment>
    <comment ref="H191" authorId="0" shapeId="0" xr:uid="{00000000-0006-0000-0700-00007E000000}">
      <text>
        <r>
          <rPr>
            <sz val="11"/>
            <rFont val="Calibri"/>
          </rPr>
          <t>The Cisco ISE must send an alert to the Information System Security Manager (ISSM) and System Administrator (SA), at a minimum, when security issues are found that put the network at risk. This is required for compliance with C2C Step 2.</t>
        </r>
      </text>
    </comment>
    <comment ref="I191" authorId="0" shapeId="0" xr:uid="{00000000-0006-0000-0700-00007F000000}">
      <text>
        <r>
          <rPr>
            <sz val="11"/>
            <rFont val="Calibri"/>
          </rPr>
          <t>The Cisco ISE must send an alert to the system administrator, at a minimum, when endpoints fail the policy assessment checks for organization-defined infractions. This is required for compliance with C2C Step 3.</t>
        </r>
      </text>
    </comment>
    <comment ref="J191" authorId="0" shapeId="0" xr:uid="{00000000-0006-0000-0700-000080000000}">
      <text>
        <r>
          <rPr>
            <sz val="11"/>
            <rFont val="Calibri"/>
          </rPr>
          <t>The Cisco ISE must generate a critical alert to be sent to the ISSO and SA (at a minimum) in the event of an audit processing failure. This is required for compliance with C2C Step 1.</t>
        </r>
      </text>
    </comment>
    <comment ref="K191" authorId="0" shapeId="0" xr:uid="{00000000-0006-0000-0700-000081000000}">
      <text>
        <r>
          <rPr>
            <sz val="11"/>
            <rFont val="Calibri"/>
          </rPr>
          <t>The Cisco ISE must generate a critical alert to be sent to the ISSO and SA (at a minimum) if it is unable to communicate with the central event log. This is required for compliance with C2C Step 1.</t>
        </r>
      </text>
    </comment>
    <comment ref="H221" authorId="0" shapeId="0" xr:uid="{00000000-0006-0000-0700-000082000000}">
      <text>
        <r>
          <rPr>
            <sz val="11"/>
            <rFont val="Calibri"/>
          </rPr>
          <t>The Cisco ISE must conduct configuration and operational backups when changes are made or must schedule backups weekly, at a minimum.</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For the local web-based account of last resort, the Cisco ISE must automatically audit account creation.</t>
        </r>
      </text>
    </comment>
    <comment ref="H37" authorId="0" shapeId="0" xr:uid="{00000000-0006-0000-0800-000007000000}">
      <text>
        <r>
          <rPr>
            <sz val="11"/>
            <rFont val="Calibri"/>
          </rPr>
          <t>For the local web-based account of last resort and the default local CLI account, the Cisco ISE must automatically audit account modification.</t>
        </r>
      </text>
    </comment>
    <comment ref="I37" authorId="0" shapeId="0" xr:uid="{00000000-0006-0000-0800-000002000000}">
      <text>
        <r>
          <rPr>
            <sz val="11"/>
            <rFont val="Calibri"/>
          </rPr>
          <t>For the local web-based account of last resort, the Cisco ISE must automatically audit account disabling actions.</t>
        </r>
      </text>
    </comment>
    <comment ref="J37" authorId="0" shapeId="0" xr:uid="{00000000-0006-0000-0800-000003000000}">
      <text>
        <r>
          <rPr>
            <sz val="11"/>
            <rFont val="Calibri"/>
          </rPr>
          <t>For the local account of last resort, the Cisco ISE must automatically audit account removal actions.</t>
        </r>
      </text>
    </comment>
    <comment ref="K37" authorId="0" shapeId="0" xr:uid="{00000000-0006-0000-0800-000004000000}">
      <text>
        <r>
          <rPr>
            <sz val="11"/>
            <rFont val="Calibri"/>
          </rPr>
          <t>The Cisco ISE must automatically audit account enabling actions.</t>
        </r>
      </text>
    </comment>
    <comment ref="L37" authorId="0" shapeId="0" xr:uid="{00000000-0006-0000-0800-000005000000}">
      <text>
        <r>
          <rPr>
            <sz val="11"/>
            <rFont val="Calibri"/>
          </rPr>
          <t>The Cisco ISE must be configured with only one local web-based account to be used as the account of last resort in the event the authentication server is unavailable.</t>
        </r>
      </text>
    </comment>
    <comment ref="M37" authorId="0" shapeId="0" xr:uid="{00000000-0006-0000-0800-000006000000}">
      <text>
        <r>
          <rPr>
            <sz val="11"/>
            <rFont val="Calibri"/>
          </rPr>
          <t>For the local account of last resort, the Cisco ISE must display the Standard Mandatory DoD Notice and Consent Banner before granting access to the device.</t>
        </r>
      </text>
    </comment>
    <comment ref="G43" authorId="0" shapeId="0" xr:uid="{00000000-0006-0000-0800-000008000000}">
      <text>
        <r>
          <rPr>
            <sz val="11"/>
            <rFont val="Calibri"/>
          </rPr>
          <t>For accounts using password authentication, the Cisco ISE must enforce a minimum 15-character password length.</t>
        </r>
      </text>
    </comment>
    <comment ref="H43" authorId="0" shapeId="0" xr:uid="{00000000-0006-0000-0800-000009000000}">
      <text>
        <r>
          <rPr>
            <sz val="11"/>
            <rFont val="Calibri"/>
          </rPr>
          <t>For accounts using password authentication, the Cisco ISE must enforce password complexity by requiring that at least one uppercase character be used.</t>
        </r>
      </text>
    </comment>
    <comment ref="I43" authorId="0" shapeId="0" xr:uid="{00000000-0006-0000-0800-00000A000000}">
      <text>
        <r>
          <rPr>
            <sz val="11"/>
            <rFont val="Calibri"/>
          </rPr>
          <t>For accounts using password authentication, the Cisco ISE must enforce password complexity by requiring that at least one lowercase character be used.</t>
        </r>
      </text>
    </comment>
    <comment ref="J43" authorId="0" shapeId="0" xr:uid="{00000000-0006-0000-0800-00000B000000}">
      <text>
        <r>
          <rPr>
            <sz val="11"/>
            <rFont val="Calibri"/>
          </rPr>
          <t>For accounts using password authentication, the Cisco ISE must enforce password complexity by requiring that at least one digit be used.</t>
        </r>
      </text>
    </comment>
    <comment ref="K43" authorId="0" shapeId="0" xr:uid="{00000000-0006-0000-0800-00000C000000}">
      <text>
        <r>
          <rPr>
            <sz val="11"/>
            <rFont val="Calibri"/>
          </rPr>
          <t>For accounts using password authentication, the Cisco ISE must enforce password complexity by requiring that at least one special character be used.</t>
        </r>
      </text>
    </comment>
    <comment ref="G44" authorId="0" shapeId="0" xr:uid="{00000000-0006-0000-0800-00000D000000}">
      <text>
        <r>
          <rPr>
            <sz val="11"/>
            <rFont val="Calibri"/>
          </rPr>
          <t>For accounts using password authentication, the Cisco ISE must enforce a minimum 15-character password length.</t>
        </r>
      </text>
    </comment>
    <comment ref="H44" authorId="0" shapeId="0" xr:uid="{00000000-0006-0000-0800-00000E000000}">
      <text>
        <r>
          <rPr>
            <sz val="11"/>
            <rFont val="Calibri"/>
          </rPr>
          <t>For accounts using password authentication, the Cisco ISE must enforce password complexity by requiring that at least one uppercase character be used.</t>
        </r>
      </text>
    </comment>
    <comment ref="I44" authorId="0" shapeId="0" xr:uid="{00000000-0006-0000-0800-00000F000000}">
      <text>
        <r>
          <rPr>
            <sz val="11"/>
            <rFont val="Calibri"/>
          </rPr>
          <t>For accounts using password authentication, the Cisco ISE must enforce password complexity by requiring that at least one lowercase character be used.</t>
        </r>
      </text>
    </comment>
    <comment ref="J44" authorId="0" shapeId="0" xr:uid="{00000000-0006-0000-0800-000010000000}">
      <text>
        <r>
          <rPr>
            <sz val="11"/>
            <rFont val="Calibri"/>
          </rPr>
          <t>For accounts using password authentication, the Cisco ISE must enforce password complexity by requiring that at least one digit be used.</t>
        </r>
      </text>
    </comment>
    <comment ref="K44" authorId="0" shapeId="0" xr:uid="{00000000-0006-0000-0800-000011000000}">
      <text>
        <r>
          <rPr>
            <sz val="11"/>
            <rFont val="Calibri"/>
          </rPr>
          <t>For accounts using password authentication, the Cisco ISE must enforce password complexity by requiring that at least one special character be used.</t>
        </r>
      </text>
    </comment>
    <comment ref="L44" authorId="0" shapeId="0" xr:uid="{00000000-0006-0000-0800-000012000000}">
      <text>
        <r>
          <rPr>
            <sz val="11"/>
            <rFont val="Calibri"/>
          </rPr>
          <t>For accounts using password authentication, the Cisco ISE must use FIPS-validated SHA-2 or later protocol to protect the integrity of the password authentication process.</t>
        </r>
      </text>
    </comment>
    <comment ref="M44" authorId="0" shapeId="0" xr:uid="{00000000-0006-0000-0800-000013000000}">
      <text>
        <r>
          <rPr>
            <sz val="11"/>
            <rFont val="Calibri"/>
          </rPr>
          <t>The Cisco ISE must use FIPS-validated SHA-2 (or greater) to protect the integrity of hash message authentication code (HMAC), Key Derivation Functions (KDFs), Random Bit Generation, and hash-only applications.</t>
        </r>
      </text>
    </comment>
    <comment ref="G45" authorId="0" shapeId="0" xr:uid="{00000000-0006-0000-0800-000014000000}">
      <text>
        <r>
          <rPr>
            <sz val="11"/>
            <rFont val="Calibri"/>
          </rPr>
          <t>The Cisco ISE must be configured to enforce the limit of three consecutive invalid logon attempts, after which time it must lock out the user account from accessing the device for 15 minutes.</t>
        </r>
      </text>
    </comment>
    <comment ref="G46" authorId="0" shapeId="0" xr:uid="{00000000-0006-0000-0800-000015000000}">
      <text>
        <r>
          <rPr>
            <sz val="11"/>
            <rFont val="Calibri"/>
          </rPr>
          <t>The Cisco ISE must terminate all network connections associated with a device management session at the end of the session, or the session must be terminated after six minutes of inactivity, except to fulfill documented and validated mission requirements.</t>
        </r>
      </text>
    </comment>
    <comment ref="G52" authorId="0" shapeId="0" xr:uid="{00000000-0006-0000-0800-000016000000}">
      <text>
        <r>
          <rPr>
            <sz val="11"/>
            <rFont val="Calibri"/>
          </rPr>
          <t>The Cisco ISE must be configured to use an external authentication server to authenticate administrators prior to granting administrative access.</t>
        </r>
      </text>
    </comment>
    <comment ref="H52" authorId="0" shapeId="0" xr:uid="{00000000-0006-0000-0800-000017000000}">
      <text>
        <r>
          <rPr>
            <sz val="11"/>
            <rFont val="Calibri"/>
          </rPr>
          <t>For accounts using password authentication, the Cisco ISE must implement replay-resistant authentication mechanisms for network access to privileged accounts.</t>
        </r>
      </text>
    </comment>
    <comment ref="G53" authorId="0" shapeId="0" xr:uid="{00000000-0006-0000-0800-000018000000}">
      <text>
        <r>
          <rPr>
            <sz val="11"/>
            <rFont val="Calibri"/>
          </rPr>
          <t>For accounts using password authentication, the Cisco ISE must implement replay-resistant authentication mechanisms for network access to privileged accounts.</t>
        </r>
      </text>
    </comment>
    <comment ref="G55" authorId="0" shapeId="0" xr:uid="{00000000-0006-0000-0800-000019000000}">
      <text>
        <r>
          <rPr>
            <sz val="11"/>
            <rFont val="Calibri"/>
          </rPr>
          <t>The Cisco ISE must prevent non-privileged users from executing privileged functions to include disabling, circumventing, or altering implemented security safeguards/countermeasures.</t>
        </r>
      </text>
    </comment>
    <comment ref="H55" authorId="0" shapeId="0" xr:uid="{00000000-0006-0000-0800-00001A000000}">
      <text>
        <r>
          <rPr>
            <sz val="11"/>
            <rFont val="Calibri"/>
          </rPr>
          <t>The Cisco ISE must audit the execution of privileged functions.</t>
        </r>
      </text>
    </comment>
    <comment ref="I55" authorId="0" shapeId="0" xr:uid="{00000000-0006-0000-0800-00001B000000}">
      <text>
        <r>
          <rPr>
            <sz val="11"/>
            <rFont val="Calibri"/>
          </rPr>
          <t>The Cisco ISE must generate audit records when successful attempts to access privileges occur.</t>
        </r>
      </text>
    </comment>
    <comment ref="J55" authorId="0" shapeId="0" xr:uid="{00000000-0006-0000-0800-00001C000000}">
      <text>
        <r>
          <rPr>
            <sz val="11"/>
            <rFont val="Calibri"/>
          </rPr>
          <t>The Cisco ISE must generate audit records when successful attempts to modify administrator privileges occur.</t>
        </r>
      </text>
    </comment>
    <comment ref="K55" authorId="0" shapeId="0" xr:uid="{00000000-0006-0000-0800-00001D000000}">
      <text>
        <r>
          <rPr>
            <sz val="11"/>
            <rFont val="Calibri"/>
          </rPr>
          <t>The Cisco ISE must generate audit records when successful attempts to delete administrator privileges occur.</t>
        </r>
      </text>
    </comment>
    <comment ref="L55" authorId="0" shapeId="0" xr:uid="{00000000-0006-0000-0800-00001E000000}">
      <text>
        <r>
          <rPr>
            <sz val="11"/>
            <rFont val="Calibri"/>
          </rPr>
          <t>The Cisco ISE must generate audit records for privileged activities or other system-level access.</t>
        </r>
      </text>
    </comment>
    <comment ref="G63" authorId="0" shapeId="0" xr:uid="{00000000-0006-0000-0800-00001F000000}">
      <text>
        <r>
          <rPr>
            <sz val="11"/>
            <rFont val="Calibri"/>
          </rPr>
          <t>The Cisco ISE must be configured to profile endpoints connecting to the network. This is required for compliance with C2C Step 4.</t>
        </r>
      </text>
    </comment>
    <comment ref="H63" authorId="0" shapeId="0" xr:uid="{00000000-0006-0000-0800-000020000000}">
      <text>
        <r>
          <rPr>
            <sz val="11"/>
            <rFont val="Calibri"/>
          </rPr>
          <t>The Cisco ISE must deny or restrict access for endpoints that fail required posture checks. This is required for compliance with C2C Step 4.</t>
        </r>
      </text>
    </comment>
    <comment ref="I63" authorId="0" shapeId="0" xr:uid="{00000000-0006-0000-0800-000021000000}">
      <text>
        <r>
          <rPr>
            <sz val="11"/>
            <rFont val="Calibri"/>
          </rPr>
          <t>The Cisco ISE must enforce posture status assessment for posture required clients defined in the NAC System Security Plan (SSP). This is required for compliance with C2C Step 3.</t>
        </r>
      </text>
    </comment>
    <comment ref="J63" authorId="0" shapeId="0" xr:uid="{00000000-0006-0000-0800-000022000000}">
      <text>
        <r>
          <rPr>
            <sz val="11"/>
            <rFont val="Calibri"/>
          </rPr>
          <t>The Cisco ISE must have a posture policy for posture required clients defined in the NAC System Security Plan (SSP). This is required for compliance with C2C Step 2.</t>
        </r>
      </text>
    </comment>
    <comment ref="K63" authorId="0" shapeId="0" xr:uid="{00000000-0006-0000-0800-000023000000}">
      <text>
        <r>
          <rPr>
            <sz val="11"/>
            <rFont val="Calibri"/>
          </rPr>
          <t>The Cisco ISE must enforce access restrictions associated with changes to the firmware, OS, and hardware components.</t>
        </r>
      </text>
    </comment>
    <comment ref="L63" authorId="0" shapeId="0" xr:uid="{00000000-0006-0000-0800-000024000000}">
      <text>
        <r>
          <rPr>
            <sz val="11"/>
            <rFont val="Calibri"/>
          </rPr>
          <t>The Cisco ISE must be running an operating system release that is currently supported by the vendor.</t>
        </r>
      </text>
    </comment>
    <comment ref="G64" authorId="0" shapeId="0" xr:uid="{00000000-0006-0000-0800-000025000000}">
      <text>
        <r>
          <rPr>
            <sz val="11"/>
            <rFont val="Calibri"/>
          </rPr>
          <t>The Cisco ISE must be configured to prohibit the use of all unnecessary and/or nonsecure functions, ports, protocols, and/or services.</t>
        </r>
      </text>
    </comment>
    <comment ref="G69" authorId="0" shapeId="0" xr:uid="{00000000-0006-0000-0800-000026000000}">
      <text>
        <r>
          <rPr>
            <sz val="11"/>
            <rFont val="Calibri"/>
          </rPr>
          <t>The Cisco ISE must verify host-based firewall software is running on posture required clients defined in the NAC System Security Plan (SSP) prior to granting trusted network access. This is required for compliance with C2C Step 4.</t>
        </r>
      </text>
    </comment>
    <comment ref="H69" authorId="0" shapeId="0" xr:uid="{00000000-0006-0000-0800-000034000000}">
      <text>
        <r>
          <rPr>
            <sz val="11"/>
            <rFont val="Calibri"/>
          </rPr>
          <t>The Cisco ISE must verify anti-malware software is installed and up to date on posture required clients defined in the NAC System Security Plan (SSP) prior to granting trusted network access. This is required for compliance with C2C Step 4.</t>
        </r>
      </text>
    </comment>
    <comment ref="I69" authorId="0" shapeId="0" xr:uid="{00000000-0006-0000-0800-000035000000}">
      <text>
        <r>
          <rPr>
            <sz val="11"/>
            <rFont val="Calibri"/>
          </rPr>
          <t>The Cisco ISE must verify host-based IDS/IPS software is authorized and running on posture required clients defined in the NAC System Security Plan (SSP) prior to granting trusted network access. This is required for compliance with C2C Step 4.</t>
        </r>
      </text>
    </comment>
    <comment ref="J69" authorId="0" shapeId="0" xr:uid="{00000000-0006-0000-0800-000036000000}">
      <text>
        <r>
          <rPr>
            <sz val="11"/>
            <rFont val="Calibri"/>
          </rPr>
          <t>The Cisco ISE must generate a log record when an endpoint fails authentication. This is This is required for compliance with C2C Step 1.</t>
        </r>
      </text>
    </comment>
    <comment ref="K69" authorId="0" shapeId="0" xr:uid="{00000000-0006-0000-0800-000037000000}">
      <text>
        <r>
          <rPr>
            <sz val="11"/>
            <rFont val="Calibri"/>
          </rPr>
          <t>The Cisco ISE must generate a log record when the client machine fails posture assessment because required security software is missing or has been deleted. This is This is required for compliance with C2C Step 1.</t>
        </r>
      </text>
    </comment>
    <comment ref="L69" authorId="0" shapeId="0" xr:uid="{00000000-0006-0000-0800-000038000000}">
      <text>
        <r>
          <rPr>
            <sz val="11"/>
            <rFont val="Calibri"/>
          </rPr>
          <t>The Cisco ISE must provide an alert to, at a minimum, the SA and ISSO of all audit failure events where the detection and/or prevention function is unable to write events to either local storage or the centralized server. This is required for compliance with C2C Step 1.</t>
        </r>
      </text>
    </comment>
    <comment ref="M69" authorId="0" shapeId="0" xr:uid="{00000000-0006-0000-0800-000039000000}">
      <text>
        <r>
          <rPr>
            <sz val="11"/>
            <rFont val="Calibri"/>
          </rPr>
          <t>The Cisco ISE must be configured with a secondary log server in case the primary log is unreachable. This is required for compliance with C2C Step 1.</t>
        </r>
      </text>
    </comment>
    <comment ref="N69" authorId="0" shapeId="0" xr:uid="{00000000-0006-0000-0800-000027000000}">
      <text>
        <r>
          <rPr>
            <sz val="11"/>
            <rFont val="Calibri"/>
          </rPr>
          <t>The Cisco ISE must continue to queue traffic log records locally when communication with the central log server is lost and there is an audit archival failure. This is required for compliance with C2C Step 1.</t>
        </r>
      </text>
    </comment>
    <comment ref="O69" authorId="0" shapeId="0" xr:uid="{00000000-0006-0000-0800-000028000000}">
      <text>
        <r>
          <rPr>
            <sz val="11"/>
            <rFont val="Calibri"/>
          </rPr>
          <t>The Cisco ISE must generate audit records when successful attempts to access privileges occur.</t>
        </r>
      </text>
    </comment>
    <comment ref="P69" authorId="0" shapeId="0" xr:uid="{00000000-0006-0000-0800-000029000000}">
      <text>
        <r>
          <rPr>
            <sz val="11"/>
            <rFont val="Calibri"/>
          </rPr>
          <t>The Cisco ISE must generate audit records when successful attempts to modify administrator privileges occur.</t>
        </r>
      </text>
    </comment>
    <comment ref="Q69" authorId="0" shapeId="0" xr:uid="{00000000-0006-0000-0800-00002A000000}">
      <text>
        <r>
          <rPr>
            <sz val="11"/>
            <rFont val="Calibri"/>
          </rPr>
          <t>The Cisco ISE must generate audit records when successful attempts to delete administrator privileges occur.</t>
        </r>
      </text>
    </comment>
    <comment ref="R69" authorId="0" shapeId="0" xr:uid="{00000000-0006-0000-0800-00002B000000}">
      <text>
        <r>
          <rPr>
            <sz val="11"/>
            <rFont val="Calibri"/>
          </rPr>
          <t>The Cisco ISE must generate audit records when successful logon attempts occur.</t>
        </r>
      </text>
    </comment>
    <comment ref="S69" authorId="0" shapeId="0" xr:uid="{00000000-0006-0000-0800-00002C000000}">
      <text>
        <r>
          <rPr>
            <sz val="11"/>
            <rFont val="Calibri"/>
          </rPr>
          <t>The Cisco ISE must generate audit records for privileged activities or other system-level access.</t>
        </r>
      </text>
    </comment>
    <comment ref="T69" authorId="0" shapeId="0" xr:uid="{00000000-0006-0000-0800-00002D000000}">
      <text>
        <r>
          <rPr>
            <sz val="11"/>
            <rFont val="Calibri"/>
          </rPr>
          <t>The Cisco ISE must generate audit records when concurrent logons from different workstations occur.</t>
        </r>
      </text>
    </comment>
    <comment ref="U69" authorId="0" shapeId="0" xr:uid="{00000000-0006-0000-0800-00002E000000}">
      <text>
        <r>
          <rPr>
            <sz val="11"/>
            <rFont val="Calibri"/>
          </rPr>
          <t>The Cisco ISE must limit audit record storage capacity for all locally stored logs.</t>
        </r>
      </text>
    </comment>
    <comment ref="V69" authorId="0" shapeId="0" xr:uid="{00000000-0006-0000-0800-00002F000000}">
      <text>
        <r>
          <rPr>
            <sz val="11"/>
            <rFont val="Calibri"/>
          </rPr>
          <t>The Cisco ISE must configure a remote syslog where audit records are stored on a centralized logging target that is different from the system being audited.</t>
        </r>
      </text>
    </comment>
    <comment ref="W69" authorId="0" shapeId="0" xr:uid="{00000000-0006-0000-0800-000030000000}">
      <text>
        <r>
          <rPr>
            <sz val="11"/>
            <rFont val="Calibri"/>
          </rPr>
          <t>The Cisco ISE must record time stamps for audit records that can be mapped to Coordinated Universal Time (UTC).</t>
        </r>
      </text>
    </comment>
    <comment ref="X69" authorId="0" shapeId="0" xr:uid="{00000000-0006-0000-0800-000031000000}">
      <text>
        <r>
          <rPr>
            <sz val="11"/>
            <rFont val="Calibri"/>
          </rPr>
          <t>The Cisco ISE must generate log records for a locally developed list of auditable events.</t>
        </r>
      </text>
    </comment>
    <comment ref="Y69" authorId="0" shapeId="0" xr:uid="{00000000-0006-0000-0800-000032000000}">
      <text>
        <r>
          <rPr>
            <sz val="11"/>
            <rFont val="Calibri"/>
          </rPr>
          <t>The Cisco ISE must be configured to send log data to at least two central log servers for the purpose of forwarding alerts to the administrators and the information system security officer (ISSO).</t>
        </r>
      </text>
    </comment>
    <comment ref="Z69" authorId="0" shapeId="0" xr:uid="{00000000-0006-0000-0800-000033000000}">
      <text>
        <r>
          <rPr>
            <sz val="11"/>
            <rFont val="Calibri"/>
          </rPr>
          <t>The Cisco ISE must generate audit records containing the full-text recording of privileged commands.</t>
        </r>
      </text>
    </comment>
    <comment ref="G74" authorId="0" shapeId="0" xr:uid="{00000000-0006-0000-0800-00003A000000}">
      <text>
        <r>
          <rPr>
            <sz val="11"/>
            <rFont val="Calibri"/>
          </rPr>
          <t>The Cisco ISE must configure the control plane to protect against or limit the effects of common types of Denial of Service (DoS) attacks on the device itself by configuring applicable system options and internet-options.</t>
        </r>
      </text>
    </comment>
    <comment ref="G77" authorId="0" shapeId="0" xr:uid="{00000000-0006-0000-0800-00003B000000}">
      <text>
        <r>
          <rPr>
            <sz val="11"/>
            <rFont val="Calibri"/>
          </rPr>
          <t>For endpoints that require automated remediation, the Cisco ISE must be configured to redirect endpoints to a logically separate VLAN for remediation services. This is required for compliance with C2C Step 4.</t>
        </r>
      </text>
    </comment>
    <comment ref="G81" authorId="0" shapeId="0" xr:uid="{00000000-0006-0000-0800-00003C000000}">
      <text>
        <r>
          <rPr>
            <sz val="11"/>
            <rFont val="Calibri"/>
          </rPr>
          <t>The Cisco ISE must deny network connection for endpoints that cannot be authenticated using an approved method. This is required for compliance with C2C Step 4.</t>
        </r>
      </text>
    </comment>
    <comment ref="H81" authorId="0" shapeId="0" xr:uid="{00000000-0006-0000-0800-00003D000000}">
      <text>
        <r>
          <rPr>
            <sz val="11"/>
            <rFont val="Calibri"/>
          </rPr>
          <t>The Cisco ISE must authenticate all endpoint devices before establishing a connection and proceeding with posture assessment. This is required for compliance with C2C Step 4.</t>
        </r>
      </text>
    </comment>
    <comment ref="G82" authorId="0" shapeId="0" xr:uid="{00000000-0006-0000-0800-00003E000000}">
      <text>
        <r>
          <rPr>
            <sz val="11"/>
            <rFont val="Calibri"/>
          </rPr>
          <t>The Cisco ISE must use TLS 1.2, at a minimum, to protect the confidentiality of information passed between the endpoint agent and the Cisco ISE. This is This is required for compliance with C2C Step 1.</t>
        </r>
      </text>
    </comment>
    <comment ref="H82" authorId="0" shapeId="0" xr:uid="{00000000-0006-0000-0800-00003F000000}">
      <text>
        <r>
          <rPr>
            <sz val="11"/>
            <rFont val="Calibri"/>
          </rPr>
          <t>Before establishing a connection with a Network Time Protocol (NTP) server, the Cisco ISE must authenticate using a bidirectional, cryptographically based authentication method that uses a FIPS-validated Advanced Encryption Standard (AES) cipher block algorithm to authenticate with the NTP server. This is required for compliance with C2C Step 1.</t>
        </r>
      </text>
    </comment>
    <comment ref="I82" authorId="0" shapeId="0" xr:uid="{00000000-0006-0000-0800-000040000000}">
      <text>
        <r>
          <rPr>
            <sz val="11"/>
            <rFont val="Calibri"/>
          </rPr>
          <t>Before establishing a local, remote, and/or network connection with any endpoint device, the Cisco ISE must use a bidirectional authentication mechanism configured with a FIPS-validated Advanced Encryption Standard (AES) cipher block algorithm to authenticate with the endpoint device. This is required for compliance with C2C Step 1.</t>
        </r>
      </text>
    </comment>
    <comment ref="J82" authorId="0" shapeId="0" xr:uid="{00000000-0006-0000-0800-000041000000}">
      <text>
        <r>
          <rPr>
            <sz val="11"/>
            <rFont val="Calibri"/>
          </rPr>
          <t>The Cisco ISE must be configured to authenticate SNMP messages using a FIPS-validated Keyed-Hash Message Authentication Code (HMAC).</t>
        </r>
      </text>
    </comment>
    <comment ref="K82" authorId="0" shapeId="0" xr:uid="{00000000-0006-0000-0800-000042000000}">
      <text>
        <r>
          <rPr>
            <sz val="11"/>
            <rFont val="Calibri"/>
          </rPr>
          <t>The Cisco ISE must use FIPS-validated Keyed-Hash Message Authentication Code (HMAC) to protect the integrity of nonlocal maintenance and diagnostic communications.</t>
        </r>
      </text>
    </comment>
    <comment ref="L82" authorId="0" shapeId="0" xr:uid="{00000000-0006-0000-0800-000043000000}">
      <text>
        <r>
          <rPr>
            <sz val="11"/>
            <rFont val="Calibri"/>
          </rPr>
          <t>The Cisco ISE must be configured to implement cryptographic mechanisms using a FIPS 140-2 validated algorithm to protect the confidentiality of remote maintenance sessions.</t>
        </r>
      </text>
    </comment>
    <comment ref="M82" authorId="0" shapeId="0" xr:uid="{00000000-0006-0000-0800-000044000000}">
      <text>
        <r>
          <rPr>
            <sz val="11"/>
            <rFont val="Calibri"/>
          </rPr>
          <t>The Cisco ISE must generate unique session identifiers using a FIPS 140-2 approved Random Number Generator (RNG) using DRGB.</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7" authorId="0" shapeId="0" xr:uid="{00000000-0006-0000-0A00-000001000000}">
      <text>
        <r>
          <rPr>
            <sz val="11"/>
            <rFont val="Calibri"/>
          </rPr>
          <t>For endpoints that require automated remediation, the Cisco ISE must be configured to redirect endpoints to a logically separate VLAN for remediation services. This is required for compliance with C2C Step 4.</t>
        </r>
      </text>
    </comment>
    <comment ref="L35" authorId="0" shapeId="0" xr:uid="{00000000-0006-0000-0A00-000002000000}">
      <text>
        <r>
          <rPr>
            <sz val="11"/>
            <rFont val="Calibri"/>
          </rPr>
          <t>The Cisco ISE must be configured to prohibit the use of all unnecessary and/or nonsecure functions, ports, protocols, and/or services.</t>
        </r>
      </text>
    </comment>
    <comment ref="M35" authorId="0" shapeId="0" xr:uid="{00000000-0006-0000-0A00-000003000000}">
      <text>
        <r>
          <rPr>
            <sz val="11"/>
            <rFont val="Calibri"/>
          </rPr>
          <t>The Cisco ISE must be configured to disable Wireless Setup for production systems.</t>
        </r>
      </text>
    </comment>
    <comment ref="L38" authorId="0" shapeId="0" xr:uid="{00000000-0006-0000-0A00-000004000000}">
      <text>
        <r>
          <rPr>
            <sz val="11"/>
            <rFont val="Calibri"/>
          </rPr>
          <t>Before establishing a connection with a Network Time Protocol (NTP) server, the Cisco ISE must authenticate using a bidirectional, cryptographically based authentication method that uses a FIPS-validated Advanced Encryption Standard (AES) cipher block algorithm to authenticate with the NTP server. This is required for compliance with C2C Step 1.</t>
        </r>
      </text>
    </comment>
    <comment ref="M38" authorId="0" shapeId="0" xr:uid="{00000000-0006-0000-0A00-000009000000}">
      <text>
        <r>
          <rPr>
            <sz val="11"/>
            <rFont val="Calibri"/>
          </rPr>
          <t>Before establishing a local, remote, and/or network connection with any endpoint device, the Cisco ISE must use a bidirectional authentication mechanism configured with a FIPS-validated Advanced Encryption Standard (AES) cipher block algorithm to authenticate with the endpoint device. This is required for compliance with C2C Step 1.</t>
        </r>
      </text>
    </comment>
    <comment ref="N38" authorId="0" shapeId="0" xr:uid="{00000000-0006-0000-0A00-000005000000}">
      <text>
        <r>
          <rPr>
            <sz val="11"/>
            <rFont val="Calibri"/>
          </rPr>
          <t>The Cisco ISE must be configured to authenticate SNMP messages using a FIPS-validated Keyed-Hash Message Authentication Code (HMAC).</t>
        </r>
      </text>
    </comment>
    <comment ref="O38" authorId="0" shapeId="0" xr:uid="{00000000-0006-0000-0A00-000006000000}">
      <text>
        <r>
          <rPr>
            <sz val="11"/>
            <rFont val="Calibri"/>
          </rPr>
          <t>The Cisco ISE must use FIPS-validated Keyed-Hash Message Authentication Code (HMAC) to protect the integrity of nonlocal maintenance and diagnostic communications.</t>
        </r>
      </text>
    </comment>
    <comment ref="P38" authorId="0" shapeId="0" xr:uid="{00000000-0006-0000-0A00-000007000000}">
      <text>
        <r>
          <rPr>
            <sz val="11"/>
            <rFont val="Calibri"/>
          </rPr>
          <t>The Cisco ISE must be configured to implement cryptographic mechanisms using a FIPS 140-2 validated algorithm to protect the confidentiality of remote maintenance sessions.</t>
        </r>
      </text>
    </comment>
    <comment ref="Q38" authorId="0" shapeId="0" xr:uid="{00000000-0006-0000-0A00-000008000000}">
      <text>
        <r>
          <rPr>
            <sz val="11"/>
            <rFont val="Calibri"/>
          </rPr>
          <t>The Cisco ISE must generate unique session identifiers using a FIPS 140-2 approved Random Number Generator (RNG) using DRGB.</t>
        </r>
      </text>
    </comment>
    <comment ref="L84" authorId="0" shapeId="0" xr:uid="{00000000-0006-0000-0A00-00000A000000}">
      <text>
        <r>
          <rPr>
            <sz val="11"/>
            <rFont val="Calibri"/>
          </rPr>
          <t>The Cisco ISE must use TLS 1.2, at a minimum, to protect the confidentiality of information passed between the endpoint agent and the Cisco ISE. This is This is required for compliance with C2C Step 1.</t>
        </r>
      </text>
    </comment>
    <comment ref="M84" authorId="0" shapeId="0" xr:uid="{00000000-0006-0000-0A00-00000D000000}">
      <text>
        <r>
          <rPr>
            <sz val="11"/>
            <rFont val="Calibri"/>
          </rPr>
          <t>Before establishing a connection with a Network Time Protocol (NTP) server, the Cisco ISE must authenticate using a bidirectional, cryptographically based authentication method that uses a FIPS-validated Advanced Encryption Standard (AES) cipher block algorithm to authenticate with the NTP server. This is required for compliance with C2C Step 1.</t>
        </r>
      </text>
    </comment>
    <comment ref="N84" authorId="0" shapeId="0" xr:uid="{00000000-0006-0000-0A00-00000E000000}">
      <text>
        <r>
          <rPr>
            <sz val="11"/>
            <rFont val="Calibri"/>
          </rPr>
          <t>Before establishing a local, remote, and/or network connection with any endpoint device, the Cisco ISE must use a bidirectional authentication mechanism configured with a FIPS-validated Advanced Encryption Standard (AES) cipher block algorithm to authenticate with the endpoint device. This is required for compliance with C2C Step 1.</t>
        </r>
      </text>
    </comment>
    <comment ref="O84" authorId="0" shapeId="0" xr:uid="{00000000-0006-0000-0A00-00000F000000}">
      <text>
        <r>
          <rPr>
            <sz val="11"/>
            <rFont val="Calibri"/>
          </rPr>
          <t>The Cisco ISE must use DoD-approved PKI rather than proprietary or self-signed device certificates.</t>
        </r>
      </text>
    </comment>
    <comment ref="P84" authorId="0" shapeId="0" xr:uid="{00000000-0006-0000-0A00-000010000000}">
      <text>
        <r>
          <rPr>
            <sz val="11"/>
            <rFont val="Calibri"/>
          </rPr>
          <t>The Cisco ISE must be configured to authenticate SNMP messages using a FIPS-validated Keyed-Hash Message Authentication Code (HMAC).</t>
        </r>
      </text>
    </comment>
    <comment ref="Q84" authorId="0" shapeId="0" xr:uid="{00000000-0006-0000-0A00-000011000000}">
      <text>
        <r>
          <rPr>
            <sz val="11"/>
            <rFont val="Calibri"/>
          </rPr>
          <t>The Cisco ISE must use FIPS-validated Keyed-Hash Message Authentication Code (HMAC) to protect the integrity of nonlocal maintenance and diagnostic communications.</t>
        </r>
      </text>
    </comment>
    <comment ref="R84" authorId="0" shapeId="0" xr:uid="{00000000-0006-0000-0A00-00000B000000}">
      <text>
        <r>
          <rPr>
            <sz val="11"/>
            <rFont val="Calibri"/>
          </rPr>
          <t>The Cisco ISE must be configured to implement cryptographic mechanisms using a FIPS 140-2 validated algorithm to protect the confidentiality of remote maintenance sessions.</t>
        </r>
      </text>
    </comment>
    <comment ref="S84" authorId="0" shapeId="0" xr:uid="{00000000-0006-0000-0A00-00000C000000}">
      <text>
        <r>
          <rPr>
            <sz val="11"/>
            <rFont val="Calibri"/>
          </rPr>
          <t>The Cisco ISE must generate unique session identifiers using a FIPS 140-2 approved Random Number Generator (RNG) using DRGB.</t>
        </r>
      </text>
    </comment>
    <comment ref="L93" authorId="0" shapeId="0" xr:uid="{00000000-0006-0000-0A00-000012000000}">
      <text>
        <r>
          <rPr>
            <sz val="11"/>
            <rFont val="Calibri"/>
          </rPr>
          <t>The Cisco ISE must verify host-based firewall software is running on posture required clients defined in the NAC System Security Plan (SSP) prior to granting trusted network access. This is required for compliance with C2C Step 4.</t>
        </r>
      </text>
    </comment>
    <comment ref="M93" authorId="0" shapeId="0" xr:uid="{00000000-0006-0000-0A00-000013000000}">
      <text>
        <r>
          <rPr>
            <sz val="11"/>
            <rFont val="Calibri"/>
          </rPr>
          <t>The Cisco ISE must verify anti-malware software is installed and up to date on posture required clients defined in the NAC System Security Plan (SSP) prior to granting trusted network access. This is required for compliance with C2C Step 4.</t>
        </r>
      </text>
    </comment>
    <comment ref="N93" authorId="0" shapeId="0" xr:uid="{00000000-0006-0000-0A00-000014000000}">
      <text>
        <r>
          <rPr>
            <sz val="11"/>
            <rFont val="Calibri"/>
          </rPr>
          <t>The Cisco ISE must verify host-based IDS/IPS software is authorized and running on posture required clients defined in the NAC System Security Plan (SSP) prior to granting trusted network access. This is required for compliance with C2C Step 4.</t>
        </r>
      </text>
    </comment>
    <comment ref="L98" authorId="0" shapeId="0" xr:uid="{00000000-0006-0000-0A00-000015000000}">
      <text>
        <r>
          <rPr>
            <sz val="11"/>
            <rFont val="Calibri"/>
          </rPr>
          <t>The Cisco ISE must verify anti-malware software is installed and up to date on posture required clients defined in the NAC System Security Plan (SSP) prior to granting trusted network access. This is required for compliance with C2C Step 4.</t>
        </r>
      </text>
    </comment>
    <comment ref="M98" authorId="0" shapeId="0" xr:uid="{00000000-0006-0000-0A00-000016000000}">
      <text>
        <r>
          <rPr>
            <sz val="11"/>
            <rFont val="Calibri"/>
          </rPr>
          <t>The Cisco ISE must verify host-based IDS/IPS software is authorized and running on posture required clients defined in the NAC System Security Plan (SSP) prior to granting trusted network access. This is required for compliance with C2C Step 4.</t>
        </r>
      </text>
    </comment>
    <comment ref="L111" authorId="0" shapeId="0" xr:uid="{00000000-0006-0000-0A00-000017000000}">
      <text>
        <r>
          <rPr>
            <sz val="11"/>
            <rFont val="Calibri"/>
          </rPr>
          <t>The Cisco ISE must be configured to profile endpoints connecting to the network. This is required for compliance with C2C Step 4.</t>
        </r>
      </text>
    </comment>
    <comment ref="M111" authorId="0" shapeId="0" xr:uid="{00000000-0006-0000-0A00-000018000000}">
      <text>
        <r>
          <rPr>
            <sz val="11"/>
            <rFont val="Calibri"/>
          </rPr>
          <t>The Cisco ISE must deny or restrict access for endpoints that fail required posture checks. This is required for compliance with C2C Step 4.</t>
        </r>
      </text>
    </comment>
    <comment ref="N111" authorId="0" shapeId="0" xr:uid="{00000000-0006-0000-0A00-000019000000}">
      <text>
        <r>
          <rPr>
            <sz val="11"/>
            <rFont val="Calibri"/>
          </rPr>
          <t>The Cisco ISE must enforce posture status assessment for posture required clients defined in the NAC System Security Plan (SSP). This is required for compliance with C2C Step 3.</t>
        </r>
      </text>
    </comment>
    <comment ref="O111" authorId="0" shapeId="0" xr:uid="{00000000-0006-0000-0A00-00001A000000}">
      <text>
        <r>
          <rPr>
            <sz val="11"/>
            <rFont val="Calibri"/>
          </rPr>
          <t>The Cisco ISE must have a posture policy for posture required clients defined in the NAC System Security Plan (SSP). This is required for compliance with C2C Step 2.</t>
        </r>
      </text>
    </comment>
    <comment ref="L115" authorId="0" shapeId="0" xr:uid="{00000000-0006-0000-0A00-00001B000000}">
      <text>
        <r>
          <rPr>
            <sz val="11"/>
            <rFont val="Calibri"/>
          </rPr>
          <t>The Cisco ISE must be configured to prohibit the use of all unnecessary and/or nonsecure functions, ports, protocols, and/or services.</t>
        </r>
      </text>
    </comment>
    <comment ref="L119" authorId="0" shapeId="0" xr:uid="{00000000-0006-0000-0A00-00001C000000}">
      <text>
        <r>
          <rPr>
            <sz val="11"/>
            <rFont val="Calibri"/>
          </rPr>
          <t>The Cisco ISE must enforce access restrictions associated with changes to the firmware, OS, and hardware components.</t>
        </r>
      </text>
    </comment>
    <comment ref="M119" authorId="0" shapeId="0" xr:uid="{00000000-0006-0000-0A00-00001D000000}">
      <text>
        <r>
          <rPr>
            <sz val="11"/>
            <rFont val="Calibri"/>
          </rPr>
          <t>The Cisco ISE must be running an operating system release that is currently supported by the vendor.</t>
        </r>
      </text>
    </comment>
    <comment ref="L139" authorId="0" shapeId="0" xr:uid="{00000000-0006-0000-0A00-00001E000000}">
      <text>
        <r>
          <rPr>
            <sz val="11"/>
            <rFont val="Calibri"/>
          </rPr>
          <t>The Cisco ISE must prevent non-privileged users from executing privileged functions to include disabling, circumventing, or altering implemented security safeguards/countermeasures.</t>
        </r>
      </text>
    </comment>
    <comment ref="M139" authorId="0" shapeId="0" xr:uid="{00000000-0006-0000-0A00-00001F000000}">
      <text>
        <r>
          <rPr>
            <sz val="11"/>
            <rFont val="Calibri"/>
          </rPr>
          <t>The Cisco ISE must audit the execution of privileged functions.</t>
        </r>
      </text>
    </comment>
    <comment ref="L152" authorId="0" shapeId="0" xr:uid="{00000000-0006-0000-0A00-000020000000}">
      <text>
        <r>
          <rPr>
            <sz val="11"/>
            <rFont val="Calibri"/>
          </rPr>
          <t>For the local web-based account of last resort, the Cisco ISE must automatically audit account creation.</t>
        </r>
      </text>
    </comment>
    <comment ref="M152" authorId="0" shapeId="0" xr:uid="{00000000-0006-0000-0A00-000021000000}">
      <text>
        <r>
          <rPr>
            <sz val="11"/>
            <rFont val="Calibri"/>
          </rPr>
          <t>For the local web-based account of last resort and the default local CLI account, the Cisco ISE must automatically audit account modification.</t>
        </r>
      </text>
    </comment>
    <comment ref="N152" authorId="0" shapeId="0" xr:uid="{00000000-0006-0000-0A00-000022000000}">
      <text>
        <r>
          <rPr>
            <sz val="11"/>
            <rFont val="Calibri"/>
          </rPr>
          <t>For the local web-based account of last resort, the Cisco ISE must automatically audit account disabling actions.</t>
        </r>
      </text>
    </comment>
    <comment ref="O152" authorId="0" shapeId="0" xr:uid="{00000000-0006-0000-0A00-000023000000}">
      <text>
        <r>
          <rPr>
            <sz val="11"/>
            <rFont val="Calibri"/>
          </rPr>
          <t>For the local account of last resort, the Cisco ISE must automatically audit account removal actions.</t>
        </r>
      </text>
    </comment>
    <comment ref="P152" authorId="0" shapeId="0" xr:uid="{00000000-0006-0000-0A00-000024000000}">
      <text>
        <r>
          <rPr>
            <sz val="11"/>
            <rFont val="Calibri"/>
          </rPr>
          <t>The Cisco ISE must automatically audit account enabling actions.</t>
        </r>
      </text>
    </comment>
    <comment ref="Q152" authorId="0" shapeId="0" xr:uid="{00000000-0006-0000-0A00-000025000000}">
      <text>
        <r>
          <rPr>
            <sz val="11"/>
            <rFont val="Calibri"/>
          </rPr>
          <t>The Cisco ISE must be configured with only one local web-based account to be used as the account of last resort in the event the authentication server is unavailable.</t>
        </r>
      </text>
    </comment>
    <comment ref="R152" authorId="0" shapeId="0" xr:uid="{00000000-0006-0000-0A00-000026000000}">
      <text>
        <r>
          <rPr>
            <sz val="11"/>
            <rFont val="Calibri"/>
          </rPr>
          <t>For the local account of last resort, the Cisco ISE must display the Standard Mandatory DoD Notice and Consent Banner before granting access to the device.</t>
        </r>
      </text>
    </comment>
    <comment ref="S152" authorId="0" shapeId="0" xr:uid="{00000000-0006-0000-0A00-000027000000}">
      <text>
        <r>
          <rPr>
            <sz val="11"/>
            <rFont val="Calibri"/>
          </rPr>
          <t>The Cisco ISE must be configured to use an external authentication server to authenticate administrators prior to granting administrative access.</t>
        </r>
      </text>
    </comment>
    <comment ref="L154" authorId="0" shapeId="0" xr:uid="{00000000-0006-0000-0A00-000028000000}">
      <text>
        <r>
          <rPr>
            <sz val="11"/>
            <rFont val="Calibri"/>
          </rPr>
          <t>The Cisco ISE must prevent non-privileged users from executing privileged functions to include disabling, circumventing, or altering implemented security safeguards/countermeasures.</t>
        </r>
      </text>
    </comment>
    <comment ref="M154" authorId="0" shapeId="0" xr:uid="{00000000-0006-0000-0A00-000029000000}">
      <text>
        <r>
          <rPr>
            <sz val="11"/>
            <rFont val="Calibri"/>
          </rPr>
          <t>The Cisco ISE must audit the execution of privileged functions.</t>
        </r>
      </text>
    </comment>
    <comment ref="L159" authorId="0" shapeId="0" xr:uid="{00000000-0006-0000-0A00-00002A000000}">
      <text>
        <r>
          <rPr>
            <sz val="11"/>
            <rFont val="Calibri"/>
          </rPr>
          <t>The Cisco ISE must terminate all network connections associated with a device management session at the end of the session, or the session must be terminated after six minutes of inactivity, except to fulfill documented and validated mission requirements.</t>
        </r>
      </text>
    </comment>
    <comment ref="L162" authorId="0" shapeId="0" xr:uid="{00000000-0006-0000-0A00-00002B000000}">
      <text>
        <r>
          <rPr>
            <sz val="11"/>
            <rFont val="Calibri"/>
          </rPr>
          <t>For accounts using password authentication, the Cisco ISE must use FIPS-validated SHA-2 or later protocol to protect the integrity of the password authentication process.</t>
        </r>
      </text>
    </comment>
    <comment ref="M162" authorId="0" shapeId="0" xr:uid="{00000000-0006-0000-0A00-00002C000000}">
      <text>
        <r>
          <rPr>
            <sz val="11"/>
            <rFont val="Calibri"/>
          </rPr>
          <t>The Cisco ISE must use FIPS-validated SHA-2 (or greater) to protect the integrity of hash message authentication code (HMAC), Key Derivation Functions (KDFs), Random Bit Generation, and hash-only applications.</t>
        </r>
      </text>
    </comment>
    <comment ref="L164" authorId="0" shapeId="0" xr:uid="{00000000-0006-0000-0A00-00002D000000}">
      <text>
        <r>
          <rPr>
            <sz val="11"/>
            <rFont val="Calibri"/>
          </rPr>
          <t>The Cisco ISE must be configured to enforce the limit of three consecutive invalid logon attempts, after which time it must lock out the user account from accessing the device for 15 minutes.</t>
        </r>
      </text>
    </comment>
    <comment ref="L166" authorId="0" shapeId="0" xr:uid="{00000000-0006-0000-0A00-00002E000000}">
      <text>
        <r>
          <rPr>
            <sz val="11"/>
            <rFont val="Calibri"/>
          </rPr>
          <t>For accounts using password authentication, the Cisco ISE must enforce a minimum 15-character password length.</t>
        </r>
      </text>
    </comment>
    <comment ref="M166" authorId="0" shapeId="0" xr:uid="{00000000-0006-0000-0A00-00002F000000}">
      <text>
        <r>
          <rPr>
            <sz val="11"/>
            <rFont val="Calibri"/>
          </rPr>
          <t>For accounts using password authentication, the Cisco ISE must enforce password complexity by requiring that at least one uppercase character be used.</t>
        </r>
      </text>
    </comment>
    <comment ref="N166" authorId="0" shapeId="0" xr:uid="{00000000-0006-0000-0A00-000030000000}">
      <text>
        <r>
          <rPr>
            <sz val="11"/>
            <rFont val="Calibri"/>
          </rPr>
          <t>For accounts using password authentication, the Cisco ISE must enforce password complexity by requiring that at least one lowercase character be used.</t>
        </r>
      </text>
    </comment>
    <comment ref="O166" authorId="0" shapeId="0" xr:uid="{00000000-0006-0000-0A00-000031000000}">
      <text>
        <r>
          <rPr>
            <sz val="11"/>
            <rFont val="Calibri"/>
          </rPr>
          <t>For accounts using password authentication, the Cisco ISE must enforce password complexity by requiring that at least one digit be used.</t>
        </r>
      </text>
    </comment>
    <comment ref="P166" authorId="0" shapeId="0" xr:uid="{00000000-0006-0000-0A00-000032000000}">
      <text>
        <r>
          <rPr>
            <sz val="11"/>
            <rFont val="Calibri"/>
          </rPr>
          <t>For accounts using password authentication, the Cisco ISE must enforce password complexity by requiring that at least one special character be used.</t>
        </r>
      </text>
    </comment>
    <comment ref="L167" authorId="0" shapeId="0" xr:uid="{00000000-0006-0000-0A00-000033000000}">
      <text>
        <r>
          <rPr>
            <sz val="11"/>
            <rFont val="Calibri"/>
          </rPr>
          <t>For accounts using password authentication, the Cisco ISE must enforce a minimum 15-character password length.</t>
        </r>
      </text>
    </comment>
    <comment ref="M167" authorId="0" shapeId="0" xr:uid="{00000000-0006-0000-0A00-000034000000}">
      <text>
        <r>
          <rPr>
            <sz val="11"/>
            <rFont val="Calibri"/>
          </rPr>
          <t>For accounts using password authentication, the Cisco ISE must enforce password complexity by requiring that at least one uppercase character be used.</t>
        </r>
      </text>
    </comment>
    <comment ref="N167" authorId="0" shapeId="0" xr:uid="{00000000-0006-0000-0A00-000035000000}">
      <text>
        <r>
          <rPr>
            <sz val="11"/>
            <rFont val="Calibri"/>
          </rPr>
          <t>For accounts using password authentication, the Cisco ISE must enforce password complexity by requiring that at least one lowercase character be used.</t>
        </r>
      </text>
    </comment>
    <comment ref="O167" authorId="0" shapeId="0" xr:uid="{00000000-0006-0000-0A00-000036000000}">
      <text>
        <r>
          <rPr>
            <sz val="11"/>
            <rFont val="Calibri"/>
          </rPr>
          <t>For accounts using password authentication, the Cisco ISE must enforce password complexity by requiring that at least one digit be used.</t>
        </r>
      </text>
    </comment>
    <comment ref="P167" authorId="0" shapeId="0" xr:uid="{00000000-0006-0000-0A00-000037000000}">
      <text>
        <r>
          <rPr>
            <sz val="11"/>
            <rFont val="Calibri"/>
          </rPr>
          <t>For accounts using password authentication, the Cisco ISE must enforce password complexity by requiring that at least one special character be used.</t>
        </r>
      </text>
    </comment>
    <comment ref="L169" authorId="0" shapeId="0" xr:uid="{00000000-0006-0000-0A00-000038000000}">
      <text>
        <r>
          <rPr>
            <sz val="11"/>
            <rFont val="Calibri"/>
          </rPr>
          <t>The Cisco ISE must prohibit the use of cached authenticators after an organization-defined time period.</t>
        </r>
      </text>
    </comment>
    <comment ref="L174" authorId="0" shapeId="0" xr:uid="{00000000-0006-0000-0A00-000039000000}">
      <text>
        <r>
          <rPr>
            <sz val="11"/>
            <rFont val="Calibri"/>
          </rPr>
          <t>The Cisco ISE must deny network connection for endpoints that cannot be authenticated using an approved method. This is required for compliance with C2C Step 4.</t>
        </r>
      </text>
    </comment>
    <comment ref="M174" authorId="0" shapeId="0" xr:uid="{00000000-0006-0000-0A00-00003A000000}">
      <text>
        <r>
          <rPr>
            <sz val="11"/>
            <rFont val="Calibri"/>
          </rPr>
          <t>The Cisco ISE must authenticate all endpoint devices before establishing a connection and proceeding with posture assessment. This is required for compliance with C2C Step 4.</t>
        </r>
      </text>
    </comment>
    <comment ref="N174" authorId="0" shapeId="0" xr:uid="{00000000-0006-0000-0A00-00003B000000}">
      <text>
        <r>
          <rPr>
            <sz val="11"/>
            <rFont val="Calibri"/>
          </rPr>
          <t>For accounts using password authentication, the Cisco ISE must implement replay-resistant authentication mechanisms for network access to privileged accounts.</t>
        </r>
      </text>
    </comment>
    <comment ref="L175" authorId="0" shapeId="0" xr:uid="{00000000-0006-0000-0A00-00003C000000}">
      <text>
        <r>
          <rPr>
            <sz val="11"/>
            <rFont val="Calibri"/>
          </rPr>
          <t>The Cisco ISE must be configured to use an external authentication server to authenticate administrators prior to granting administrative access.</t>
        </r>
      </text>
    </comment>
    <comment ref="M175" authorId="0" shapeId="0" xr:uid="{00000000-0006-0000-0A00-00003D000000}">
      <text>
        <r>
          <rPr>
            <sz val="11"/>
            <rFont val="Calibri"/>
          </rPr>
          <t>For accounts using password authentication, the Cisco ISE must implement replay-resistant authentication mechanisms for network access to privileged accounts.</t>
        </r>
      </text>
    </comment>
    <comment ref="L221" authorId="0" shapeId="0" xr:uid="{00000000-0006-0000-0A00-00003E000000}">
      <text>
        <r>
          <rPr>
            <sz val="11"/>
            <rFont val="Calibri"/>
          </rPr>
          <t>The Cisco ISE must generate a log record when an endpoint fails authentication. This is This is required for compliance with C2C Step 1.</t>
        </r>
      </text>
    </comment>
    <comment ref="M221" authorId="0" shapeId="0" xr:uid="{00000000-0006-0000-0A00-00004B000000}">
      <text>
        <r>
          <rPr>
            <sz val="11"/>
            <rFont val="Calibri"/>
          </rPr>
          <t>The Cisco ISE must generate a log record when the client machine fails posture assessment because required security software is missing or has been deleted. This is This is required for compliance with C2C Step 1.</t>
        </r>
      </text>
    </comment>
    <comment ref="N221" authorId="0" shapeId="0" xr:uid="{00000000-0006-0000-0A00-00004C000000}">
      <text>
        <r>
          <rPr>
            <sz val="11"/>
            <rFont val="Calibri"/>
          </rPr>
          <t>The Cisco ISE must continue to queue traffic log records locally when communication with the central log server is lost and there is an audit archival failure. This is required for compliance with C2C Step 1.</t>
        </r>
      </text>
    </comment>
    <comment ref="O221" authorId="0" shapeId="0" xr:uid="{00000000-0006-0000-0A00-00004D000000}">
      <text>
        <r>
          <rPr>
            <sz val="11"/>
            <rFont val="Calibri"/>
          </rPr>
          <t>For the local web-based account of last resort, the Cisco ISE must automatically audit account creation.</t>
        </r>
      </text>
    </comment>
    <comment ref="P221" authorId="0" shapeId="0" xr:uid="{00000000-0006-0000-0A00-00004E000000}">
      <text>
        <r>
          <rPr>
            <sz val="11"/>
            <rFont val="Calibri"/>
          </rPr>
          <t>For the local web-based account of last resort and the default local CLI account, the Cisco ISE must automatically audit account modification.</t>
        </r>
      </text>
    </comment>
    <comment ref="Q221" authorId="0" shapeId="0" xr:uid="{00000000-0006-0000-0A00-00004F000000}">
      <text>
        <r>
          <rPr>
            <sz val="11"/>
            <rFont val="Calibri"/>
          </rPr>
          <t>For the local web-based account of last resort, the Cisco ISE must automatically audit account disabling actions.</t>
        </r>
      </text>
    </comment>
    <comment ref="R221" authorId="0" shapeId="0" xr:uid="{00000000-0006-0000-0A00-000050000000}">
      <text>
        <r>
          <rPr>
            <sz val="11"/>
            <rFont val="Calibri"/>
          </rPr>
          <t>For the local account of last resort, the Cisco ISE must automatically audit account removal actions.</t>
        </r>
      </text>
    </comment>
    <comment ref="S221" authorId="0" shapeId="0" xr:uid="{00000000-0006-0000-0A00-000051000000}">
      <text>
        <r>
          <rPr>
            <sz val="11"/>
            <rFont val="Calibri"/>
          </rPr>
          <t>The Cisco ISE must automatically audit account enabling actions.</t>
        </r>
      </text>
    </comment>
    <comment ref="T221" authorId="0" shapeId="0" xr:uid="{00000000-0006-0000-0A00-00003F000000}">
      <text>
        <r>
          <rPr>
            <sz val="11"/>
            <rFont val="Calibri"/>
          </rPr>
          <t>The Cisco ISE must generate audit records when successful attempts to access privileges occur.</t>
        </r>
      </text>
    </comment>
    <comment ref="U221" authorId="0" shapeId="0" xr:uid="{00000000-0006-0000-0A00-000040000000}">
      <text>
        <r>
          <rPr>
            <sz val="11"/>
            <rFont val="Calibri"/>
          </rPr>
          <t>The Cisco ISE must generate audit records when successful attempts to modify administrator privileges occur.</t>
        </r>
      </text>
    </comment>
    <comment ref="V221" authorId="0" shapeId="0" xr:uid="{00000000-0006-0000-0A00-000041000000}">
      <text>
        <r>
          <rPr>
            <sz val="11"/>
            <rFont val="Calibri"/>
          </rPr>
          <t>The Cisco ISE must generate audit records when successful attempts to delete administrator privileges occur.</t>
        </r>
      </text>
    </comment>
    <comment ref="W221" authorId="0" shapeId="0" xr:uid="{00000000-0006-0000-0A00-000042000000}">
      <text>
        <r>
          <rPr>
            <sz val="11"/>
            <rFont val="Calibri"/>
          </rPr>
          <t>The Cisco ISE must generate audit records when successful logon attempts occur.</t>
        </r>
      </text>
    </comment>
    <comment ref="X221" authorId="0" shapeId="0" xr:uid="{00000000-0006-0000-0A00-000043000000}">
      <text>
        <r>
          <rPr>
            <sz val="11"/>
            <rFont val="Calibri"/>
          </rPr>
          <t>The Cisco ISE must generate audit records for privileged activities or other system-level access.</t>
        </r>
      </text>
    </comment>
    <comment ref="Y221" authorId="0" shapeId="0" xr:uid="{00000000-0006-0000-0A00-000044000000}">
      <text>
        <r>
          <rPr>
            <sz val="11"/>
            <rFont val="Calibri"/>
          </rPr>
          <t>The Cisco ISE must generate audit records when concurrent logons from different workstations occur.</t>
        </r>
      </text>
    </comment>
    <comment ref="Z221" authorId="0" shapeId="0" xr:uid="{00000000-0006-0000-0A00-000045000000}">
      <text>
        <r>
          <rPr>
            <sz val="11"/>
            <rFont val="Calibri"/>
          </rPr>
          <t>The Cisco ISE must limit audit record storage capacity for all locally stored logs.</t>
        </r>
      </text>
    </comment>
    <comment ref="AA221" authorId="0" shapeId="0" xr:uid="{00000000-0006-0000-0A00-000046000000}">
      <text>
        <r>
          <rPr>
            <sz val="11"/>
            <rFont val="Calibri"/>
          </rPr>
          <t>The Cisco ISE must configure a remote syslog where audit records are stored on a centralized logging target that is different from the system being audited.</t>
        </r>
      </text>
    </comment>
    <comment ref="AB221" authorId="0" shapeId="0" xr:uid="{00000000-0006-0000-0A00-000047000000}">
      <text>
        <r>
          <rPr>
            <sz val="11"/>
            <rFont val="Calibri"/>
          </rPr>
          <t>The Cisco ISE must record time stamps for audit records that can be mapped to Coordinated Universal Time (UTC).</t>
        </r>
      </text>
    </comment>
    <comment ref="AC221" authorId="0" shapeId="0" xr:uid="{00000000-0006-0000-0A00-000048000000}">
      <text>
        <r>
          <rPr>
            <sz val="11"/>
            <rFont val="Calibri"/>
          </rPr>
          <t>The Cisco ISE must generate log records for a locally developed list of auditable events.</t>
        </r>
      </text>
    </comment>
    <comment ref="AD221" authorId="0" shapeId="0" xr:uid="{00000000-0006-0000-0A00-000049000000}">
      <text>
        <r>
          <rPr>
            <sz val="11"/>
            <rFont val="Calibri"/>
          </rPr>
          <t>The Cisco ISE must initiate session auditing upon startup.</t>
        </r>
      </text>
    </comment>
    <comment ref="AE221" authorId="0" shapeId="0" xr:uid="{00000000-0006-0000-0A00-00004A000000}">
      <text>
        <r>
          <rPr>
            <sz val="11"/>
            <rFont val="Calibri"/>
          </rPr>
          <t>The Cisco ISE must generate audit records containing the full-text recording of privileged commands.</t>
        </r>
      </text>
    </comment>
    <comment ref="L231" authorId="0" shapeId="0" xr:uid="{00000000-0006-0000-0A00-000052000000}">
      <text>
        <r>
          <rPr>
            <sz val="11"/>
            <rFont val="Calibri"/>
          </rPr>
          <t>The Cisco ISE must generate a log record when an endpoint fails authentication. This is This is required for compliance with C2C Step 1.</t>
        </r>
      </text>
    </comment>
    <comment ref="M231" authorId="0" shapeId="0" xr:uid="{00000000-0006-0000-0A00-000053000000}">
      <text>
        <r>
          <rPr>
            <sz val="11"/>
            <rFont val="Calibri"/>
          </rPr>
          <t>The Cisco ISE must generate a log record when the client machine fails posture assessment because required security software is missing or has been deleted. This is This is required for compliance with C2C Step 1.</t>
        </r>
      </text>
    </comment>
    <comment ref="N231" authorId="0" shapeId="0" xr:uid="{00000000-0006-0000-0A00-000054000000}">
      <text>
        <r>
          <rPr>
            <sz val="11"/>
            <rFont val="Calibri"/>
          </rPr>
          <t>The Cisco ISE must continue to queue traffic log records locally when communication with the central log server is lost and there is an audit archival failure. This is required for compliance with C2C Step 1.</t>
        </r>
      </text>
    </comment>
    <comment ref="O231" authorId="0" shapeId="0" xr:uid="{00000000-0006-0000-0A00-000055000000}">
      <text>
        <r>
          <rPr>
            <sz val="11"/>
            <rFont val="Calibri"/>
          </rPr>
          <t>The Cisco ISE must generate audit records when successful attempts to access privileges occur.</t>
        </r>
      </text>
    </comment>
    <comment ref="P231" authorId="0" shapeId="0" xr:uid="{00000000-0006-0000-0A00-000056000000}">
      <text>
        <r>
          <rPr>
            <sz val="11"/>
            <rFont val="Calibri"/>
          </rPr>
          <t>The Cisco ISE must generate audit records when successful attempts to modify administrator privileges occur.</t>
        </r>
      </text>
    </comment>
    <comment ref="Q231" authorId="0" shapeId="0" xr:uid="{00000000-0006-0000-0A00-000057000000}">
      <text>
        <r>
          <rPr>
            <sz val="11"/>
            <rFont val="Calibri"/>
          </rPr>
          <t>The Cisco ISE must generate audit records when successful attempts to delete administrator privileges occur.</t>
        </r>
      </text>
    </comment>
    <comment ref="R231" authorId="0" shapeId="0" xr:uid="{00000000-0006-0000-0A00-000058000000}">
      <text>
        <r>
          <rPr>
            <sz val="11"/>
            <rFont val="Calibri"/>
          </rPr>
          <t>The Cisco ISE must generate audit records for privileged activities or other system-level access.</t>
        </r>
      </text>
    </comment>
    <comment ref="S231" authorId="0" shapeId="0" xr:uid="{00000000-0006-0000-0A00-000059000000}">
      <text>
        <r>
          <rPr>
            <sz val="11"/>
            <rFont val="Calibri"/>
          </rPr>
          <t>The Cisco ISE must generate audit records when concurrent logons from different workstations occur.</t>
        </r>
      </text>
    </comment>
    <comment ref="T231" authorId="0" shapeId="0" xr:uid="{00000000-0006-0000-0A00-00005A000000}">
      <text>
        <r>
          <rPr>
            <sz val="11"/>
            <rFont val="Calibri"/>
          </rPr>
          <t>The Cisco ISE must limit audit record storage capacity for all locally stored logs.</t>
        </r>
      </text>
    </comment>
    <comment ref="U231" authorId="0" shapeId="0" xr:uid="{00000000-0006-0000-0A00-00005B000000}">
      <text>
        <r>
          <rPr>
            <sz val="11"/>
            <rFont val="Calibri"/>
          </rPr>
          <t>The Cisco ISE must configure a remote syslog where audit records are stored on a centralized logging target that is different from the system being audited.</t>
        </r>
      </text>
    </comment>
    <comment ref="V231" authorId="0" shapeId="0" xr:uid="{00000000-0006-0000-0A00-00005C000000}">
      <text>
        <r>
          <rPr>
            <sz val="11"/>
            <rFont val="Calibri"/>
          </rPr>
          <t>The Cisco ISE must generate log records for a locally developed list of auditable events.</t>
        </r>
      </text>
    </comment>
    <comment ref="W231" authorId="0" shapeId="0" xr:uid="{00000000-0006-0000-0A00-00005D000000}">
      <text>
        <r>
          <rPr>
            <sz val="11"/>
            <rFont val="Calibri"/>
          </rPr>
          <t>The Cisco ISE must generate audit records containing the full-text recording of privileged commands.</t>
        </r>
      </text>
    </comment>
    <comment ref="L232" authorId="0" shapeId="0" xr:uid="{00000000-0006-0000-0A00-00005E000000}">
      <text>
        <r>
          <rPr>
            <sz val="11"/>
            <rFont val="Calibri"/>
          </rPr>
          <t>The Cisco ISE must provide an alert to, at a minimum, the SA and ISSO of all audit failure events where the detection and/or prevention function is unable to write events to either local storage or the centralized server. This is required for compliance with C2C Step 1.</t>
        </r>
      </text>
    </comment>
    <comment ref="M232" authorId="0" shapeId="0" xr:uid="{00000000-0006-0000-0A00-00005F000000}">
      <text>
        <r>
          <rPr>
            <sz val="11"/>
            <rFont val="Calibri"/>
          </rPr>
          <t>The Cisco ISE must be configured with a secondary log server in case the primary log is unreachable. This is required for compliance with C2C Step 1.</t>
        </r>
      </text>
    </comment>
    <comment ref="N232" authorId="0" shapeId="0" xr:uid="{00000000-0006-0000-0A00-000060000000}">
      <text>
        <r>
          <rPr>
            <sz val="11"/>
            <rFont val="Calibri"/>
          </rPr>
          <t>The Cisco ISE must be configured to send log data to at least two central log servers for the purpose of forwarding alerts to the administrators and the information system security officer (ISSO).</t>
        </r>
      </text>
    </comment>
    <comment ref="L233" authorId="0" shapeId="0" xr:uid="{00000000-0006-0000-0A00-000061000000}">
      <text>
        <r>
          <rPr>
            <sz val="11"/>
            <rFont val="Calibri"/>
          </rPr>
          <t>The Cisco ISE must provide an alert to, at a minimum, the SA and ISSO of all audit failure events where the detection and/or prevention function is unable to write events to either local storage or the centralized server. This is required for compliance with C2C Step 1.</t>
        </r>
      </text>
    </comment>
    <comment ref="M233" authorId="0" shapeId="0" xr:uid="{00000000-0006-0000-0A00-000062000000}">
      <text>
        <r>
          <rPr>
            <sz val="11"/>
            <rFont val="Calibri"/>
          </rPr>
          <t>The Cisco ISE must be configured with a secondary log server in case the primary log is unreachable. This is required for compliance with C2C Step 1.</t>
        </r>
      </text>
    </comment>
    <comment ref="N233" authorId="0" shapeId="0" xr:uid="{00000000-0006-0000-0A00-000063000000}">
      <text>
        <r>
          <rPr>
            <sz val="11"/>
            <rFont val="Calibri"/>
          </rPr>
          <t>The Cisco ISE must be configured to send log data to at least two central log servers for the purpose of forwarding alerts to the administrators and the information system security officer (ISSO).</t>
        </r>
      </text>
    </comment>
    <comment ref="L244" authorId="0" shapeId="0" xr:uid="{00000000-0006-0000-0A00-000064000000}">
      <text>
        <r>
          <rPr>
            <sz val="11"/>
            <rFont val="Calibri"/>
          </rPr>
          <t>The Cisco ISE must be configured to synchronize internal information system clocks using redundant authoritative time sources.</t>
        </r>
      </text>
    </comment>
    <comment ref="M244" authorId="0" shapeId="0" xr:uid="{00000000-0006-0000-0A00-000065000000}">
      <text>
        <r>
          <rPr>
            <sz val="11"/>
            <rFont val="Calibri"/>
          </rPr>
          <t>The Cisco ISE must record time stamps for audit records that can be mapped to Coordinated Universal Time (UTC).</t>
        </r>
      </text>
    </comment>
    <comment ref="N244" authorId="0" shapeId="0" xr:uid="{00000000-0006-0000-0A00-000066000000}">
      <text>
        <r>
          <rPr>
            <sz val="11"/>
            <rFont val="Calibri"/>
          </rPr>
          <t>The Cisco ISE must authenticate Network Time Protocol (NTP) sources using authentication that is cryptographically based.</t>
        </r>
      </text>
    </comment>
    <comment ref="L274" authorId="0" shapeId="0" xr:uid="{00000000-0006-0000-0A00-000067000000}">
      <text>
        <r>
          <rPr>
            <sz val="11"/>
            <rFont val="Calibri"/>
          </rPr>
          <t>The Cisco ISE must be configured to notify the user before proceeding with remediation of the user</t>
        </r>
        <r>
          <rPr>
            <sz val="11"/>
            <color rgb="FF000000"/>
            <rFont val="Calibri"/>
          </rPr>
          <t>'</t>
        </r>
        <r>
          <rPr>
            <sz val="11"/>
            <color rgb="FF000000"/>
            <rFont val="Calibri"/>
          </rPr>
          <t>s endpoint device when automated remediation is used. This is required for compliance with C2C Step 3.</t>
        </r>
      </text>
    </comment>
    <comment ref="M274" authorId="0" shapeId="0" xr:uid="{00000000-0006-0000-0A00-000068000000}">
      <text>
        <r>
          <rPr>
            <sz val="11"/>
            <rFont val="Calibri"/>
          </rPr>
          <t>The Cisco ISE must place client machines on the blacklist and terminate the agent connection when critical security issues are found that put the network at risk. This is required for compliance with C2C Step 4.</t>
        </r>
      </text>
    </comment>
    <comment ref="N274" authorId="0" shapeId="0" xr:uid="{00000000-0006-0000-0A00-000069000000}">
      <text>
        <r>
          <rPr>
            <sz val="11"/>
            <rFont val="Calibri"/>
          </rPr>
          <t>The Cisco ISE must perform continuous detection and tracking of endpoint devices attached to the network. This is required for compliance with C2C Step 1.</t>
        </r>
      </text>
    </comment>
    <comment ref="O274" authorId="0" shapeId="0" xr:uid="{00000000-0006-0000-0A00-00006A000000}">
      <text>
        <r>
          <rPr>
            <sz val="11"/>
            <rFont val="Calibri"/>
          </rPr>
          <t>The Cisco ISE must configure the control plane to protect against or limit the effects of common types of Denial of Service (DoS) attacks on the device itself by configuring applicable system options and internet-options.</t>
        </r>
      </text>
    </comment>
    <comment ref="L291" authorId="0" shapeId="0" xr:uid="{00000000-0006-0000-0A00-00006B000000}">
      <text>
        <r>
          <rPr>
            <sz val="11"/>
            <rFont val="Calibri"/>
          </rPr>
          <t>The Cisco ISE must conduct configuration and operational backups when changes are made or must schedule backups weekly, at a minimum.</t>
        </r>
      </text>
    </comment>
    <comment ref="M291" authorId="0" shapeId="0" xr:uid="{00000000-0006-0000-0A00-00006C000000}">
      <text>
        <r>
          <rPr>
            <sz val="11"/>
            <rFont val="Calibri"/>
          </rPr>
          <t>The Cisco ISE must verify the checksum value of any software download, including install files (ISO or OVA), patch files, and upgrade bundles.</t>
        </r>
      </text>
    </comment>
    <comment ref="L324" authorId="0" shapeId="0" xr:uid="{00000000-0006-0000-0A00-00006D000000}">
      <text>
        <r>
          <rPr>
            <sz val="11"/>
            <rFont val="Calibri"/>
          </rPr>
          <t>The Cisco ISE must send an alert to the Information System Security Manager (ISSM) and System Administrator (SA), at a minimum, when security issues are found that put the network at risk. This is required for compliance with C2C Step 2.</t>
        </r>
      </text>
    </comment>
    <comment ref="M324" authorId="0" shapeId="0" xr:uid="{00000000-0006-0000-0A00-00006E000000}">
      <text>
        <r>
          <rPr>
            <sz val="11"/>
            <rFont val="Calibri"/>
          </rPr>
          <t>The Cisco ISE must send an alert to the system administrator, at a minimum, when endpoints fail the policy assessment checks for organization-defined infractions. This is required for compliance with C2C Step 3.</t>
        </r>
      </text>
    </comment>
    <comment ref="N324" authorId="0" shapeId="0" xr:uid="{00000000-0006-0000-0A00-00006F000000}">
      <text>
        <r>
          <rPr>
            <sz val="11"/>
            <rFont val="Calibri"/>
          </rPr>
          <t>The Cisco ISE must generate a critical alert to be sent to the ISSO and SA (at a minimum) in the event of an audit processing failure. This is required for compliance with C2C Step 1.</t>
        </r>
      </text>
    </comment>
    <comment ref="O324" authorId="0" shapeId="0" xr:uid="{00000000-0006-0000-0A00-000070000000}">
      <text>
        <r>
          <rPr>
            <sz val="11"/>
            <rFont val="Calibri"/>
          </rPr>
          <t>The Cisco ISE must generate a critical alert to be sent to the ISSO and SA (at a minimum) if it is unable to communicate with the central event log. This is required for compliance with C2C Step 1.</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5" authorId="0" shapeId="0" xr:uid="{00000000-0006-0000-0B00-000001000000}">
      <text>
        <r>
          <rPr>
            <sz val="11"/>
            <rFont val="Calibri"/>
          </rPr>
          <t>The Cisco ISE must conduct configuration and operational backups when changes are made or must schedule backups weekly, at a minimum.</t>
        </r>
      </text>
    </comment>
    <comment ref="H111" authorId="0" shapeId="0" xr:uid="{00000000-0006-0000-0B00-000002000000}">
      <text>
        <r>
          <rPr>
            <sz val="11"/>
            <rFont val="Calibri"/>
          </rPr>
          <t>The Cisco ISE must use TLS 1.2, at a minimum, to protect the confidentiality of information passed between the endpoint agent and the Cisco ISE. This is This is required for compliance with C2C Step 1.</t>
        </r>
      </text>
    </comment>
    <comment ref="I111" authorId="0" shapeId="0" xr:uid="{00000000-0006-0000-0B00-000008000000}">
      <text>
        <r>
          <rPr>
            <sz val="11"/>
            <rFont val="Calibri"/>
          </rPr>
          <t>Before establishing a connection with a Network Time Protocol (NTP) server, the Cisco ISE must authenticate using a bidirectional, cryptographically based authentication method that uses a FIPS-validated Advanced Encryption Standard (AES) cipher block algorithm to authenticate with the NTP server. This is required for compliance with C2C Step 1.</t>
        </r>
      </text>
    </comment>
    <comment ref="J111" authorId="0" shapeId="0" xr:uid="{00000000-0006-0000-0B00-000003000000}">
      <text>
        <r>
          <rPr>
            <sz val="11"/>
            <rFont val="Calibri"/>
          </rPr>
          <t>Before establishing a local, remote, and/or network connection with any endpoint device, the Cisco ISE must use a bidirectional authentication mechanism configured with a FIPS-validated Advanced Encryption Standard (AES) cipher block algorithm to authenticate with the endpoint device. This is required for compliance with C2C Step 1.</t>
        </r>
      </text>
    </comment>
    <comment ref="K111" authorId="0" shapeId="0" xr:uid="{00000000-0006-0000-0B00-000004000000}">
      <text>
        <r>
          <rPr>
            <sz val="11"/>
            <rFont val="Calibri"/>
          </rPr>
          <t>The Cisco ISE must be configured to authenticate SNMP messages using a FIPS-validated Keyed-Hash Message Authentication Code (HMAC).</t>
        </r>
      </text>
    </comment>
    <comment ref="L111" authorId="0" shapeId="0" xr:uid="{00000000-0006-0000-0B00-000005000000}">
      <text>
        <r>
          <rPr>
            <sz val="11"/>
            <rFont val="Calibri"/>
          </rPr>
          <t>The Cisco ISE must use FIPS-validated Keyed-Hash Message Authentication Code (HMAC) to protect the integrity of nonlocal maintenance and diagnostic communications.</t>
        </r>
      </text>
    </comment>
    <comment ref="M111" authorId="0" shapeId="0" xr:uid="{00000000-0006-0000-0B00-000006000000}">
      <text>
        <r>
          <rPr>
            <sz val="11"/>
            <rFont val="Calibri"/>
          </rPr>
          <t>The Cisco ISE must be configured to implement cryptographic mechanisms using a FIPS 140-2 validated algorithm to protect the confidentiality of remote maintenance sessions.</t>
        </r>
      </text>
    </comment>
    <comment ref="N111" authorId="0" shapeId="0" xr:uid="{00000000-0006-0000-0B00-000007000000}">
      <text>
        <r>
          <rPr>
            <sz val="11"/>
            <rFont val="Calibri"/>
          </rPr>
          <t>The Cisco ISE must generate unique session identifiers using a FIPS 140-2 approved Random Number Generator (RNG) using DRGB.</t>
        </r>
      </text>
    </comment>
    <comment ref="H112" authorId="0" shapeId="0" xr:uid="{00000000-0006-0000-0B00-000009000000}">
      <text>
        <r>
          <rPr>
            <sz val="11"/>
            <rFont val="Calibri"/>
          </rPr>
          <t>The Cisco ISE must use TLS 1.2, at a minimum, to protect the confidentiality of information passed between the endpoint agent and the Cisco ISE. This is This is required for compliance with C2C Step 1.</t>
        </r>
      </text>
    </comment>
    <comment ref="I112" authorId="0" shapeId="0" xr:uid="{00000000-0006-0000-0B00-00000A000000}">
      <text>
        <r>
          <rPr>
            <sz val="11"/>
            <rFont val="Calibri"/>
          </rPr>
          <t>Before establishing a connection with a Network Time Protocol (NTP) server, the Cisco ISE must authenticate using a bidirectional, cryptographically based authentication method that uses a FIPS-validated Advanced Encryption Standard (AES) cipher block algorithm to authenticate with the NTP server. This is required for compliance with C2C Step 1.</t>
        </r>
      </text>
    </comment>
    <comment ref="J112" authorId="0" shapeId="0" xr:uid="{00000000-0006-0000-0B00-00000B000000}">
      <text>
        <r>
          <rPr>
            <sz val="11"/>
            <rFont val="Calibri"/>
          </rPr>
          <t>Before establishing a local, remote, and/or network connection with any endpoint device, the Cisco ISE must use a bidirectional authentication mechanism configured with a FIPS-validated Advanced Encryption Standard (AES) cipher block algorithm to authenticate with the endpoint device. This is required for compliance with C2C Step 1.</t>
        </r>
      </text>
    </comment>
    <comment ref="K112" authorId="0" shapeId="0" xr:uid="{00000000-0006-0000-0B00-00000C000000}">
      <text>
        <r>
          <rPr>
            <sz val="11"/>
            <rFont val="Calibri"/>
          </rPr>
          <t>The Cisco ISE must be configured to authenticate SNMP messages using a FIPS-validated Keyed-Hash Message Authentication Code (HMAC).</t>
        </r>
      </text>
    </comment>
    <comment ref="L112" authorId="0" shapeId="0" xr:uid="{00000000-0006-0000-0B00-00000D000000}">
      <text>
        <r>
          <rPr>
            <sz val="11"/>
            <rFont val="Calibri"/>
          </rPr>
          <t>The Cisco ISE must use FIPS-validated Keyed-Hash Message Authentication Code (HMAC) to protect the integrity of nonlocal maintenance and diagnostic communications.</t>
        </r>
      </text>
    </comment>
    <comment ref="M112" authorId="0" shapeId="0" xr:uid="{00000000-0006-0000-0B00-00000E000000}">
      <text>
        <r>
          <rPr>
            <sz val="11"/>
            <rFont val="Calibri"/>
          </rPr>
          <t>The Cisco ISE must be configured to implement cryptographic mechanisms using a FIPS 140-2 validated algorithm to protect the confidentiality of remote maintenance sessions.</t>
        </r>
      </text>
    </comment>
    <comment ref="N112" authorId="0" shapeId="0" xr:uid="{00000000-0006-0000-0B00-00000F000000}">
      <text>
        <r>
          <rPr>
            <sz val="11"/>
            <rFont val="Calibri"/>
          </rPr>
          <t>The Cisco ISE must generate unique session identifiers using a FIPS 140-2 approved Random Number Generator (RNG) using DRGB.</t>
        </r>
      </text>
    </comment>
    <comment ref="H114" authorId="0" shapeId="0" xr:uid="{00000000-0006-0000-0B00-000010000000}">
      <text>
        <r>
          <rPr>
            <sz val="11"/>
            <rFont val="Calibri"/>
          </rPr>
          <t>The Cisco ISE must use DoD-approved PKI rather than proprietary or self-signed device certificates.</t>
        </r>
      </text>
    </comment>
    <comment ref="H123" authorId="0" shapeId="0" xr:uid="{00000000-0006-0000-0B00-000011000000}">
      <text>
        <r>
          <rPr>
            <sz val="11"/>
            <rFont val="Calibri"/>
          </rPr>
          <t>The Cisco ISE must send an alert to the Information System Security Manager (ISSM) and System Administrator (SA), at a minimum, when security issues are found that put the network at risk. This is required for compliance with C2C Step 2.</t>
        </r>
      </text>
    </comment>
    <comment ref="I123" authorId="0" shapeId="0" xr:uid="{00000000-0006-0000-0B00-000012000000}">
      <text>
        <r>
          <rPr>
            <sz val="11"/>
            <rFont val="Calibri"/>
          </rPr>
          <t>The Cisco ISE must send an alert to the system administrator, at a minimum, when endpoints fail the policy assessment checks for organization-defined infractions. This is required for compliance with C2C Step 3.</t>
        </r>
      </text>
    </comment>
    <comment ref="J123" authorId="0" shapeId="0" xr:uid="{00000000-0006-0000-0B00-000013000000}">
      <text>
        <r>
          <rPr>
            <sz val="11"/>
            <rFont val="Calibri"/>
          </rPr>
          <t>The Cisco ISE must generate a critical alert to be sent to the ISSO and SA (at a minimum) in the event of an audit processing failure. This is required for compliance with C2C Step 1.</t>
        </r>
      </text>
    </comment>
    <comment ref="K123" authorId="0" shapeId="0" xr:uid="{00000000-0006-0000-0B00-000014000000}">
      <text>
        <r>
          <rPr>
            <sz val="11"/>
            <rFont val="Calibri"/>
          </rPr>
          <t>The Cisco ISE must generate a critical alert to be sent to the ISSO and SA (at a minimum) if it is unable to communicate with the central event log. This is required for compliance with C2C Step 1.</t>
        </r>
      </text>
    </comment>
    <comment ref="H226" authorId="0" shapeId="0" xr:uid="{00000000-0006-0000-0B00-000015000000}">
      <text>
        <r>
          <rPr>
            <sz val="11"/>
            <rFont val="Calibri"/>
          </rPr>
          <t>The Cisco ISE must verify the checksum value of any software download, including install files (ISO or OVA), patch files, and upgrade bundles.</t>
        </r>
      </text>
    </comment>
    <comment ref="H238" authorId="0" shapeId="0" xr:uid="{00000000-0006-0000-0B00-000016000000}">
      <text>
        <r>
          <rPr>
            <sz val="11"/>
            <rFont val="Calibri"/>
          </rPr>
          <t>The Cisco ISE must enforce access restrictions associated with changes to the firmware, OS, and hardware components.</t>
        </r>
      </text>
    </comment>
    <comment ref="I238" authorId="0" shapeId="0" xr:uid="{00000000-0006-0000-0B00-000017000000}">
      <text>
        <r>
          <rPr>
            <sz val="11"/>
            <rFont val="Calibri"/>
          </rPr>
          <t>The Cisco ISE must be running an operating system release that is currently supported by the vendor.</t>
        </r>
      </text>
    </comment>
    <comment ref="H240" authorId="0" shapeId="0" xr:uid="{00000000-0006-0000-0B00-000018000000}">
      <text>
        <r>
          <rPr>
            <sz val="11"/>
            <rFont val="Calibri"/>
          </rPr>
          <t>The Cisco ISE must be configured to prohibit the use of all unnecessary and/or nonsecure functions, ports, protocols, and/or services.</t>
        </r>
      </text>
    </comment>
    <comment ref="H241" authorId="0" shapeId="0" xr:uid="{00000000-0006-0000-0B00-000019000000}">
      <text>
        <r>
          <rPr>
            <sz val="11"/>
            <rFont val="Calibri"/>
          </rPr>
          <t>The Cisco ISE must be configured to prohibit the use of all unnecessary and/or nonsecure functions, ports, protocols, and/or services.</t>
        </r>
      </text>
    </comment>
    <comment ref="H244" authorId="0" shapeId="0" xr:uid="{00000000-0006-0000-0B00-00001A000000}">
      <text>
        <r>
          <rPr>
            <sz val="11"/>
            <rFont val="Calibri"/>
          </rPr>
          <t>The Cisco ISE must be configured to disable Wireless Setup for production systems.</t>
        </r>
      </text>
    </comment>
    <comment ref="H276" authorId="0" shapeId="0" xr:uid="{00000000-0006-0000-0B00-00001B000000}">
      <text>
        <r>
          <rPr>
            <sz val="11"/>
            <rFont val="Calibri"/>
          </rPr>
          <t>The Cisco ISE must be configured to profile endpoints connecting to the network. This is required for compliance with C2C Step 4.</t>
        </r>
      </text>
    </comment>
    <comment ref="I276" authorId="0" shapeId="0" xr:uid="{00000000-0006-0000-0B00-00001C000000}">
      <text>
        <r>
          <rPr>
            <sz val="11"/>
            <rFont val="Calibri"/>
          </rPr>
          <t>The Cisco ISE must verify host-based firewall software is running on posture required clients defined in the NAC System Security Plan (SSP) prior to granting trusted network access. This is required for compliance with C2C Step 4.</t>
        </r>
      </text>
    </comment>
    <comment ref="J276" authorId="0" shapeId="0" xr:uid="{00000000-0006-0000-0B00-00001D000000}">
      <text>
        <r>
          <rPr>
            <sz val="11"/>
            <rFont val="Calibri"/>
          </rPr>
          <t>The Cisco ISE must verify anti-malware software is installed and up to date on posture required clients defined in the NAC System Security Plan (SSP) prior to granting trusted network access. This is required for compliance with C2C Step 4.</t>
        </r>
      </text>
    </comment>
    <comment ref="K276" authorId="0" shapeId="0" xr:uid="{00000000-0006-0000-0B00-00001E000000}">
      <text>
        <r>
          <rPr>
            <sz val="11"/>
            <rFont val="Calibri"/>
          </rPr>
          <t>The Cisco ISE must verify host-based IDS/IPS software is authorized and running on posture required clients defined in the NAC System Security Plan (SSP) prior to granting trusted network access. This is required for compliance with C2C Step 4.</t>
        </r>
      </text>
    </comment>
    <comment ref="L276" authorId="0" shapeId="0" xr:uid="{00000000-0006-0000-0B00-00001F000000}">
      <text>
        <r>
          <rPr>
            <sz val="11"/>
            <rFont val="Calibri"/>
          </rPr>
          <t>The Cisco ISE must deny or restrict access for endpoints that fail required posture checks. This is required for compliance with C2C Step 4.</t>
        </r>
      </text>
    </comment>
    <comment ref="M276" authorId="0" shapeId="0" xr:uid="{00000000-0006-0000-0B00-000020000000}">
      <text>
        <r>
          <rPr>
            <sz val="11"/>
            <rFont val="Calibri"/>
          </rPr>
          <t>The Cisco ISE must enforce posture status assessment for posture required clients defined in the NAC System Security Plan (SSP). This is required for compliance with C2C Step 3.</t>
        </r>
      </text>
    </comment>
    <comment ref="N276" authorId="0" shapeId="0" xr:uid="{00000000-0006-0000-0B00-000021000000}">
      <text>
        <r>
          <rPr>
            <sz val="11"/>
            <rFont val="Calibri"/>
          </rPr>
          <t>The Cisco ISE must have a posture policy for posture required clients defined in the NAC System Security Plan (SSP). This is required for compliance with C2C Step 2.</t>
        </r>
      </text>
    </comment>
    <comment ref="H279" authorId="0" shapeId="0" xr:uid="{00000000-0006-0000-0B00-000022000000}">
      <text>
        <r>
          <rPr>
            <sz val="11"/>
            <rFont val="Calibri"/>
          </rPr>
          <t>The Cisco ISE must verify host-based firewall software is running on posture required clients defined in the NAC System Security Plan (SSP) prior to granting trusted network access. This is required for compliance with C2C Step 4.</t>
        </r>
      </text>
    </comment>
    <comment ref="I279" authorId="0" shapeId="0" xr:uid="{00000000-0006-0000-0B00-000023000000}">
      <text>
        <r>
          <rPr>
            <sz val="11"/>
            <rFont val="Calibri"/>
          </rPr>
          <t>The Cisco ISE must verify anti-malware software is installed and up to date on posture required clients defined in the NAC System Security Plan (SSP) prior to granting trusted network access. This is required for compliance with C2C Step 4.</t>
        </r>
      </text>
    </comment>
    <comment ref="J279" authorId="0" shapeId="0" xr:uid="{00000000-0006-0000-0B00-000024000000}">
      <text>
        <r>
          <rPr>
            <sz val="11"/>
            <rFont val="Calibri"/>
          </rPr>
          <t>The Cisco ISE must verify host-based IDS/IPS software is authorized and running on posture required clients defined in the NAC System Security Plan (SSP) prior to granting trusted network access. This is required for compliance with C2C Step 4.</t>
        </r>
      </text>
    </comment>
    <comment ref="H280" authorId="0" shapeId="0" xr:uid="{00000000-0006-0000-0B00-000025000000}">
      <text>
        <r>
          <rPr>
            <sz val="11"/>
            <rFont val="Calibri"/>
          </rPr>
          <t>The Cisco ISE must be configured to notify the user before proceeding with remediation of the user</t>
        </r>
        <r>
          <rPr>
            <sz val="11"/>
            <color rgb="FF000000"/>
            <rFont val="Calibri"/>
          </rPr>
          <t>'</t>
        </r>
        <r>
          <rPr>
            <sz val="11"/>
            <color rgb="FF000000"/>
            <rFont val="Calibri"/>
          </rPr>
          <t>s endpoint device when automated remediation is used. This is required for compliance with C2C Step 3.</t>
        </r>
      </text>
    </comment>
    <comment ref="I280" authorId="0" shapeId="0" xr:uid="{00000000-0006-0000-0B00-000026000000}">
      <text>
        <r>
          <rPr>
            <sz val="11"/>
            <rFont val="Calibri"/>
          </rPr>
          <t>The Cisco ISE must perform continuous detection and tracking of endpoint devices attached to the network. This is required for compliance with C2C Step 1.</t>
        </r>
      </text>
    </comment>
    <comment ref="H281" authorId="0" shapeId="0" xr:uid="{00000000-0006-0000-0B00-000027000000}">
      <text>
        <r>
          <rPr>
            <sz val="11"/>
            <rFont val="Calibri"/>
          </rPr>
          <t>The Cisco ISE must be configured to profile endpoints connecting to the network. This is required for compliance with C2C Step 4.</t>
        </r>
      </text>
    </comment>
    <comment ref="I281" authorId="0" shapeId="0" xr:uid="{00000000-0006-0000-0B00-000028000000}">
      <text>
        <r>
          <rPr>
            <sz val="11"/>
            <rFont val="Calibri"/>
          </rPr>
          <t>The Cisco ISE must deny or restrict access for endpoints that fail required posture checks. This is required for compliance with C2C Step 4.</t>
        </r>
      </text>
    </comment>
    <comment ref="J281" authorId="0" shapeId="0" xr:uid="{00000000-0006-0000-0B00-000029000000}">
      <text>
        <r>
          <rPr>
            <sz val="11"/>
            <rFont val="Calibri"/>
          </rPr>
          <t>The Cisco ISE must enforce posture status assessment for posture required clients defined in the NAC System Security Plan (SSP). This is required for compliance with C2C Step 3.</t>
        </r>
      </text>
    </comment>
    <comment ref="K281" authorId="0" shapeId="0" xr:uid="{00000000-0006-0000-0B00-00002A000000}">
      <text>
        <r>
          <rPr>
            <sz val="11"/>
            <rFont val="Calibri"/>
          </rPr>
          <t>The Cisco ISE must have a posture policy for posture required clients defined in the NAC System Security Plan (SSP). This is required for compliance with C2C Step 2.</t>
        </r>
      </text>
    </comment>
    <comment ref="H304" authorId="0" shapeId="0" xr:uid="{00000000-0006-0000-0B00-00002B000000}">
      <text>
        <r>
          <rPr>
            <sz val="11"/>
            <rFont val="Calibri"/>
          </rPr>
          <t>The Cisco ISE must prevent non-privileged users from executing privileged functions to include disabling, circumventing, or altering implemented security safeguards/countermeasures.</t>
        </r>
      </text>
    </comment>
    <comment ref="I304" authorId="0" shapeId="0" xr:uid="{00000000-0006-0000-0B00-00002C000000}">
      <text>
        <r>
          <rPr>
            <sz val="11"/>
            <rFont val="Calibri"/>
          </rPr>
          <t>The Cisco ISE must audit the execution of privileged functions.</t>
        </r>
      </text>
    </comment>
    <comment ref="H305" authorId="0" shapeId="0" xr:uid="{00000000-0006-0000-0B00-00002D000000}">
      <text>
        <r>
          <rPr>
            <sz val="11"/>
            <rFont val="Calibri"/>
          </rPr>
          <t>The Cisco ISE must be configured with only one local web-based account to be used as the account of last resort in the event the authentication server is unavailable.</t>
        </r>
      </text>
    </comment>
    <comment ref="I305" authorId="0" shapeId="0" xr:uid="{00000000-0006-0000-0B00-00002E000000}">
      <text>
        <r>
          <rPr>
            <sz val="11"/>
            <rFont val="Calibri"/>
          </rPr>
          <t>The Cisco ISE must prevent non-privileged users from executing privileged functions to include disabling, circumventing, or altering implemented security safeguards/countermeasures.</t>
        </r>
      </text>
    </comment>
    <comment ref="J305" authorId="0" shapeId="0" xr:uid="{00000000-0006-0000-0B00-00002F000000}">
      <text>
        <r>
          <rPr>
            <sz val="11"/>
            <rFont val="Calibri"/>
          </rPr>
          <t>The Cisco ISE must audit the execution of privileged functions.</t>
        </r>
      </text>
    </comment>
    <comment ref="K305" authorId="0" shapeId="0" xr:uid="{00000000-0006-0000-0B00-000030000000}">
      <text>
        <r>
          <rPr>
            <sz val="11"/>
            <rFont val="Calibri"/>
          </rPr>
          <t>For the local account of last resort, the Cisco ISE must display the Standard Mandatory DoD Notice and Consent Banner before granting access to the device.</t>
        </r>
      </text>
    </comment>
    <comment ref="H307" authorId="0" shapeId="0" xr:uid="{00000000-0006-0000-0B00-000031000000}">
      <text>
        <r>
          <rPr>
            <sz val="11"/>
            <rFont val="Calibri"/>
          </rPr>
          <t>The Cisco ISE must generate audit records when successful attempts to access privileges occur.</t>
        </r>
      </text>
    </comment>
    <comment ref="I307" authorId="0" shapeId="0" xr:uid="{00000000-0006-0000-0B00-000032000000}">
      <text>
        <r>
          <rPr>
            <sz val="11"/>
            <rFont val="Calibri"/>
          </rPr>
          <t>The Cisco ISE must generate audit records when successful attempts to modify administrator privileges occur.</t>
        </r>
      </text>
    </comment>
    <comment ref="J307" authorId="0" shapeId="0" xr:uid="{00000000-0006-0000-0B00-000033000000}">
      <text>
        <r>
          <rPr>
            <sz val="11"/>
            <rFont val="Calibri"/>
          </rPr>
          <t>The Cisco ISE must generate audit records when successful attempts to delete administrator privileges occur.</t>
        </r>
      </text>
    </comment>
    <comment ref="K307" authorId="0" shapeId="0" xr:uid="{00000000-0006-0000-0B00-000034000000}">
      <text>
        <r>
          <rPr>
            <sz val="11"/>
            <rFont val="Calibri"/>
          </rPr>
          <t>The Cisco ISE must generate audit records for privileged activities or other system-level access.</t>
        </r>
      </text>
    </comment>
    <comment ref="H343" authorId="0" shapeId="0" xr:uid="{00000000-0006-0000-0B00-000035000000}">
      <text>
        <r>
          <rPr>
            <sz val="11"/>
            <rFont val="Calibri"/>
          </rPr>
          <t>The Cisco ISE must be configured to notify the user before proceeding with remediation of the user</t>
        </r>
        <r>
          <rPr>
            <sz val="11"/>
            <color rgb="FF000000"/>
            <rFont val="Calibri"/>
          </rPr>
          <t>'</t>
        </r>
        <r>
          <rPr>
            <sz val="11"/>
            <color rgb="FF000000"/>
            <rFont val="Calibri"/>
          </rPr>
          <t>s endpoint device when automated remediation is used. This is required for compliance with C2C Step 3.</t>
        </r>
      </text>
    </comment>
    <comment ref="I343" authorId="0" shapeId="0" xr:uid="{00000000-0006-0000-0B00-000036000000}">
      <text>
        <r>
          <rPr>
            <sz val="11"/>
            <rFont val="Calibri"/>
          </rPr>
          <t>The Cisco ISE must perform continuous detection and tracking of endpoint devices attached to the network. This is required for compliance with C2C Step 1.</t>
        </r>
      </text>
    </comment>
    <comment ref="H355" authorId="0" shapeId="0" xr:uid="{00000000-0006-0000-0B00-000037000000}">
      <text>
        <r>
          <rPr>
            <sz val="11"/>
            <rFont val="Calibri"/>
          </rPr>
          <t>The Cisco ISE must generate a log record when an endpoint fails authentication. This is This is required for compliance with C2C Step 1.</t>
        </r>
      </text>
    </comment>
    <comment ref="I355" authorId="0" shapeId="0" xr:uid="{00000000-0006-0000-0B00-00004A000000}">
      <text>
        <r>
          <rPr>
            <sz val="11"/>
            <rFont val="Calibri"/>
          </rPr>
          <t>The Cisco ISE must generate a log record when the client machine fails posture assessment because required security software is missing or has been deleted. This is This is required for compliance with C2C Step 1.</t>
        </r>
      </text>
    </comment>
    <comment ref="J355" authorId="0" shapeId="0" xr:uid="{00000000-0006-0000-0B00-00004B000000}">
      <text>
        <r>
          <rPr>
            <sz val="11"/>
            <rFont val="Calibri"/>
          </rPr>
          <t>The Cisco ISE must provide an alert to, at a minimum, the SA and ISSO of all audit failure events where the detection and/or prevention function is unable to write events to either local storage or the centralized server. This is required for compliance with C2C Step 1.</t>
        </r>
      </text>
    </comment>
    <comment ref="K355" authorId="0" shapeId="0" xr:uid="{00000000-0006-0000-0B00-00004C000000}">
      <text>
        <r>
          <rPr>
            <sz val="11"/>
            <rFont val="Calibri"/>
          </rPr>
          <t>The Cisco ISE must be configured with a secondary log server in case the primary log is unreachable. This is required for compliance with C2C Step 1.</t>
        </r>
      </text>
    </comment>
    <comment ref="L355" authorId="0" shapeId="0" xr:uid="{00000000-0006-0000-0B00-00004D000000}">
      <text>
        <r>
          <rPr>
            <sz val="11"/>
            <rFont val="Calibri"/>
          </rPr>
          <t>The Cisco ISE must continue to queue traffic log records locally when communication with the central log server is lost and there is an audit archival failure. This is required for compliance with C2C Step 1.</t>
        </r>
      </text>
    </comment>
    <comment ref="M355" authorId="0" shapeId="0" xr:uid="{00000000-0006-0000-0B00-00004E000000}">
      <text>
        <r>
          <rPr>
            <sz val="11"/>
            <rFont val="Calibri"/>
          </rPr>
          <t>For the local web-based account of last resort, the Cisco ISE must automatically audit account creation.</t>
        </r>
      </text>
    </comment>
    <comment ref="N355" authorId="0" shapeId="0" xr:uid="{00000000-0006-0000-0B00-00004F000000}">
      <text>
        <r>
          <rPr>
            <sz val="11"/>
            <rFont val="Calibri"/>
          </rPr>
          <t>For the local web-based account of last resort and the default local CLI account, the Cisco ISE must automatically audit account modification.</t>
        </r>
      </text>
    </comment>
    <comment ref="O355" authorId="0" shapeId="0" xr:uid="{00000000-0006-0000-0B00-000038000000}">
      <text>
        <r>
          <rPr>
            <sz val="11"/>
            <rFont val="Calibri"/>
          </rPr>
          <t>For the local web-based account of last resort, the Cisco ISE must automatically audit account disabling actions.</t>
        </r>
      </text>
    </comment>
    <comment ref="P355" authorId="0" shapeId="0" xr:uid="{00000000-0006-0000-0B00-000039000000}">
      <text>
        <r>
          <rPr>
            <sz val="11"/>
            <rFont val="Calibri"/>
          </rPr>
          <t>For the local account of last resort, the Cisco ISE must automatically audit account removal actions.</t>
        </r>
      </text>
    </comment>
    <comment ref="Q355" authorId="0" shapeId="0" xr:uid="{00000000-0006-0000-0B00-00003A000000}">
      <text>
        <r>
          <rPr>
            <sz val="11"/>
            <rFont val="Calibri"/>
          </rPr>
          <t>The Cisco ISE must automatically audit account enabling actions.</t>
        </r>
      </text>
    </comment>
    <comment ref="R355" authorId="0" shapeId="0" xr:uid="{00000000-0006-0000-0B00-00003B000000}">
      <text>
        <r>
          <rPr>
            <sz val="11"/>
            <rFont val="Calibri"/>
          </rPr>
          <t>The Cisco ISE must prevent non-privileged users from executing privileged functions to include disabling, circumventing, or altering implemented security safeguards/countermeasures.</t>
        </r>
      </text>
    </comment>
    <comment ref="S355" authorId="0" shapeId="0" xr:uid="{00000000-0006-0000-0B00-00003C000000}">
      <text>
        <r>
          <rPr>
            <sz val="11"/>
            <rFont val="Calibri"/>
          </rPr>
          <t>The Cisco ISE must audit the execution of privileged functions.</t>
        </r>
      </text>
    </comment>
    <comment ref="T355" authorId="0" shapeId="0" xr:uid="{00000000-0006-0000-0B00-00003D000000}">
      <text>
        <r>
          <rPr>
            <sz val="11"/>
            <rFont val="Calibri"/>
          </rPr>
          <t>The Cisco ISE must generate audit records when successful attempts to access privileges occur.</t>
        </r>
      </text>
    </comment>
    <comment ref="U355" authorId="0" shapeId="0" xr:uid="{00000000-0006-0000-0B00-00003E000000}">
      <text>
        <r>
          <rPr>
            <sz val="11"/>
            <rFont val="Calibri"/>
          </rPr>
          <t>The Cisco ISE must generate audit records when successful attempts to modify administrator privileges occur.</t>
        </r>
      </text>
    </comment>
    <comment ref="V355" authorId="0" shapeId="0" xr:uid="{00000000-0006-0000-0B00-00003F000000}">
      <text>
        <r>
          <rPr>
            <sz val="11"/>
            <rFont val="Calibri"/>
          </rPr>
          <t>The Cisco ISE must generate audit records when successful attempts to delete administrator privileges occur.</t>
        </r>
      </text>
    </comment>
    <comment ref="W355" authorId="0" shapeId="0" xr:uid="{00000000-0006-0000-0B00-000040000000}">
      <text>
        <r>
          <rPr>
            <sz val="11"/>
            <rFont val="Calibri"/>
          </rPr>
          <t>The Cisco ISE must generate audit records when successful logon attempts occur.</t>
        </r>
      </text>
    </comment>
    <comment ref="X355" authorId="0" shapeId="0" xr:uid="{00000000-0006-0000-0B00-000041000000}">
      <text>
        <r>
          <rPr>
            <sz val="11"/>
            <rFont val="Calibri"/>
          </rPr>
          <t>The Cisco ISE must generate audit records for privileged activities or other system-level access.</t>
        </r>
      </text>
    </comment>
    <comment ref="Y355" authorId="0" shapeId="0" xr:uid="{00000000-0006-0000-0B00-000042000000}">
      <text>
        <r>
          <rPr>
            <sz val="11"/>
            <rFont val="Calibri"/>
          </rPr>
          <t>The Cisco ISE must generate audit records when concurrent logons from different workstations occur.</t>
        </r>
      </text>
    </comment>
    <comment ref="Z355" authorId="0" shapeId="0" xr:uid="{00000000-0006-0000-0B00-000043000000}">
      <text>
        <r>
          <rPr>
            <sz val="11"/>
            <rFont val="Calibri"/>
          </rPr>
          <t>The Cisco ISE must limit audit record storage capacity for all locally stored logs.</t>
        </r>
      </text>
    </comment>
    <comment ref="AA355" authorId="0" shapeId="0" xr:uid="{00000000-0006-0000-0B00-000044000000}">
      <text>
        <r>
          <rPr>
            <sz val="11"/>
            <rFont val="Calibri"/>
          </rPr>
          <t>The Cisco ISE must configure a remote syslog where audit records are stored on a centralized logging target that is different from the system being audited.</t>
        </r>
      </text>
    </comment>
    <comment ref="AB355" authorId="0" shapeId="0" xr:uid="{00000000-0006-0000-0B00-000045000000}">
      <text>
        <r>
          <rPr>
            <sz val="11"/>
            <rFont val="Calibri"/>
          </rPr>
          <t>The Cisco ISE must record time stamps for audit records that can be mapped to Coordinated Universal Time (UTC).</t>
        </r>
      </text>
    </comment>
    <comment ref="AC355" authorId="0" shapeId="0" xr:uid="{00000000-0006-0000-0B00-000046000000}">
      <text>
        <r>
          <rPr>
            <sz val="11"/>
            <rFont val="Calibri"/>
          </rPr>
          <t>The Cisco ISE must generate log records for a locally developed list of auditable events.</t>
        </r>
      </text>
    </comment>
    <comment ref="AD355" authorId="0" shapeId="0" xr:uid="{00000000-0006-0000-0B00-000047000000}">
      <text>
        <r>
          <rPr>
            <sz val="11"/>
            <rFont val="Calibri"/>
          </rPr>
          <t>The Cisco ISE must be configured to send log data to at least two central log servers for the purpose of forwarding alerts to the administrators and the information system security officer (ISSO).</t>
        </r>
      </text>
    </comment>
    <comment ref="AE355" authorId="0" shapeId="0" xr:uid="{00000000-0006-0000-0B00-000048000000}">
      <text>
        <r>
          <rPr>
            <sz val="11"/>
            <rFont val="Calibri"/>
          </rPr>
          <t>The Cisco ISE must initiate session auditing upon startup.</t>
        </r>
      </text>
    </comment>
    <comment ref="AF355" authorId="0" shapeId="0" xr:uid="{00000000-0006-0000-0B00-000049000000}">
      <text>
        <r>
          <rPr>
            <sz val="11"/>
            <rFont val="Calibri"/>
          </rPr>
          <t>The Cisco ISE must generate audit records containing the full-text recording of privileged commands.</t>
        </r>
      </text>
    </comment>
    <comment ref="H356" authorId="0" shapeId="0" xr:uid="{00000000-0006-0000-0B00-000050000000}">
      <text>
        <r>
          <rPr>
            <sz val="11"/>
            <rFont val="Calibri"/>
          </rPr>
          <t>The Cisco ISE must generate a log record when an endpoint fails authentication. This is This is required for compliance with C2C Step 1.</t>
        </r>
      </text>
    </comment>
    <comment ref="I356" authorId="0" shapeId="0" xr:uid="{00000000-0006-0000-0B00-000051000000}">
      <text>
        <r>
          <rPr>
            <sz val="11"/>
            <rFont val="Calibri"/>
          </rPr>
          <t>The Cisco ISE must generate a log record when the client machine fails posture assessment because required security software is missing or has been deleted. This is This is required for compliance with C2C Step 1.</t>
        </r>
      </text>
    </comment>
    <comment ref="J356" authorId="0" shapeId="0" xr:uid="{00000000-0006-0000-0B00-000052000000}">
      <text>
        <r>
          <rPr>
            <sz val="11"/>
            <rFont val="Calibri"/>
          </rPr>
          <t>The Cisco ISE must continue to queue traffic log records locally when communication with the central log server is lost and there is an audit archival failure. This is required for compliance with C2C Step 1.</t>
        </r>
      </text>
    </comment>
    <comment ref="K356" authorId="0" shapeId="0" xr:uid="{00000000-0006-0000-0B00-000053000000}">
      <text>
        <r>
          <rPr>
            <sz val="11"/>
            <rFont val="Calibri"/>
          </rPr>
          <t>The Cisco ISE must protect against an individual (or process acting on behalf of an individual) falsely denying having performed organization-defined actions to be covered by non-repudiation.</t>
        </r>
      </text>
    </comment>
    <comment ref="L356" authorId="0" shapeId="0" xr:uid="{00000000-0006-0000-0B00-000054000000}">
      <text>
        <r>
          <rPr>
            <sz val="11"/>
            <rFont val="Calibri"/>
          </rPr>
          <t>The Cisco ISE must generate audit records when concurrent logons from different workstations occur.</t>
        </r>
      </text>
    </comment>
    <comment ref="M356" authorId="0" shapeId="0" xr:uid="{00000000-0006-0000-0B00-000055000000}">
      <text>
        <r>
          <rPr>
            <sz val="11"/>
            <rFont val="Calibri"/>
          </rPr>
          <t>The Cisco ISE must limit audit record storage capacity for all locally stored logs.</t>
        </r>
      </text>
    </comment>
    <comment ref="N356" authorId="0" shapeId="0" xr:uid="{00000000-0006-0000-0B00-000056000000}">
      <text>
        <r>
          <rPr>
            <sz val="11"/>
            <rFont val="Calibri"/>
          </rPr>
          <t>The Cisco ISE must configure a remote syslog where audit records are stored on a centralized logging target that is different from the system being audited.</t>
        </r>
      </text>
    </comment>
    <comment ref="O356" authorId="0" shapeId="0" xr:uid="{00000000-0006-0000-0B00-000057000000}">
      <text>
        <r>
          <rPr>
            <sz val="11"/>
            <rFont val="Calibri"/>
          </rPr>
          <t>The Cisco ISE must generate log records for a locally developed list of auditable events.</t>
        </r>
      </text>
    </comment>
    <comment ref="P356" authorId="0" shapeId="0" xr:uid="{00000000-0006-0000-0B00-000058000000}">
      <text>
        <r>
          <rPr>
            <sz val="11"/>
            <rFont val="Calibri"/>
          </rPr>
          <t>The Cisco ISE must generate audit records containing the full-text recording of privileged commands.</t>
        </r>
      </text>
    </comment>
    <comment ref="H357" authorId="0" shapeId="0" xr:uid="{00000000-0006-0000-0B00-000059000000}">
      <text>
        <r>
          <rPr>
            <sz val="11"/>
            <rFont val="Calibri"/>
          </rPr>
          <t>The Cisco ISE must provide an alert to, at a minimum, the SA and ISSO of all audit failure events where the detection and/or prevention function is unable to write events to either local storage or the centralized server. This is required for compliance with C2C Step 1.</t>
        </r>
      </text>
    </comment>
    <comment ref="I357" authorId="0" shapeId="0" xr:uid="{00000000-0006-0000-0B00-00005A000000}">
      <text>
        <r>
          <rPr>
            <sz val="11"/>
            <rFont val="Calibri"/>
          </rPr>
          <t>The Cisco ISE must be configured with a secondary log server in case the primary log is unreachable. This is required for compliance with C2C Step 1.</t>
        </r>
      </text>
    </comment>
    <comment ref="J357" authorId="0" shapeId="0" xr:uid="{00000000-0006-0000-0B00-00005B000000}">
      <text>
        <r>
          <rPr>
            <sz val="11"/>
            <rFont val="Calibri"/>
          </rPr>
          <t>The Cisco ISE must be configured to send log data to at least two central log servers for the purpose of forwarding alerts to the administrators and the information system security officer (ISSO).</t>
        </r>
      </text>
    </comment>
    <comment ref="H359" authorId="0" shapeId="0" xr:uid="{00000000-0006-0000-0B00-00005C000000}">
      <text>
        <r>
          <rPr>
            <sz val="11"/>
            <rFont val="Calibri"/>
          </rPr>
          <t>The Cisco ISE must be configured to synchronize internal information system clocks using redundant authoritative time sources.</t>
        </r>
      </text>
    </comment>
    <comment ref="I359" authorId="0" shapeId="0" xr:uid="{00000000-0006-0000-0B00-00005D000000}">
      <text>
        <r>
          <rPr>
            <sz val="11"/>
            <rFont val="Calibri"/>
          </rPr>
          <t>The Cisco ISE must record time stamps for audit records that can be mapped to Coordinated Universal Time (UTC).</t>
        </r>
      </text>
    </comment>
    <comment ref="J359" authorId="0" shapeId="0" xr:uid="{00000000-0006-0000-0B00-00005E000000}">
      <text>
        <r>
          <rPr>
            <sz val="11"/>
            <rFont val="Calibri"/>
          </rPr>
          <t>The Cisco ISE must authenticate Network Time Protocol (NTP) sources using authentication that is cryptographically based.</t>
        </r>
      </text>
    </comment>
    <comment ref="H361" authorId="0" shapeId="0" xr:uid="{00000000-0006-0000-0B00-00005F000000}">
      <text>
        <r>
          <rPr>
            <sz val="11"/>
            <rFont val="Calibri"/>
          </rPr>
          <t>The Cisco ISE must send an alert to the Information System Security Manager (ISSM) and System Administrator (SA), at a minimum, when security issues are found that put the network at risk. This is required for compliance with C2C Step 2.</t>
        </r>
      </text>
    </comment>
    <comment ref="I361" authorId="0" shapeId="0" xr:uid="{00000000-0006-0000-0B00-000060000000}">
      <text>
        <r>
          <rPr>
            <sz val="11"/>
            <rFont val="Calibri"/>
          </rPr>
          <t>The Cisco ISE must send an alert to the system administrator, at a minimum, when endpoints fail the policy assessment checks for organization-defined infractions. This is required for compliance with C2C Step 3.</t>
        </r>
      </text>
    </comment>
    <comment ref="J361" authorId="0" shapeId="0" xr:uid="{00000000-0006-0000-0B00-000061000000}">
      <text>
        <r>
          <rPr>
            <sz val="11"/>
            <rFont val="Calibri"/>
          </rPr>
          <t>The Cisco ISE must generate a critical alert to be sent to the ISSO and SA (at a minimum) in the event of an audit processing failure. This is required for compliance with C2C Step 1.</t>
        </r>
      </text>
    </comment>
    <comment ref="K361" authorId="0" shapeId="0" xr:uid="{00000000-0006-0000-0B00-000062000000}">
      <text>
        <r>
          <rPr>
            <sz val="11"/>
            <rFont val="Calibri"/>
          </rPr>
          <t>The Cisco ISE must generate a critical alert to be sent to the ISSO and SA (at a minimum) if it is unable to communicate with the central event log. This is required for compliance with C2C Step 1.</t>
        </r>
      </text>
    </comment>
    <comment ref="H375" authorId="0" shapeId="0" xr:uid="{00000000-0006-0000-0B00-000063000000}">
      <text>
        <r>
          <rPr>
            <sz val="11"/>
            <rFont val="Calibri"/>
          </rPr>
          <t>The Cisco ISE must be configured to use an external authentication server to authenticate administrators prior to granting administrative access.</t>
        </r>
      </text>
    </comment>
    <comment ref="H376" authorId="0" shapeId="0" xr:uid="{00000000-0006-0000-0B00-000064000000}">
      <text>
        <r>
          <rPr>
            <sz val="11"/>
            <rFont val="Calibri"/>
          </rPr>
          <t>The Cisco ISE must be configured to synchronize internal information system clocks using redundant authoritative time sources.</t>
        </r>
      </text>
    </comment>
    <comment ref="I376" authorId="0" shapeId="0" xr:uid="{00000000-0006-0000-0B00-000065000000}">
      <text>
        <r>
          <rPr>
            <sz val="11"/>
            <rFont val="Calibri"/>
          </rPr>
          <t>The Cisco ISE must authenticate Network Time Protocol (NTP) sources using authentication that is cryptographically based.</t>
        </r>
      </text>
    </comment>
    <comment ref="H379" authorId="0" shapeId="0" xr:uid="{00000000-0006-0000-0B00-000066000000}">
      <text>
        <r>
          <rPr>
            <sz val="11"/>
            <rFont val="Calibri"/>
          </rPr>
          <t>The Cisco ISE must terminate all network connections associated with a device management session at the end of the session, or the session must be terminated after six minutes of inactivity, except to fulfill documented and validated mission requirements.</t>
        </r>
      </text>
    </comment>
    <comment ref="H390" authorId="0" shapeId="0" xr:uid="{00000000-0006-0000-0B00-000067000000}">
      <text>
        <r>
          <rPr>
            <sz val="11"/>
            <rFont val="Calibri"/>
          </rPr>
          <t>The Cisco ISE must place client machines on the blacklist and terminate the agent connection when critical security issues are found that put the network at risk. This is required for compliance with C2C Step 4.</t>
        </r>
      </text>
    </comment>
    <comment ref="H395" authorId="0" shapeId="0" xr:uid="{00000000-0006-0000-0B00-000068000000}">
      <text>
        <r>
          <rPr>
            <sz val="11"/>
            <rFont val="Calibri"/>
          </rPr>
          <t>The Cisco ISE must deny network connection for endpoints that cannot be authenticated using an approved method. This is required for compliance with C2C Step 4.</t>
        </r>
      </text>
    </comment>
    <comment ref="I395" authorId="0" shapeId="0" xr:uid="{00000000-0006-0000-0B00-000069000000}">
      <text>
        <r>
          <rPr>
            <sz val="11"/>
            <rFont val="Calibri"/>
          </rPr>
          <t>The Cisco ISE must authenticate all endpoint devices before establishing a connection and proceeding with posture assessment. This is required for compliance with C2C Step 4.</t>
        </r>
      </text>
    </comment>
    <comment ref="H397" authorId="0" shapeId="0" xr:uid="{00000000-0006-0000-0B00-00006A000000}">
      <text>
        <r>
          <rPr>
            <sz val="11"/>
            <rFont val="Calibri"/>
          </rPr>
          <t>For endpoints that require automated remediation, the Cisco ISE must be configured to redirect endpoints to a logically separate VLAN for remediation services. This is required for compliance with C2C Step 4.</t>
        </r>
      </text>
    </comment>
    <comment ref="H398" authorId="0" shapeId="0" xr:uid="{00000000-0006-0000-0B00-00006B000000}">
      <text>
        <r>
          <rPr>
            <sz val="11"/>
            <rFont val="Calibri"/>
          </rPr>
          <t>For endpoints that require automated remediation, the Cisco ISE must be configured to redirect endpoints to a logically separate VLAN for remediation services. This is required for compliance with C2C Step 4.</t>
        </r>
      </text>
    </comment>
    <comment ref="H401" authorId="0" shapeId="0" xr:uid="{00000000-0006-0000-0B00-00006C000000}">
      <text>
        <r>
          <rPr>
            <sz val="11"/>
            <rFont val="Calibri"/>
          </rPr>
          <t>The Cisco ISE must configure the control plane to protect against or limit the effects of common types of Denial of Service (DoS) attacks on the device itself by configuring applicable system options and internet-options.</t>
        </r>
      </text>
    </comment>
    <comment ref="H402" authorId="0" shapeId="0" xr:uid="{00000000-0006-0000-0B00-00006D000000}">
      <text>
        <r>
          <rPr>
            <sz val="11"/>
            <rFont val="Calibri"/>
          </rPr>
          <t>The Cisco ISE must configure the control plane to protect against or limit the effects of common types of Denial of Service (DoS) attacks on the device itself by configuring applicable system options and internet-options.</t>
        </r>
      </text>
    </comment>
    <comment ref="H411" authorId="0" shapeId="0" xr:uid="{00000000-0006-0000-0B00-00006E000000}">
      <text>
        <r>
          <rPr>
            <sz val="11"/>
            <rFont val="Calibri"/>
          </rPr>
          <t>For the local web-based account of last resort, the Cisco ISE must automatically audit account creation.</t>
        </r>
      </text>
    </comment>
    <comment ref="I411" authorId="0" shapeId="0" xr:uid="{00000000-0006-0000-0B00-00006F000000}">
      <text>
        <r>
          <rPr>
            <sz val="11"/>
            <rFont val="Calibri"/>
          </rPr>
          <t>For the local web-based account of last resort and the default local CLI account, the Cisco ISE must automatically audit account modification.</t>
        </r>
      </text>
    </comment>
    <comment ref="J411" authorId="0" shapeId="0" xr:uid="{00000000-0006-0000-0B00-000070000000}">
      <text>
        <r>
          <rPr>
            <sz val="11"/>
            <rFont val="Calibri"/>
          </rPr>
          <t>For the local web-based account of last resort, the Cisco ISE must automatically audit account disabling actions.</t>
        </r>
      </text>
    </comment>
    <comment ref="K411" authorId="0" shapeId="0" xr:uid="{00000000-0006-0000-0B00-000071000000}">
      <text>
        <r>
          <rPr>
            <sz val="11"/>
            <rFont val="Calibri"/>
          </rPr>
          <t>For the local account of last resort, the Cisco ISE must automatically audit account removal actions.</t>
        </r>
      </text>
    </comment>
    <comment ref="L411" authorId="0" shapeId="0" xr:uid="{00000000-0006-0000-0B00-000072000000}">
      <text>
        <r>
          <rPr>
            <sz val="11"/>
            <rFont val="Calibri"/>
          </rPr>
          <t>The Cisco ISE must automatically audit account enabling actions.</t>
        </r>
      </text>
    </comment>
    <comment ref="M411" authorId="0" shapeId="0" xr:uid="{00000000-0006-0000-0B00-000073000000}">
      <text>
        <r>
          <rPr>
            <sz val="11"/>
            <rFont val="Calibri"/>
          </rPr>
          <t>The Cisco ISE must be configured with only one local web-based account to be used as the account of last resort in the event the authentication server is unavailable.</t>
        </r>
      </text>
    </comment>
    <comment ref="N411" authorId="0" shapeId="0" xr:uid="{00000000-0006-0000-0B00-000074000000}">
      <text>
        <r>
          <rPr>
            <sz val="11"/>
            <rFont val="Calibri"/>
          </rPr>
          <t>For the local account of last resort, the Cisco ISE must display the Standard Mandatory DoD Notice and Consent Banner before granting access to the device.</t>
        </r>
      </text>
    </comment>
    <comment ref="H413" authorId="0" shapeId="0" xr:uid="{00000000-0006-0000-0B00-000075000000}">
      <text>
        <r>
          <rPr>
            <sz val="11"/>
            <rFont val="Calibri"/>
          </rPr>
          <t>The Cisco ISE must deny network connection for endpoints that cannot be authenticated using an approved method. This is required for compliance with C2C Step 4.</t>
        </r>
      </text>
    </comment>
    <comment ref="I413" authorId="0" shapeId="0" xr:uid="{00000000-0006-0000-0B00-000076000000}">
      <text>
        <r>
          <rPr>
            <sz val="11"/>
            <rFont val="Calibri"/>
          </rPr>
          <t>The Cisco ISE must authenticate all endpoint devices before establishing a connection and proceeding with posture assessment. This is required for compliance with C2C Step 4.</t>
        </r>
      </text>
    </comment>
    <comment ref="J413" authorId="0" shapeId="0" xr:uid="{00000000-0006-0000-0B00-000077000000}">
      <text>
        <r>
          <rPr>
            <sz val="11"/>
            <rFont val="Calibri"/>
          </rPr>
          <t>The Cisco ISE must be configured to use an external authentication server to authenticate administrators prior to granting administrative access.</t>
        </r>
      </text>
    </comment>
    <comment ref="H414" authorId="0" shapeId="0" xr:uid="{00000000-0006-0000-0B00-000078000000}">
      <text>
        <r>
          <rPr>
            <sz val="11"/>
            <rFont val="Calibri"/>
          </rPr>
          <t>For accounts using password authentication, the Cisco ISE must implement replay-resistant authentication mechanisms for network access to privileged accounts.</t>
        </r>
      </text>
    </comment>
    <comment ref="H415" authorId="0" shapeId="0" xr:uid="{00000000-0006-0000-0B00-000079000000}">
      <text>
        <r>
          <rPr>
            <sz val="11"/>
            <rFont val="Calibri"/>
          </rPr>
          <t>For accounts using password authentication, the Cisco ISE must implement replay-resistant authentication mechanisms for network access to privileged accounts.</t>
        </r>
      </text>
    </comment>
    <comment ref="H420" authorId="0" shapeId="0" xr:uid="{00000000-0006-0000-0B00-00007A000000}">
      <text>
        <r>
          <rPr>
            <sz val="11"/>
            <rFont val="Calibri"/>
          </rPr>
          <t>The Cisco ISE must be configured to enforce the limit of three consecutive invalid logon attempts, after which time it must lock out the user account from accessing the device for 15 minutes.</t>
        </r>
      </text>
    </comment>
    <comment ref="I420" authorId="0" shapeId="0" xr:uid="{00000000-0006-0000-0B00-00007B000000}">
      <text>
        <r>
          <rPr>
            <sz val="11"/>
            <rFont val="Calibri"/>
          </rPr>
          <t>The Cisco ISE must generate audit records when successful logon attempts occur.</t>
        </r>
      </text>
    </comment>
    <comment ref="H421" authorId="0" shapeId="0" xr:uid="{00000000-0006-0000-0B00-00007C000000}">
      <text>
        <r>
          <rPr>
            <sz val="11"/>
            <rFont val="Calibri"/>
          </rPr>
          <t>For accounts using password authentication, the Cisco ISE must enforce a minimum 15-character password length.</t>
        </r>
      </text>
    </comment>
    <comment ref="I421" authorId="0" shapeId="0" xr:uid="{00000000-0006-0000-0B00-00007D000000}">
      <text>
        <r>
          <rPr>
            <sz val="11"/>
            <rFont val="Calibri"/>
          </rPr>
          <t>For accounts using password authentication, the Cisco ISE must enforce password complexity by requiring that at least one uppercase character be used.</t>
        </r>
      </text>
    </comment>
    <comment ref="J421" authorId="0" shapeId="0" xr:uid="{00000000-0006-0000-0B00-00007E000000}">
      <text>
        <r>
          <rPr>
            <sz val="11"/>
            <rFont val="Calibri"/>
          </rPr>
          <t>For accounts using password authentication, the Cisco ISE must enforce password complexity by requiring that at least one lowercase character be used.</t>
        </r>
      </text>
    </comment>
    <comment ref="K421" authorId="0" shapeId="0" xr:uid="{00000000-0006-0000-0B00-00007F000000}">
      <text>
        <r>
          <rPr>
            <sz val="11"/>
            <rFont val="Calibri"/>
          </rPr>
          <t>For accounts using password authentication, the Cisco ISE must enforce password complexity by requiring that at least one digit be used.</t>
        </r>
      </text>
    </comment>
    <comment ref="L421" authorId="0" shapeId="0" xr:uid="{00000000-0006-0000-0B00-000080000000}">
      <text>
        <r>
          <rPr>
            <sz val="11"/>
            <rFont val="Calibri"/>
          </rPr>
          <t>For accounts using password authentication, the Cisco ISE must enforce password complexity by requiring that at least one special character be used.</t>
        </r>
      </text>
    </comment>
    <comment ref="M421" authorId="0" shapeId="0" xr:uid="{00000000-0006-0000-0B00-000081000000}">
      <text>
        <r>
          <rPr>
            <sz val="11"/>
            <rFont val="Calibri"/>
          </rPr>
          <t>For accounts using password authentication, the Cisco ISE must use FIPS-validated SHA-2 or later protocol to protect the integrity of the password authentication process.</t>
        </r>
      </text>
    </comment>
    <comment ref="N421" authorId="0" shapeId="0" xr:uid="{00000000-0006-0000-0B00-000082000000}">
      <text>
        <r>
          <rPr>
            <sz val="11"/>
            <rFont val="Calibri"/>
          </rPr>
          <t>The Cisco ISE must prohibit the use of cached authenticators after an organization-defined time period.</t>
        </r>
      </text>
    </comment>
    <comment ref="O421" authorId="0" shapeId="0" xr:uid="{00000000-0006-0000-0B00-000083000000}">
      <text>
        <r>
          <rPr>
            <sz val="11"/>
            <rFont val="Calibri"/>
          </rPr>
          <t>The Cisco ISE must use FIPS-validated SHA-2 (or greater) to protect the integrity of hash message authentication code (HMAC), Key Derivation Functions (KDFs), Random Bit Generation, and hash-only applications.</t>
        </r>
      </text>
    </comment>
    <comment ref="H422" authorId="0" shapeId="0" xr:uid="{00000000-0006-0000-0B00-000084000000}">
      <text>
        <r>
          <rPr>
            <sz val="11"/>
            <rFont val="Calibri"/>
          </rPr>
          <t>For accounts using password authentication, the Cisco ISE must enforce a minimum 15-character password length.</t>
        </r>
      </text>
    </comment>
    <comment ref="I422" authorId="0" shapeId="0" xr:uid="{00000000-0006-0000-0B00-000085000000}">
      <text>
        <r>
          <rPr>
            <sz val="11"/>
            <rFont val="Calibri"/>
          </rPr>
          <t>For accounts using password authentication, the Cisco ISE must enforce password complexity by requiring that at least one uppercase character be used.</t>
        </r>
      </text>
    </comment>
    <comment ref="J422" authorId="0" shapeId="0" xr:uid="{00000000-0006-0000-0B00-000086000000}">
      <text>
        <r>
          <rPr>
            <sz val="11"/>
            <rFont val="Calibri"/>
          </rPr>
          <t>For accounts using password authentication, the Cisco ISE must enforce password complexity by requiring that at least one lowercase character be used.</t>
        </r>
      </text>
    </comment>
    <comment ref="K422" authorId="0" shapeId="0" xr:uid="{00000000-0006-0000-0B00-000087000000}">
      <text>
        <r>
          <rPr>
            <sz val="11"/>
            <rFont val="Calibri"/>
          </rPr>
          <t>For accounts using password authentication, the Cisco ISE must enforce password complexity by requiring that at least one digit be used.</t>
        </r>
      </text>
    </comment>
    <comment ref="L422" authorId="0" shapeId="0" xr:uid="{00000000-0006-0000-0B00-000088000000}">
      <text>
        <r>
          <rPr>
            <sz val="11"/>
            <rFont val="Calibri"/>
          </rPr>
          <t>For accounts using password authentication, the Cisco ISE must enforce password complexity by requiring that at least one special character be used.</t>
        </r>
      </text>
    </comment>
  </commentList>
</comments>
</file>

<file path=xl/sharedStrings.xml><?xml version="1.0" encoding="utf-8"?>
<sst xmlns="http://schemas.openxmlformats.org/spreadsheetml/2006/main" count="12532" uniqueCount="6111">
  <si>
    <t>Id</t>
  </si>
  <si>
    <t>Title</t>
  </si>
  <si>
    <t>Severity</t>
  </si>
  <si>
    <t>Component</t>
  </si>
  <si>
    <t>MoSCoW</t>
  </si>
  <si>
    <t>OpsImpact</t>
  </si>
  <si>
    <t>Phase</t>
  </si>
  <si>
    <t>ImplStatus</t>
  </si>
  <si>
    <t>Notes</t>
  </si>
  <si>
    <t>Remediation</t>
  </si>
  <si>
    <t>Description</t>
  </si>
  <si>
    <t>Audit</t>
  </si>
  <si>
    <t>Status</t>
  </si>
  <si>
    <t>LogID</t>
  </si>
  <si>
    <t>V-242575</t>
  </si>
  <si>
    <r>
      <rPr>
        <sz val="11"/>
        <rFont val="Calibri"/>
      </rPr>
      <t>The Cisco ISE must use TLS 1.2, at a minimum, to protect the confidentiality of information passed between the endpoint agent and the Cisco ISE. This is This is required for compliance with C2C Step 1.</t>
    </r>
  </si>
  <si>
    <t>CAT I (High)</t>
  </si>
  <si>
    <t>NAC</t>
  </si>
  <si>
    <t>Unassigned</t>
  </si>
  <si>
    <t>Unassessed</t>
  </si>
  <si>
    <t>Pending</t>
  </si>
  <si>
    <t/>
  </si>
  <si>
    <r>
      <rPr>
        <sz val="11"/>
        <color rgb="FF000000"/>
        <rFont val="Calibri"/>
      </rPr>
      <t xml:space="preserve">Configure ISE so that only TLS 1.2 is enabled: </t>
    </r>
    <r>
      <rPr>
        <sz val="11"/>
        <color rgb="FF000000"/>
        <rFont val="Calibri"/>
      </rPr>
      <t xml:space="preserve">
</t>
    </r>
    <r>
      <rPr>
        <sz val="11"/>
        <color rgb="FF000000"/>
        <rFont val="Calibri"/>
      </rPr>
      <t>From the Web Admin portal:</t>
    </r>
    <r>
      <rPr>
        <sz val="11"/>
        <color rgb="FF000000"/>
        <rFont val="Calibri"/>
      </rPr>
      <t xml:space="preserve">
</t>
    </r>
    <r>
      <rPr>
        <sz val="11"/>
        <color rgb="FF000000"/>
        <rFont val="Calibri"/>
      </rPr>
      <t>1. Navigate to Administration &gt;&gt; System &gt;&gt; Settings &gt;&gt; Security Settings.</t>
    </r>
    <r>
      <rPr>
        <sz val="11"/>
        <color rgb="FF000000"/>
        <rFont val="Calibri"/>
      </rPr>
      <t xml:space="preserve">
</t>
    </r>
    <r>
      <rPr>
        <sz val="11"/>
        <color rgb="FF000000"/>
        <rFont val="Calibri"/>
      </rPr>
      <t>2. Ensure "Allow TLS1.0", "Allow TLS1.1", and "Allow legacy unsafe TLS renegotiation for ISE as a client" are unchecked.</t>
    </r>
  </si>
  <si>
    <r>
      <rPr>
        <sz val="11"/>
        <color rgb="FF000000"/>
        <rFont val="Calibri"/>
      </rPr>
      <t>The agent may pass information about the endpoint to the Cisco ISE, which may be sensitive. Using older unauthorized versions or incorrectly configuring protocol negotiation makes the gateway vulnerable to known and unknown attacks that exploit vulnerabilities in this protocol.</t>
    </r>
  </si>
  <si>
    <r>
      <rPr>
        <sz val="11"/>
        <color rgb="FF000000"/>
        <rFont val="Calibri"/>
      </rPr>
      <t>If DoD is not at C2C Step 1 or higher, this is not a finding.</t>
    </r>
    <r>
      <rPr>
        <sz val="11"/>
        <color rgb="FF000000"/>
        <rFont val="Calibri"/>
      </rPr>
      <t xml:space="preserve">
</t>
    </r>
    <r>
      <rPr>
        <sz val="11"/>
        <color rgb="FF000000"/>
        <rFont val="Calibri"/>
      </rPr>
      <t xml:space="preserve">Verify that only TLS 1.2 is enabled. </t>
    </r>
    <r>
      <rPr>
        <sz val="11"/>
        <color rgb="FF000000"/>
        <rFont val="Calibri"/>
      </rPr>
      <t xml:space="preserve">
</t>
    </r>
    <r>
      <rPr>
        <sz val="11"/>
        <color rgb="FF000000"/>
        <rFont val="Calibri"/>
      </rPr>
      <t xml:space="preserve">From the Web Admin portal: </t>
    </r>
    <r>
      <rPr>
        <sz val="11"/>
        <color rgb="FF000000"/>
        <rFont val="Calibri"/>
      </rPr>
      <t xml:space="preserve">
</t>
    </r>
    <r>
      <rPr>
        <sz val="11"/>
        <color rgb="FF000000"/>
        <rFont val="Calibri"/>
      </rPr>
      <t>1. Navigate to Administration &gt;&gt; System &gt;&gt; Settings &gt;&gt; Security Settings.</t>
    </r>
    <r>
      <rPr>
        <sz val="11"/>
        <color rgb="FF000000"/>
        <rFont val="Calibri"/>
      </rPr>
      <t xml:space="preserve">
</t>
    </r>
    <r>
      <rPr>
        <sz val="11"/>
        <color rgb="FF000000"/>
        <rFont val="Calibri"/>
      </rPr>
      <t>2. Ensure "Allow TLS1.0", "Allow TLS1.1", and "Allow legacy unsafe TLS renegotiation for ISE as a client" are unchecked.</t>
    </r>
    <r>
      <rPr>
        <sz val="11"/>
        <color rgb="FF000000"/>
        <rFont val="Calibri"/>
      </rPr>
      <t xml:space="preserve">
</t>
    </r>
    <r>
      <rPr>
        <sz val="11"/>
        <color rgb="FF000000"/>
        <rFont val="Calibri"/>
      </rPr>
      <t>If TLS 1.0 or 1.1 is enabled, this is a finding.</t>
    </r>
  </si>
  <si>
    <t>V-242576</t>
  </si>
  <si>
    <r>
      <rPr>
        <sz val="11"/>
        <rFont val="Calibri"/>
      </rPr>
      <t>The Cisco ISE must enforce approved access by employing authorization policies with specific attributes; such as resource groups, device type, certificate attributes, or any other attributes that are specific to a group of endpoints, and/or mission conditions as defined in the site</t>
    </r>
    <r>
      <rPr>
        <sz val="11"/>
        <color rgb="FF000000"/>
        <rFont val="Calibri"/>
      </rPr>
      <t>'</t>
    </r>
    <r>
      <rPr>
        <sz val="11"/>
        <color rgb="FF000000"/>
        <rFont val="Calibri"/>
      </rPr>
      <t>s Cisco ISE System Security Plan (SSP). This is required for compliance with C2C Step 4.</t>
    </r>
  </si>
  <si>
    <r>
      <rPr>
        <sz val="11"/>
        <color rgb="FF000000"/>
        <rFont val="Calibri"/>
      </rPr>
      <t xml:space="preserve">Configure each policy set so that authorization policies have either "deny-access" or restricted access on their default authorization policy set. </t>
    </r>
    <r>
      <rPr>
        <sz val="11"/>
        <color rgb="FF000000"/>
        <rFont val="Calibri"/>
      </rPr>
      <t xml:space="preserve">
</t>
    </r>
    <r>
      <rPr>
        <sz val="11"/>
        <color rgb="FF000000"/>
        <rFont val="Calibri"/>
      </rPr>
      <t>1. Work Centers &gt;&gt; Network Access &gt;&gt; Policy Sets.</t>
    </r>
    <r>
      <rPr>
        <sz val="11"/>
        <color rgb="FF000000"/>
        <rFont val="Calibri"/>
      </rPr>
      <t xml:space="preserve">
</t>
    </r>
    <r>
      <rPr>
        <sz val="11"/>
        <color rgb="FF000000"/>
        <rFont val="Calibri"/>
      </rPr>
      <t>2. Choose "&gt;" on the desired policy set.</t>
    </r>
    <r>
      <rPr>
        <sz val="11"/>
        <color rgb="FF000000"/>
        <rFont val="Calibri"/>
      </rPr>
      <t xml:space="preserve">
</t>
    </r>
    <r>
      <rPr>
        <sz val="11"/>
        <color rgb="FF000000"/>
        <rFont val="Calibri"/>
      </rPr>
      <t>3. Expand Authorization Policy.</t>
    </r>
    <r>
      <rPr>
        <sz val="11"/>
        <color rgb="FF000000"/>
        <rFont val="Calibri"/>
      </rPr>
      <t xml:space="preserve">
</t>
    </r>
    <r>
      <rPr>
        <sz val="11"/>
        <color rgb="FF000000"/>
        <rFont val="Calibri"/>
      </rPr>
      <t>On the default authorization rule select "Deny-Access" or a result that is configured for a restricted VLAN, ACL, SGT, or any combination used to restrict the access.</t>
    </r>
  </si>
  <si>
    <r>
      <rPr>
        <sz val="11"/>
        <color rgb="FF000000"/>
        <rFont val="Calibri"/>
      </rPr>
      <t>Successful authentication must not automatically give an entity access to an asset or security boundary. The lack of authorization-based access control could result in the unauthorized network access.</t>
    </r>
    <r>
      <rPr>
        <sz val="11"/>
        <color rgb="FF000000"/>
        <rFont val="Calibri"/>
      </rPr>
      <t xml:space="preserve">
</t>
    </r>
    <r>
      <rPr>
        <sz val="11"/>
        <color rgb="FF000000"/>
        <rFont val="Calibri"/>
      </rPr>
      <t>Configuration policy sets with specific authorization policies. Policies consist of rules, where each rule consists of conditions to be met that allow differential access based on grouping of device types by common attributes.</t>
    </r>
    <r>
      <rPr>
        <sz val="11"/>
        <color rgb="FF000000"/>
        <rFont val="Calibri"/>
      </rPr>
      <t xml:space="preserve">
</t>
    </r>
    <r>
      <rPr>
        <sz val="11"/>
        <color rgb="FF000000"/>
        <rFont val="Calibri"/>
      </rPr>
      <t>ISE requires each authorization policy to have at a minimum one condition. The default authorization policy is the only policy in which there is not a requirement for a condition, nor is it possible to assign a condition to the default authorization policy.</t>
    </r>
  </si>
  <si>
    <r>
      <rPr>
        <sz val="11"/>
        <color rgb="FF000000"/>
        <rFont val="Calibri"/>
      </rPr>
      <t>If DoD is not at C2C Step 4 or higher, this is not a finding.</t>
    </r>
    <r>
      <rPr>
        <sz val="11"/>
        <color rgb="FF000000"/>
        <rFont val="Calibri"/>
      </rPr>
      <t xml:space="preserve">
</t>
    </r>
    <r>
      <rPr>
        <sz val="11"/>
        <color rgb="FF000000"/>
        <rFont val="Calibri"/>
      </rPr>
      <t xml:space="preserve">Verify that the authorization policies have either "deny-access" or restricted access on their default authorization policy set. </t>
    </r>
    <r>
      <rPr>
        <sz val="11"/>
        <color rgb="FF000000"/>
        <rFont val="Calibri"/>
      </rPr>
      <t xml:space="preserve">
</t>
    </r>
    <r>
      <rPr>
        <sz val="11"/>
        <color rgb="FF000000"/>
        <rFont val="Calibri"/>
      </rPr>
      <t>1. Work Centers &gt;&gt; Network Access &gt;&gt; Policy Sets.</t>
    </r>
    <r>
      <rPr>
        <sz val="11"/>
        <color rgb="FF000000"/>
        <rFont val="Calibri"/>
      </rPr>
      <t xml:space="preserve">
</t>
    </r>
    <r>
      <rPr>
        <sz val="11"/>
        <color rgb="FF000000"/>
        <rFont val="Calibri"/>
      </rPr>
      <t>2. Choose "&gt;" on the desired policy set.</t>
    </r>
    <r>
      <rPr>
        <sz val="11"/>
        <color rgb="FF000000"/>
        <rFont val="Calibri"/>
      </rPr>
      <t xml:space="preserve">
</t>
    </r>
    <r>
      <rPr>
        <sz val="11"/>
        <color rgb="FF000000"/>
        <rFont val="Calibri"/>
      </rPr>
      <t>3. Expand Authorization Policy.</t>
    </r>
    <r>
      <rPr>
        <sz val="11"/>
        <color rgb="FF000000"/>
        <rFont val="Calibri"/>
      </rPr>
      <t xml:space="preserve">
</t>
    </r>
    <r>
      <rPr>
        <sz val="11"/>
        <color rgb="FF000000"/>
        <rFont val="Calibri"/>
      </rPr>
      <t>If the default authorization policy within each policy set has "deny-access" or restricted access, this is not a finding.</t>
    </r>
  </si>
  <si>
    <t>V-242577</t>
  </si>
  <si>
    <r>
      <rPr>
        <sz val="11"/>
        <rFont val="Calibri"/>
      </rPr>
      <t>The Cisco ISE must be configured to profile endpoints connecting to the network. This is required for compliance with C2C Step 4.</t>
    </r>
  </si>
  <si>
    <r>
      <rPr>
        <sz val="11"/>
        <color rgb="FF000000"/>
        <rFont val="Calibri"/>
      </rPr>
      <t>Configure the profiling service to provide a contextual inventory of all the endpoints that are using your network resources in any Cisco ISE-enabled network.</t>
    </r>
    <r>
      <rPr>
        <sz val="11"/>
        <color rgb="FF000000"/>
        <rFont val="Calibri"/>
      </rPr>
      <t xml:space="preserve">
</t>
    </r>
    <r>
      <rPr>
        <sz val="11"/>
        <color rgb="FF000000"/>
        <rFont val="Calibri"/>
      </rPr>
      <t>1. Choose Administration &gt;&gt; System &gt;&gt; Deployment.</t>
    </r>
    <r>
      <rPr>
        <sz val="11"/>
        <color rgb="FF000000"/>
        <rFont val="Calibri"/>
      </rPr>
      <t xml:space="preserve">
</t>
    </r>
    <r>
      <rPr>
        <sz val="11"/>
        <color rgb="FF000000"/>
        <rFont val="Calibri"/>
      </rPr>
      <t>2. Choose a Cisco ISE node that assumes the Policy Service persona.</t>
    </r>
    <r>
      <rPr>
        <sz val="11"/>
        <color rgb="FF000000"/>
        <rFont val="Calibri"/>
      </rPr>
      <t xml:space="preserve">
</t>
    </r>
    <r>
      <rPr>
        <sz val="11"/>
        <color rgb="FF000000"/>
        <rFont val="Calibri"/>
      </rPr>
      <t>3. Click "Edit" in the Deployment Nodes page.</t>
    </r>
    <r>
      <rPr>
        <sz val="11"/>
        <color rgb="FF000000"/>
        <rFont val="Calibri"/>
      </rPr>
      <t xml:space="preserve">
</t>
    </r>
    <r>
      <rPr>
        <sz val="11"/>
        <color rgb="FF000000"/>
        <rFont val="Calibri"/>
      </rPr>
      <t>4. On the "General Settings" tab, check the "Policy Service" check box.</t>
    </r>
    <r>
      <rPr>
        <sz val="11"/>
        <color rgb="FF000000"/>
        <rFont val="Calibri"/>
      </rPr>
      <t xml:space="preserve">
</t>
    </r>
    <r>
      <rPr>
        <sz val="11"/>
        <color rgb="FF000000"/>
        <rFont val="Calibri"/>
      </rPr>
      <t>5. Perform the following tasks:</t>
    </r>
    <r>
      <rPr>
        <sz val="11"/>
        <color rgb="FF000000"/>
        <rFont val="Calibri"/>
      </rPr>
      <t xml:space="preserve">
</t>
    </r>
    <r>
      <rPr>
        <sz val="11"/>
        <color rgb="FF000000"/>
        <rFont val="Calibri"/>
      </rPr>
      <t xml:space="preserve">- Check the "Enable Session Services" check box. </t>
    </r>
    <r>
      <rPr>
        <sz val="11"/>
        <color rgb="FF000000"/>
        <rFont val="Calibri"/>
      </rPr>
      <t xml:space="preserve">
</t>
    </r>
    <r>
      <rPr>
        <sz val="11"/>
        <color rgb="FF000000"/>
        <rFont val="Calibri"/>
      </rPr>
      <t>- Check the "Enable Profiling Services" check box to run the profiling service.</t>
    </r>
    <r>
      <rPr>
        <sz val="11"/>
        <color rgb="FF000000"/>
        <rFont val="Calibri"/>
      </rPr>
      <t xml:space="preserve">
</t>
    </r>
    <r>
      <rPr>
        <sz val="11"/>
        <color rgb="FF000000"/>
        <rFont val="Calibri"/>
      </rPr>
      <t>6. Click "Save" to save the node configuration.</t>
    </r>
  </si>
  <si>
    <r>
      <rPr>
        <sz val="11"/>
        <color rgb="FF000000"/>
        <rFont val="Calibri"/>
      </rPr>
      <t>It is possible for endpoints to be manually added to an incorrect endpoint identity group. The endpoint policy can be dynamically set through profiling. If the endpoint group is statically set but the endpoint policy is set to dynamic, then it is possible to identify endpoints that may receive unintended access.</t>
    </r>
  </si>
  <si>
    <r>
      <rPr>
        <sz val="11"/>
        <color rgb="FF000000"/>
        <rFont val="Calibri"/>
      </rPr>
      <t>If DoD is not at C2C Step 4 or higher, this is not a finding.</t>
    </r>
    <r>
      <rPr>
        <sz val="11"/>
        <color rgb="FF000000"/>
        <rFont val="Calibri"/>
      </rPr>
      <t xml:space="preserve">
</t>
    </r>
    <r>
      <rPr>
        <sz val="11"/>
        <color rgb="FF000000"/>
        <rFont val="Calibri"/>
      </rPr>
      <t>Verify the profiling service is configured and enabled.</t>
    </r>
    <r>
      <rPr>
        <sz val="11"/>
        <color rgb="FF000000"/>
        <rFont val="Calibri"/>
      </rPr>
      <t xml:space="preserve">
</t>
    </r>
    <r>
      <rPr>
        <sz val="11"/>
        <color rgb="FF000000"/>
        <rFont val="Calibri"/>
      </rPr>
      <t>1. Choose Administration &gt;&gt; System &gt;&gt; Deployment.</t>
    </r>
    <r>
      <rPr>
        <sz val="11"/>
        <color rgb="FF000000"/>
        <rFont val="Calibri"/>
      </rPr>
      <t xml:space="preserve">
</t>
    </r>
    <r>
      <rPr>
        <sz val="11"/>
        <color rgb="FF000000"/>
        <rFont val="Calibri"/>
      </rPr>
      <t>2. View the Deployment Nodes.</t>
    </r>
    <r>
      <rPr>
        <sz val="11"/>
        <color rgb="FF000000"/>
        <rFont val="Calibri"/>
      </rPr>
      <t xml:space="preserve">
</t>
    </r>
    <r>
      <rPr>
        <sz val="11"/>
        <color rgb="FF000000"/>
        <rFont val="Calibri"/>
      </rPr>
      <t>Verify the following services are enabled via the check box:</t>
    </r>
    <r>
      <rPr>
        <sz val="11"/>
        <color rgb="FF000000"/>
        <rFont val="Calibri"/>
      </rPr>
      <t xml:space="preserve">
</t>
    </r>
    <r>
      <rPr>
        <sz val="11"/>
        <color rgb="FF000000"/>
        <rFont val="Calibri"/>
      </rPr>
      <t>Policy Service</t>
    </r>
    <r>
      <rPr>
        <sz val="11"/>
        <color rgb="FF000000"/>
        <rFont val="Calibri"/>
      </rPr>
      <t xml:space="preserve">
</t>
    </r>
    <r>
      <rPr>
        <sz val="11"/>
        <color rgb="FF000000"/>
        <rFont val="Calibri"/>
      </rPr>
      <t xml:space="preserve">Enable Session Services </t>
    </r>
    <r>
      <rPr>
        <sz val="11"/>
        <color rgb="FF000000"/>
        <rFont val="Calibri"/>
      </rPr>
      <t xml:space="preserve">
</t>
    </r>
    <r>
      <rPr>
        <sz val="11"/>
        <color rgb="FF000000"/>
        <rFont val="Calibri"/>
      </rPr>
      <t>Enable Profiling Services</t>
    </r>
    <r>
      <rPr>
        <sz val="11"/>
        <color rgb="FF000000"/>
        <rFont val="Calibri"/>
      </rPr>
      <t xml:space="preserve">
</t>
    </r>
    <r>
      <rPr>
        <sz val="11"/>
        <color rgb="FF000000"/>
        <rFont val="Calibri"/>
      </rPr>
      <t>If the Cisco ISE profiling service is not configured and enabled, this is a finding.</t>
    </r>
  </si>
  <si>
    <t>V-242578</t>
  </si>
  <si>
    <r>
      <rPr>
        <sz val="11"/>
        <rFont val="Calibri"/>
      </rPr>
      <t>The Cisco ISE must verify host-based firewall software is running on posture required clients defined in the NAC System Security Plan (SSP) prior to granting trusted network access. This is required for compliance with C2C Step 4.</t>
    </r>
  </si>
  <si>
    <r>
      <rPr>
        <sz val="11"/>
        <color rgb="FF000000"/>
        <rFont val="Calibri"/>
      </rPr>
      <t>If required by the sites' NAC SSP, configure the posture policy to verify that a host-based firewall is running.</t>
    </r>
    <r>
      <rPr>
        <sz val="11"/>
        <color rgb="FF000000"/>
        <rFont val="Calibri"/>
      </rPr>
      <t xml:space="preserve">
</t>
    </r>
    <r>
      <rPr>
        <sz val="11"/>
        <color rgb="FF000000"/>
        <rFont val="Calibri"/>
      </rPr>
      <t>1. Navigate to Work Centers &gt;&gt; Posture &gt;&gt; Policy Elements.</t>
    </r>
    <r>
      <rPr>
        <sz val="11"/>
        <color rgb="FF000000"/>
        <rFont val="Calibri"/>
      </rPr>
      <t xml:space="preserve">
</t>
    </r>
    <r>
      <rPr>
        <sz val="11"/>
        <color rgb="FF000000"/>
        <rFont val="Calibri"/>
      </rPr>
      <t>2. Create Firewall Condition.</t>
    </r>
    <r>
      <rPr>
        <sz val="11"/>
        <color rgb="FF000000"/>
        <rFont val="Calibri"/>
      </rPr>
      <t xml:space="preserve">
</t>
    </r>
    <r>
      <rPr>
        <sz val="11"/>
        <color rgb="FF000000"/>
        <rFont val="Calibri"/>
      </rPr>
      <t>a. Expand "Conditions" on the left of the page.</t>
    </r>
    <r>
      <rPr>
        <sz val="11"/>
        <color rgb="FF000000"/>
        <rFont val="Calibri"/>
      </rPr>
      <t xml:space="preserve">
</t>
    </r>
    <r>
      <rPr>
        <sz val="11"/>
        <color rgb="FF000000"/>
        <rFont val="Calibri"/>
      </rPr>
      <t>b. Choose "Firewall Condition".</t>
    </r>
    <r>
      <rPr>
        <sz val="11"/>
        <color rgb="FF000000"/>
        <rFont val="Calibri"/>
      </rPr>
      <t xml:space="preserve">
</t>
    </r>
    <r>
      <rPr>
        <sz val="11"/>
        <color rgb="FF000000"/>
        <rFont val="Calibri"/>
      </rPr>
      <t>c. Choose "Add".</t>
    </r>
    <r>
      <rPr>
        <sz val="11"/>
        <color rgb="FF000000"/>
        <rFont val="Calibri"/>
      </rPr>
      <t xml:space="preserve">
</t>
    </r>
    <r>
      <rPr>
        <sz val="11"/>
        <color rgb="FF000000"/>
        <rFont val="Calibri"/>
      </rPr>
      <t>d. Define a Name.</t>
    </r>
    <r>
      <rPr>
        <sz val="11"/>
        <color rgb="FF000000"/>
        <rFont val="Calibri"/>
      </rPr>
      <t xml:space="preserve">
</t>
    </r>
    <r>
      <rPr>
        <sz val="11"/>
        <color rgb="FF000000"/>
        <rFont val="Calibri"/>
      </rPr>
      <t>e. Select the applicable Compliance Module.</t>
    </r>
    <r>
      <rPr>
        <sz val="11"/>
        <color rgb="FF000000"/>
        <rFont val="Calibri"/>
      </rPr>
      <t xml:space="preserve">
</t>
    </r>
    <r>
      <rPr>
        <sz val="11"/>
        <color rgb="FF000000"/>
        <rFont val="Calibri"/>
      </rPr>
      <t>f. Select the Operating System.</t>
    </r>
    <r>
      <rPr>
        <sz val="11"/>
        <color rgb="FF000000"/>
        <rFont val="Calibri"/>
      </rPr>
      <t xml:space="preserve">
</t>
    </r>
    <r>
      <rPr>
        <sz val="11"/>
        <color rgb="FF000000"/>
        <rFont val="Calibri"/>
      </rPr>
      <t>g. Select the vendor of firewall.</t>
    </r>
    <r>
      <rPr>
        <sz val="11"/>
        <color rgb="FF000000"/>
        <rFont val="Calibri"/>
      </rPr>
      <t xml:space="preserve">
</t>
    </r>
    <r>
      <rPr>
        <sz val="11"/>
        <color rgb="FF000000"/>
        <rFont val="Calibri"/>
      </rPr>
      <t>h. Check "enable".</t>
    </r>
    <r>
      <rPr>
        <sz val="11"/>
        <color rgb="FF000000"/>
        <rFont val="Calibri"/>
      </rPr>
      <t xml:space="preserve">
</t>
    </r>
    <r>
      <rPr>
        <sz val="11"/>
        <color rgb="FF000000"/>
        <rFont val="Calibri"/>
      </rPr>
      <t>i. Select the desired product/products.</t>
    </r>
    <r>
      <rPr>
        <sz val="11"/>
        <color rgb="FF000000"/>
        <rFont val="Calibri"/>
      </rPr>
      <t xml:space="preserve">
</t>
    </r>
    <r>
      <rPr>
        <sz val="11"/>
        <color rgb="FF000000"/>
        <rFont val="Calibri"/>
      </rPr>
      <t>j. Choose "Save".</t>
    </r>
    <r>
      <rPr>
        <sz val="11"/>
        <color rgb="FF000000"/>
        <rFont val="Calibri"/>
      </rPr>
      <t xml:space="preserve">
</t>
    </r>
    <r>
      <rPr>
        <sz val="11"/>
        <color rgb="FF000000"/>
        <rFont val="Calibri"/>
      </rPr>
      <t>3. Create Firewall Remediation.</t>
    </r>
    <r>
      <rPr>
        <sz val="11"/>
        <color rgb="FF000000"/>
        <rFont val="Calibri"/>
      </rPr>
      <t xml:space="preserve">
</t>
    </r>
    <r>
      <rPr>
        <sz val="11"/>
        <color rgb="FF000000"/>
        <rFont val="Calibri"/>
      </rPr>
      <t>a. Expand "Remediation's" on the left of the page.</t>
    </r>
    <r>
      <rPr>
        <sz val="11"/>
        <color rgb="FF000000"/>
        <rFont val="Calibri"/>
      </rPr>
      <t xml:space="preserve">
</t>
    </r>
    <r>
      <rPr>
        <sz val="11"/>
        <color rgb="FF000000"/>
        <rFont val="Calibri"/>
      </rPr>
      <t>b. Choose "Firewall".</t>
    </r>
    <r>
      <rPr>
        <sz val="11"/>
        <color rgb="FF000000"/>
        <rFont val="Calibri"/>
      </rPr>
      <t xml:space="preserve">
</t>
    </r>
    <r>
      <rPr>
        <sz val="11"/>
        <color rgb="FF000000"/>
        <rFont val="Calibri"/>
      </rPr>
      <t>c. Choose "Add".</t>
    </r>
    <r>
      <rPr>
        <sz val="11"/>
        <color rgb="FF000000"/>
        <rFont val="Calibri"/>
      </rPr>
      <t xml:space="preserve">
</t>
    </r>
    <r>
      <rPr>
        <sz val="11"/>
        <color rgb="FF000000"/>
        <rFont val="Calibri"/>
      </rPr>
      <t>d. Define a Name.</t>
    </r>
    <r>
      <rPr>
        <sz val="11"/>
        <color rgb="FF000000"/>
        <rFont val="Calibri"/>
      </rPr>
      <t xml:space="preserve">
</t>
    </r>
    <r>
      <rPr>
        <sz val="11"/>
        <color rgb="FF000000"/>
        <rFont val="Calibri"/>
      </rPr>
      <t>e. Select the Operating System.</t>
    </r>
    <r>
      <rPr>
        <sz val="11"/>
        <color rgb="FF000000"/>
        <rFont val="Calibri"/>
      </rPr>
      <t xml:space="preserve">
</t>
    </r>
    <r>
      <rPr>
        <sz val="11"/>
        <color rgb="FF000000"/>
        <rFont val="Calibri"/>
      </rPr>
      <t>f. Select the applicable Compliance Module.</t>
    </r>
    <r>
      <rPr>
        <sz val="11"/>
        <color rgb="FF000000"/>
        <rFont val="Calibri"/>
      </rPr>
      <t xml:space="preserve">
</t>
    </r>
    <r>
      <rPr>
        <sz val="11"/>
        <color rgb="FF000000"/>
        <rFont val="Calibri"/>
      </rPr>
      <t>g. Select the Remediation Type.</t>
    </r>
    <r>
      <rPr>
        <sz val="11"/>
        <color rgb="FF000000"/>
        <rFont val="Calibri"/>
      </rPr>
      <t xml:space="preserve">
</t>
    </r>
    <r>
      <rPr>
        <sz val="11"/>
        <color rgb="FF000000"/>
        <rFont val="Calibri"/>
      </rPr>
      <t>h. Define the interval between retries.</t>
    </r>
    <r>
      <rPr>
        <sz val="11"/>
        <color rgb="FF000000"/>
        <rFont val="Calibri"/>
      </rPr>
      <t xml:space="preserve">
</t>
    </r>
    <r>
      <rPr>
        <sz val="11"/>
        <color rgb="FF000000"/>
        <rFont val="Calibri"/>
      </rPr>
      <t>i. Define Retry Count.</t>
    </r>
    <r>
      <rPr>
        <sz val="11"/>
        <color rgb="FF000000"/>
        <rFont val="Calibri"/>
      </rPr>
      <t xml:space="preserve">
</t>
    </r>
    <r>
      <rPr>
        <sz val="11"/>
        <color rgb="FF000000"/>
        <rFont val="Calibri"/>
      </rPr>
      <t>j. Select the desired Vendor Name.</t>
    </r>
    <r>
      <rPr>
        <sz val="11"/>
        <color rgb="FF000000"/>
        <rFont val="Calibri"/>
      </rPr>
      <t xml:space="preserve">
</t>
    </r>
    <r>
      <rPr>
        <sz val="11"/>
        <color rgb="FF000000"/>
        <rFont val="Calibri"/>
      </rPr>
      <t>k. Check "Remediation Option is to enable the Firewall".</t>
    </r>
    <r>
      <rPr>
        <sz val="11"/>
        <color rgb="FF000000"/>
        <rFont val="Calibri"/>
      </rPr>
      <t xml:space="preserve">
</t>
    </r>
    <r>
      <rPr>
        <sz val="11"/>
        <color rgb="FF000000"/>
        <rFont val="Calibri"/>
      </rPr>
      <t>l. Select the Product Name.</t>
    </r>
    <r>
      <rPr>
        <sz val="11"/>
        <color rgb="FF000000"/>
        <rFont val="Calibri"/>
      </rPr>
      <t xml:space="preserve">
</t>
    </r>
    <r>
      <rPr>
        <sz val="11"/>
        <color rgb="FF000000"/>
        <rFont val="Calibri"/>
      </rPr>
      <t>m. Choose "Submit".</t>
    </r>
    <r>
      <rPr>
        <sz val="11"/>
        <color rgb="FF000000"/>
        <rFont val="Calibri"/>
      </rPr>
      <t xml:space="preserve">
</t>
    </r>
    <r>
      <rPr>
        <sz val="11"/>
        <color rgb="FF000000"/>
        <rFont val="Calibri"/>
      </rPr>
      <t>4. Create Requirements.</t>
    </r>
    <r>
      <rPr>
        <sz val="11"/>
        <color rgb="FF000000"/>
        <rFont val="Calibri"/>
      </rPr>
      <t xml:space="preserve">
</t>
    </r>
    <r>
      <rPr>
        <sz val="11"/>
        <color rgb="FF000000"/>
        <rFont val="Calibri"/>
      </rPr>
      <t>a. Choose "Requirements" on the left of the page.</t>
    </r>
    <r>
      <rPr>
        <sz val="11"/>
        <color rgb="FF000000"/>
        <rFont val="Calibri"/>
      </rPr>
      <t xml:space="preserve">
</t>
    </r>
    <r>
      <rPr>
        <sz val="11"/>
        <color rgb="FF000000"/>
        <rFont val="Calibri"/>
      </rPr>
      <t>b. Choose the drop-down located next to "Edit" on the right side of the page where the requirement is to be inserted.</t>
    </r>
    <r>
      <rPr>
        <sz val="11"/>
        <color rgb="FF000000"/>
        <rFont val="Calibri"/>
      </rPr>
      <t xml:space="preserve">
</t>
    </r>
    <r>
      <rPr>
        <sz val="11"/>
        <color rgb="FF000000"/>
        <rFont val="Calibri"/>
      </rPr>
      <t>c. Choose "Insert new Requirement".</t>
    </r>
    <r>
      <rPr>
        <sz val="11"/>
        <color rgb="FF000000"/>
        <rFont val="Calibri"/>
      </rPr>
      <t xml:space="preserve">
</t>
    </r>
    <r>
      <rPr>
        <sz val="11"/>
        <color rgb="FF000000"/>
        <rFont val="Calibri"/>
      </rPr>
      <t>d. Define a Name.</t>
    </r>
    <r>
      <rPr>
        <sz val="11"/>
        <color rgb="FF000000"/>
        <rFont val="Calibri"/>
      </rPr>
      <t xml:space="preserve">
</t>
    </r>
    <r>
      <rPr>
        <sz val="11"/>
        <color rgb="FF000000"/>
        <rFont val="Calibri"/>
      </rPr>
      <t>e. Select the Operating System.</t>
    </r>
    <r>
      <rPr>
        <sz val="11"/>
        <color rgb="FF000000"/>
        <rFont val="Calibri"/>
      </rPr>
      <t xml:space="preserve">
</t>
    </r>
    <r>
      <rPr>
        <sz val="11"/>
        <color rgb="FF000000"/>
        <rFont val="Calibri"/>
      </rPr>
      <t>f. Select the applicable Compliance Module.</t>
    </r>
    <r>
      <rPr>
        <sz val="11"/>
        <color rgb="FF000000"/>
        <rFont val="Calibri"/>
      </rPr>
      <t xml:space="preserve">
</t>
    </r>
    <r>
      <rPr>
        <sz val="11"/>
        <color rgb="FF000000"/>
        <rFont val="Calibri"/>
      </rPr>
      <t>g. Select the Posture Type.</t>
    </r>
    <r>
      <rPr>
        <sz val="11"/>
        <color rgb="FF000000"/>
        <rFont val="Calibri"/>
      </rPr>
      <t xml:space="preserve">
</t>
    </r>
    <r>
      <rPr>
        <sz val="11"/>
        <color rgb="FF000000"/>
        <rFont val="Calibri"/>
      </rPr>
      <t>h. Select the Condition previously configured.</t>
    </r>
    <r>
      <rPr>
        <sz val="11"/>
        <color rgb="FF000000"/>
        <rFont val="Calibri"/>
      </rPr>
      <t xml:space="preserve">
</t>
    </r>
    <r>
      <rPr>
        <sz val="11"/>
        <color rgb="FF000000"/>
        <rFont val="Calibri"/>
      </rPr>
      <t>i. Select the Remediation Action previously configured and type in a message to display.</t>
    </r>
    <r>
      <rPr>
        <sz val="11"/>
        <color rgb="FF000000"/>
        <rFont val="Calibri"/>
      </rPr>
      <t xml:space="preserve">
</t>
    </r>
    <r>
      <rPr>
        <sz val="11"/>
        <color rgb="FF000000"/>
        <rFont val="Calibri"/>
      </rPr>
      <t>j. Choose "Done".</t>
    </r>
    <r>
      <rPr>
        <sz val="11"/>
        <color rgb="FF000000"/>
        <rFont val="Calibri"/>
      </rPr>
      <t xml:space="preserve">
</t>
    </r>
    <r>
      <rPr>
        <sz val="11"/>
        <color rgb="FF000000"/>
        <rFont val="Calibri"/>
      </rPr>
      <t>k. Choose "Save".</t>
    </r>
    <r>
      <rPr>
        <sz val="11"/>
        <color rgb="FF000000"/>
        <rFont val="Calibri"/>
      </rPr>
      <t xml:space="preserve">
</t>
    </r>
    <r>
      <rPr>
        <sz val="11"/>
        <color rgb="FF000000"/>
        <rFont val="Calibri"/>
      </rPr>
      <t>5. Edit the Posture Policy.</t>
    </r>
    <r>
      <rPr>
        <sz val="11"/>
        <color rgb="FF000000"/>
        <rFont val="Calibri"/>
      </rPr>
      <t xml:space="preserve">
</t>
    </r>
    <r>
      <rPr>
        <sz val="11"/>
        <color rgb="FF000000"/>
        <rFont val="Calibri"/>
      </rPr>
      <t>a. Navigate to Work Centers &gt;&gt; Posture &gt;&gt; Posture Policy.</t>
    </r>
    <r>
      <rPr>
        <sz val="11"/>
        <color rgb="FF000000"/>
        <rFont val="Calibri"/>
      </rPr>
      <t xml:space="preserve">
</t>
    </r>
    <r>
      <rPr>
        <sz val="11"/>
        <color rgb="FF000000"/>
        <rFont val="Calibri"/>
      </rPr>
      <t>b. Find the Posture Policy that will be applied to the posture required endpoints.</t>
    </r>
    <r>
      <rPr>
        <sz val="11"/>
        <color rgb="FF000000"/>
        <rFont val="Calibri"/>
      </rPr>
      <t xml:space="preserve">
</t>
    </r>
    <r>
      <rPr>
        <sz val="11"/>
        <color rgb="FF000000"/>
        <rFont val="Calibri"/>
      </rPr>
      <t>c. Select the Requirement ensuring there is a green check box to the left of the name indicating it is a mandatory requirement.</t>
    </r>
    <r>
      <rPr>
        <sz val="11"/>
        <color rgb="FF000000"/>
        <rFont val="Calibri"/>
      </rPr>
      <t xml:space="preserve">
</t>
    </r>
    <r>
      <rPr>
        <sz val="11"/>
        <color rgb="FF000000"/>
        <rFont val="Calibri"/>
      </rPr>
      <t>d. Choose "Done".</t>
    </r>
    <r>
      <rPr>
        <sz val="11"/>
        <color rgb="FF000000"/>
        <rFont val="Calibri"/>
      </rPr>
      <t xml:space="preserve">
</t>
    </r>
    <r>
      <rPr>
        <sz val="11"/>
        <color rgb="FF000000"/>
        <rFont val="Calibri"/>
      </rPr>
      <t>e. Choose "Save".</t>
    </r>
  </si>
  <si>
    <r>
      <rPr>
        <sz val="11"/>
        <color rgb="FF000000"/>
        <rFont val="Calibri"/>
      </rPr>
      <t>Automated policy assessments must reflect the organization's current security policy so entry control decisions will happen only where remote endpoints meet the organization's security requirements. If the remote endpoints are allowed to connect to the organization's network without passing minimum-security controls, they become a threat to the entire network.</t>
    </r>
  </si>
  <si>
    <r>
      <rPr>
        <sz val="11"/>
        <color rgb="FF000000"/>
        <rFont val="Calibri"/>
      </rPr>
      <t>If DoD is not at C2C Step 4 or higher, this is not a finding.</t>
    </r>
    <r>
      <rPr>
        <sz val="11"/>
        <color rgb="FF000000"/>
        <rFont val="Calibri"/>
      </rPr>
      <t xml:space="preserve">
</t>
    </r>
    <r>
      <rPr>
        <sz val="11"/>
        <color rgb="FF000000"/>
        <rFont val="Calibri"/>
      </rPr>
      <t>If host-based firewall is not required by the NAC SSP, this is not a finding.</t>
    </r>
    <r>
      <rPr>
        <sz val="11"/>
        <color rgb="FF000000"/>
        <rFont val="Calibri"/>
      </rPr>
      <t xml:space="preserve">
</t>
    </r>
    <r>
      <rPr>
        <sz val="11"/>
        <color rgb="FF000000"/>
        <rFont val="Calibri"/>
      </rPr>
      <t>Verify that the posture policy will verify that a host-based firewall is running.</t>
    </r>
    <r>
      <rPr>
        <sz val="11"/>
        <color rgb="FF000000"/>
        <rFont val="Calibri"/>
      </rPr>
      <t xml:space="preserve">
</t>
    </r>
    <r>
      <rPr>
        <sz val="11"/>
        <color rgb="FF000000"/>
        <rFont val="Calibri"/>
      </rPr>
      <t>1. Navigate to Work Center &gt;&gt; Posture &gt;&gt; Posture Policy.</t>
    </r>
    <r>
      <rPr>
        <sz val="11"/>
        <color rgb="FF000000"/>
        <rFont val="Calibri"/>
      </rPr>
      <t xml:space="preserve">
</t>
    </r>
    <r>
      <rPr>
        <sz val="11"/>
        <color rgb="FF000000"/>
        <rFont val="Calibri"/>
      </rPr>
      <t>2. Review the enabled posture policies analyzing all the conditions.</t>
    </r>
    <r>
      <rPr>
        <sz val="11"/>
        <color rgb="FF000000"/>
        <rFont val="Calibri"/>
      </rPr>
      <t xml:space="preserve">
</t>
    </r>
    <r>
      <rPr>
        <sz val="11"/>
        <color rgb="FF000000"/>
        <rFont val="Calibri"/>
      </rPr>
      <t>3. Review the requirements listed on polices that the posture required clients will use.</t>
    </r>
    <r>
      <rPr>
        <sz val="11"/>
        <color rgb="FF000000"/>
        <rFont val="Calibri"/>
      </rPr>
      <t xml:space="preserve">
</t>
    </r>
    <r>
      <rPr>
        <sz val="11"/>
        <color rgb="FF000000"/>
        <rFont val="Calibri"/>
      </rPr>
      <t>4. Navigate to Work Center &gt;&gt; Posture &gt;&gt; Policy Elements.</t>
    </r>
    <r>
      <rPr>
        <sz val="11"/>
        <color rgb="FF000000"/>
        <rFont val="Calibri"/>
      </rPr>
      <t xml:space="preserve">
</t>
    </r>
    <r>
      <rPr>
        <sz val="11"/>
        <color rgb="FF000000"/>
        <rFont val="Calibri"/>
      </rPr>
      <t>5. Review the requirements applied in the posture policy to ensure there is one with a firewall condition applied.</t>
    </r>
    <r>
      <rPr>
        <sz val="11"/>
        <color rgb="FF000000"/>
        <rFont val="Calibri"/>
      </rPr>
      <t xml:space="preserve">
</t>
    </r>
    <r>
      <rPr>
        <sz val="11"/>
        <color rgb="FF000000"/>
        <rFont val="Calibri"/>
      </rPr>
      <t>6. Review the firewall condition ensuring it is configured to verify that the client firewall is enabled.</t>
    </r>
    <r>
      <rPr>
        <sz val="11"/>
        <color rgb="FF000000"/>
        <rFont val="Calibri"/>
      </rPr>
      <t xml:space="preserve">
</t>
    </r>
    <r>
      <rPr>
        <sz val="11"/>
        <color rgb="FF000000"/>
        <rFont val="Calibri"/>
      </rPr>
      <t>If there is not a firewall condition tied to a requirement that is applied to an applicable posture policy, this is a finding.</t>
    </r>
  </si>
  <si>
    <t>V-242579</t>
  </si>
  <si>
    <r>
      <rPr>
        <sz val="11"/>
        <rFont val="Calibri"/>
      </rPr>
      <t>The Cisco ISE must verify anti-malware software is installed and up to date on posture required clients defined in the NAC System Security Plan (SSP) prior to granting trusted network access. This is required for compliance with C2C Step 4.</t>
    </r>
  </si>
  <si>
    <r>
      <rPr>
        <sz val="11"/>
        <color rgb="FF000000"/>
        <rFont val="Calibri"/>
      </rPr>
      <t>If required by the NAC SSP, configure the posture policy to verify an anti-malware software is up to date. Check the applicable STIG for the operating system to match the value needed for the virus definition file date.</t>
    </r>
    <r>
      <rPr>
        <sz val="11"/>
        <color rgb="FF000000"/>
        <rFont val="Calibri"/>
      </rPr>
      <t xml:space="preserve">
</t>
    </r>
    <r>
      <rPr>
        <sz val="11"/>
        <color rgb="FF000000"/>
        <rFont val="Calibri"/>
      </rPr>
      <t>1. Navigate to Work Centers &gt;&gt; Posture &gt;&gt; Policy Elements.</t>
    </r>
    <r>
      <rPr>
        <sz val="11"/>
        <color rgb="FF000000"/>
        <rFont val="Calibri"/>
      </rPr>
      <t xml:space="preserve">
</t>
    </r>
    <r>
      <rPr>
        <sz val="11"/>
        <color rgb="FF000000"/>
        <rFont val="Calibri"/>
      </rPr>
      <t>2. Create Anti-Malware Condition.</t>
    </r>
    <r>
      <rPr>
        <sz val="11"/>
        <color rgb="FF000000"/>
        <rFont val="Calibri"/>
      </rPr>
      <t xml:space="preserve">
</t>
    </r>
    <r>
      <rPr>
        <sz val="11"/>
        <color rgb="FF000000"/>
        <rFont val="Calibri"/>
      </rPr>
      <t>a. Expand "Conditions" on the left of the page.</t>
    </r>
    <r>
      <rPr>
        <sz val="11"/>
        <color rgb="FF000000"/>
        <rFont val="Calibri"/>
      </rPr>
      <t xml:space="preserve">
</t>
    </r>
    <r>
      <rPr>
        <sz val="11"/>
        <color rgb="FF000000"/>
        <rFont val="Calibri"/>
      </rPr>
      <t>b. Choose "Anti-Malware".</t>
    </r>
    <r>
      <rPr>
        <sz val="11"/>
        <color rgb="FF000000"/>
        <rFont val="Calibri"/>
      </rPr>
      <t xml:space="preserve">
</t>
    </r>
    <r>
      <rPr>
        <sz val="11"/>
        <color rgb="FF000000"/>
        <rFont val="Calibri"/>
      </rPr>
      <t>c. Choose "Add".</t>
    </r>
    <r>
      <rPr>
        <sz val="11"/>
        <color rgb="FF000000"/>
        <rFont val="Calibri"/>
      </rPr>
      <t xml:space="preserve">
</t>
    </r>
    <r>
      <rPr>
        <sz val="11"/>
        <color rgb="FF000000"/>
        <rFont val="Calibri"/>
      </rPr>
      <t>d. Define a Name.</t>
    </r>
    <r>
      <rPr>
        <sz val="11"/>
        <color rgb="FF000000"/>
        <rFont val="Calibri"/>
      </rPr>
      <t xml:space="preserve">
</t>
    </r>
    <r>
      <rPr>
        <sz val="11"/>
        <color rgb="FF000000"/>
        <rFont val="Calibri"/>
      </rPr>
      <t>e. Select the Operating System.</t>
    </r>
    <r>
      <rPr>
        <sz val="11"/>
        <color rgb="FF000000"/>
        <rFont val="Calibri"/>
      </rPr>
      <t xml:space="preserve">
</t>
    </r>
    <r>
      <rPr>
        <sz val="11"/>
        <color rgb="FF000000"/>
        <rFont val="Calibri"/>
      </rPr>
      <t>f. Select the vendor.</t>
    </r>
    <r>
      <rPr>
        <sz val="11"/>
        <color rgb="FF000000"/>
        <rFont val="Calibri"/>
      </rPr>
      <t xml:space="preserve">
</t>
    </r>
    <r>
      <rPr>
        <sz val="11"/>
        <color rgb="FF000000"/>
        <rFont val="Calibri"/>
      </rPr>
      <t>g. Check "Definition".</t>
    </r>
    <r>
      <rPr>
        <sz val="11"/>
        <color rgb="FF000000"/>
        <rFont val="Calibri"/>
      </rPr>
      <t xml:space="preserve">
</t>
    </r>
    <r>
      <rPr>
        <sz val="11"/>
        <color rgb="FF000000"/>
        <rFont val="Calibri"/>
      </rPr>
      <t xml:space="preserve">h. Check "Check against latest AV definition file version if available. Otherwise, check against latest definition file date or "Allow virus definition file to be (&lt;7) days older than the current system date." </t>
    </r>
    <r>
      <rPr>
        <sz val="11"/>
        <color rgb="FF000000"/>
        <rFont val="Calibri"/>
      </rPr>
      <t xml:space="preserve">
</t>
    </r>
    <r>
      <rPr>
        <sz val="11"/>
        <color rgb="FF000000"/>
        <rFont val="Calibri"/>
      </rPr>
      <t>i. Select the desired product/products.</t>
    </r>
    <r>
      <rPr>
        <sz val="11"/>
        <color rgb="FF000000"/>
        <rFont val="Calibri"/>
      </rPr>
      <t xml:space="preserve">
</t>
    </r>
    <r>
      <rPr>
        <sz val="11"/>
        <color rgb="FF000000"/>
        <rFont val="Calibri"/>
      </rPr>
      <t>j. Choose "Submit".</t>
    </r>
    <r>
      <rPr>
        <sz val="11"/>
        <color rgb="FF000000"/>
        <rFont val="Calibri"/>
      </rPr>
      <t xml:space="preserve">
</t>
    </r>
    <r>
      <rPr>
        <sz val="11"/>
        <color rgb="FF000000"/>
        <rFont val="Calibri"/>
      </rPr>
      <t>3. Create Anti-Malware Remediation.</t>
    </r>
    <r>
      <rPr>
        <sz val="11"/>
        <color rgb="FF000000"/>
        <rFont val="Calibri"/>
      </rPr>
      <t xml:space="preserve">
</t>
    </r>
    <r>
      <rPr>
        <sz val="11"/>
        <color rgb="FF000000"/>
        <rFont val="Calibri"/>
      </rPr>
      <t>a. Expand "Remediations" on the left of the page.</t>
    </r>
    <r>
      <rPr>
        <sz val="11"/>
        <color rgb="FF000000"/>
        <rFont val="Calibri"/>
      </rPr>
      <t xml:space="preserve">
</t>
    </r>
    <r>
      <rPr>
        <sz val="11"/>
        <color rgb="FF000000"/>
        <rFont val="Calibri"/>
      </rPr>
      <t>b. Choose "Anti-Malware".</t>
    </r>
    <r>
      <rPr>
        <sz val="11"/>
        <color rgb="FF000000"/>
        <rFont val="Calibri"/>
      </rPr>
      <t xml:space="preserve">
</t>
    </r>
    <r>
      <rPr>
        <sz val="11"/>
        <color rgb="FF000000"/>
        <rFont val="Calibri"/>
      </rPr>
      <t>c. Choose "Add".</t>
    </r>
    <r>
      <rPr>
        <sz val="11"/>
        <color rgb="FF000000"/>
        <rFont val="Calibri"/>
      </rPr>
      <t xml:space="preserve">
</t>
    </r>
    <r>
      <rPr>
        <sz val="11"/>
        <color rgb="FF000000"/>
        <rFont val="Calibri"/>
      </rPr>
      <t>d. Define a Name.</t>
    </r>
    <r>
      <rPr>
        <sz val="11"/>
        <color rgb="FF000000"/>
        <rFont val="Calibri"/>
      </rPr>
      <t xml:space="preserve">
</t>
    </r>
    <r>
      <rPr>
        <sz val="11"/>
        <color rgb="FF000000"/>
        <rFont val="Calibri"/>
      </rPr>
      <t>e. Select the Operating System.</t>
    </r>
    <r>
      <rPr>
        <sz val="11"/>
        <color rgb="FF000000"/>
        <rFont val="Calibri"/>
      </rPr>
      <t xml:space="preserve">
</t>
    </r>
    <r>
      <rPr>
        <sz val="11"/>
        <color rgb="FF000000"/>
        <rFont val="Calibri"/>
      </rPr>
      <t>f. Select the Remediation Type.</t>
    </r>
    <r>
      <rPr>
        <sz val="11"/>
        <color rgb="FF000000"/>
        <rFont val="Calibri"/>
      </rPr>
      <t xml:space="preserve">
</t>
    </r>
    <r>
      <rPr>
        <sz val="11"/>
        <color rgb="FF000000"/>
        <rFont val="Calibri"/>
      </rPr>
      <t>g. Define the interval between retries.</t>
    </r>
    <r>
      <rPr>
        <sz val="11"/>
        <color rgb="FF000000"/>
        <rFont val="Calibri"/>
      </rPr>
      <t xml:space="preserve">
</t>
    </r>
    <r>
      <rPr>
        <sz val="11"/>
        <color rgb="FF000000"/>
        <rFont val="Calibri"/>
      </rPr>
      <t>h. Define Retry Count.</t>
    </r>
    <r>
      <rPr>
        <sz val="11"/>
        <color rgb="FF000000"/>
        <rFont val="Calibri"/>
      </rPr>
      <t xml:space="preserve">
</t>
    </r>
    <r>
      <rPr>
        <sz val="11"/>
        <color rgb="FF000000"/>
        <rFont val="Calibri"/>
      </rPr>
      <t>i. Select the desired Vendor Name.</t>
    </r>
    <r>
      <rPr>
        <sz val="11"/>
        <color rgb="FF000000"/>
        <rFont val="Calibri"/>
      </rPr>
      <t xml:space="preserve">
</t>
    </r>
    <r>
      <rPr>
        <sz val="11"/>
        <color rgb="FF000000"/>
        <rFont val="Calibri"/>
      </rPr>
      <t>j. Select the Product Name.</t>
    </r>
    <r>
      <rPr>
        <sz val="11"/>
        <color rgb="FF000000"/>
        <rFont val="Calibri"/>
      </rPr>
      <t xml:space="preserve">
</t>
    </r>
    <r>
      <rPr>
        <sz val="11"/>
        <color rgb="FF000000"/>
        <rFont val="Calibri"/>
      </rPr>
      <t>k. Choose "Submit".</t>
    </r>
    <r>
      <rPr>
        <sz val="11"/>
        <color rgb="FF000000"/>
        <rFont val="Calibri"/>
      </rPr>
      <t xml:space="preserve">
</t>
    </r>
    <r>
      <rPr>
        <sz val="11"/>
        <color rgb="FF000000"/>
        <rFont val="Calibri"/>
      </rPr>
      <t>4. Edit the Posture Policy.</t>
    </r>
    <r>
      <rPr>
        <sz val="11"/>
        <color rgb="FF000000"/>
        <rFont val="Calibri"/>
      </rPr>
      <t xml:space="preserve">
</t>
    </r>
    <r>
      <rPr>
        <sz val="11"/>
        <color rgb="FF000000"/>
        <rFont val="Calibri"/>
      </rPr>
      <t>a. Navigate to Work Centers &gt;&gt; Posture &gt;&gt; Posture Policy.</t>
    </r>
    <r>
      <rPr>
        <sz val="11"/>
        <color rgb="FF000000"/>
        <rFont val="Calibri"/>
      </rPr>
      <t xml:space="preserve">
</t>
    </r>
    <r>
      <rPr>
        <sz val="11"/>
        <color rgb="FF000000"/>
        <rFont val="Calibri"/>
      </rPr>
      <t>b. Find the Posture Policy that will be applied to the posture required endpoints.</t>
    </r>
    <r>
      <rPr>
        <sz val="11"/>
        <color rgb="FF000000"/>
        <rFont val="Calibri"/>
      </rPr>
      <t xml:space="preserve">
</t>
    </r>
    <r>
      <rPr>
        <sz val="11"/>
        <color rgb="FF000000"/>
        <rFont val="Calibri"/>
      </rPr>
      <t>c. Select the Requirement, ensuring there is a green check box to the left of the name indicating it is a mandatory requirement.</t>
    </r>
    <r>
      <rPr>
        <sz val="11"/>
        <color rgb="FF000000"/>
        <rFont val="Calibri"/>
      </rPr>
      <t xml:space="preserve">
</t>
    </r>
    <r>
      <rPr>
        <sz val="11"/>
        <color rgb="FF000000"/>
        <rFont val="Calibri"/>
      </rPr>
      <t>d. Choose "Done".</t>
    </r>
    <r>
      <rPr>
        <sz val="11"/>
        <color rgb="FF000000"/>
        <rFont val="Calibri"/>
      </rPr>
      <t xml:space="preserve">
</t>
    </r>
    <r>
      <rPr>
        <sz val="11"/>
        <color rgb="FF000000"/>
        <rFont val="Calibri"/>
      </rPr>
      <t>e. Choose "Save".</t>
    </r>
    <r>
      <rPr>
        <sz val="11"/>
        <color rgb="FF000000"/>
        <rFont val="Calibri"/>
      </rPr>
      <t xml:space="preserve">
</t>
    </r>
    <r>
      <rPr>
        <sz val="11"/>
        <color rgb="FF000000"/>
        <rFont val="Calibri"/>
      </rPr>
      <t>Note: If any other Definition option is used, the Posture Updates must be updated (Navigate to Work Centers &gt;&gt; Posture &gt;&gt; Settings &gt;&gt; Software Updates &gt;&gt; Posture Updates).</t>
    </r>
    <r>
      <rPr>
        <sz val="11"/>
        <color rgb="FF000000"/>
        <rFont val="Calibri"/>
      </rPr>
      <t xml:space="preserve">
</t>
    </r>
    <r>
      <rPr>
        <sz val="11"/>
        <color rgb="FF000000"/>
        <rFont val="Calibri"/>
      </rPr>
      <t>Configure the posture policy to verify that an anti-malware software is installed.</t>
    </r>
    <r>
      <rPr>
        <sz val="11"/>
        <color rgb="FF000000"/>
        <rFont val="Calibri"/>
      </rPr>
      <t xml:space="preserve">
</t>
    </r>
    <r>
      <rPr>
        <sz val="11"/>
        <color rgb="FF000000"/>
        <rFont val="Calibri"/>
      </rPr>
      <t>1. Navigate to Work Centers &gt;&gt; Posture &gt;&gt; Policy Elements.</t>
    </r>
    <r>
      <rPr>
        <sz val="11"/>
        <color rgb="FF000000"/>
        <rFont val="Calibri"/>
      </rPr>
      <t xml:space="preserve">
</t>
    </r>
    <r>
      <rPr>
        <sz val="11"/>
        <color rgb="FF000000"/>
        <rFont val="Calibri"/>
      </rPr>
      <t>2. Create Anti-Malware Condition.</t>
    </r>
    <r>
      <rPr>
        <sz val="11"/>
        <color rgb="FF000000"/>
        <rFont val="Calibri"/>
      </rPr>
      <t xml:space="preserve">
</t>
    </r>
    <r>
      <rPr>
        <sz val="11"/>
        <color rgb="FF000000"/>
        <rFont val="Calibri"/>
      </rPr>
      <t>a. Expand "Conditions" on the left of the page.</t>
    </r>
    <r>
      <rPr>
        <sz val="11"/>
        <color rgb="FF000000"/>
        <rFont val="Calibri"/>
      </rPr>
      <t xml:space="preserve">
</t>
    </r>
    <r>
      <rPr>
        <sz val="11"/>
        <color rgb="FF000000"/>
        <rFont val="Calibri"/>
      </rPr>
      <t>b. Choose "Anti-Malware".</t>
    </r>
    <r>
      <rPr>
        <sz val="11"/>
        <color rgb="FF000000"/>
        <rFont val="Calibri"/>
      </rPr>
      <t xml:space="preserve">
</t>
    </r>
    <r>
      <rPr>
        <sz val="11"/>
        <color rgb="FF000000"/>
        <rFont val="Calibri"/>
      </rPr>
      <t>c. Choose "Add".</t>
    </r>
    <r>
      <rPr>
        <sz val="11"/>
        <color rgb="FF000000"/>
        <rFont val="Calibri"/>
      </rPr>
      <t xml:space="preserve">
</t>
    </r>
    <r>
      <rPr>
        <sz val="11"/>
        <color rgb="FF000000"/>
        <rFont val="Calibri"/>
      </rPr>
      <t>d. Define a Name.</t>
    </r>
    <r>
      <rPr>
        <sz val="11"/>
        <color rgb="FF000000"/>
        <rFont val="Calibri"/>
      </rPr>
      <t xml:space="preserve">
</t>
    </r>
    <r>
      <rPr>
        <sz val="11"/>
        <color rgb="FF000000"/>
        <rFont val="Calibri"/>
      </rPr>
      <t>e. Select the Operating System.</t>
    </r>
    <r>
      <rPr>
        <sz val="11"/>
        <color rgb="FF000000"/>
        <rFont val="Calibri"/>
      </rPr>
      <t xml:space="preserve">
</t>
    </r>
    <r>
      <rPr>
        <sz val="11"/>
        <color rgb="FF000000"/>
        <rFont val="Calibri"/>
      </rPr>
      <t>f. Select the vendor.</t>
    </r>
    <r>
      <rPr>
        <sz val="11"/>
        <color rgb="FF000000"/>
        <rFont val="Calibri"/>
      </rPr>
      <t xml:space="preserve">
</t>
    </r>
    <r>
      <rPr>
        <sz val="11"/>
        <color rgb="FF000000"/>
        <rFont val="Calibri"/>
      </rPr>
      <t>g. Check "Installation".</t>
    </r>
    <r>
      <rPr>
        <sz val="11"/>
        <color rgb="FF000000"/>
        <rFont val="Calibri"/>
      </rPr>
      <t xml:space="preserve">
</t>
    </r>
    <r>
      <rPr>
        <sz val="11"/>
        <color rgb="FF000000"/>
        <rFont val="Calibri"/>
      </rPr>
      <t>h. Select the desired product/products.</t>
    </r>
    <r>
      <rPr>
        <sz val="11"/>
        <color rgb="FF000000"/>
        <rFont val="Calibri"/>
      </rPr>
      <t xml:space="preserve">
</t>
    </r>
    <r>
      <rPr>
        <sz val="11"/>
        <color rgb="FF000000"/>
        <rFont val="Calibri"/>
      </rPr>
      <t>i. Choose "Submit".</t>
    </r>
    <r>
      <rPr>
        <sz val="11"/>
        <color rgb="FF000000"/>
        <rFont val="Calibri"/>
      </rPr>
      <t xml:space="preserve">
</t>
    </r>
    <r>
      <rPr>
        <sz val="11"/>
        <color rgb="FF000000"/>
        <rFont val="Calibri"/>
      </rPr>
      <t>3. Create Anti-Malware Remediation.</t>
    </r>
    <r>
      <rPr>
        <sz val="11"/>
        <color rgb="FF000000"/>
        <rFont val="Calibri"/>
      </rPr>
      <t xml:space="preserve">
</t>
    </r>
    <r>
      <rPr>
        <sz val="11"/>
        <color rgb="FF000000"/>
        <rFont val="Calibri"/>
      </rPr>
      <t>a. Expand "Remediations" on the left of the page.</t>
    </r>
    <r>
      <rPr>
        <sz val="11"/>
        <color rgb="FF000000"/>
        <rFont val="Calibri"/>
      </rPr>
      <t xml:space="preserve">
</t>
    </r>
    <r>
      <rPr>
        <sz val="11"/>
        <color rgb="FF000000"/>
        <rFont val="Calibri"/>
      </rPr>
      <t>b. Choose "Anti-Malware".</t>
    </r>
    <r>
      <rPr>
        <sz val="11"/>
        <color rgb="FF000000"/>
        <rFont val="Calibri"/>
      </rPr>
      <t xml:space="preserve">
</t>
    </r>
    <r>
      <rPr>
        <sz val="11"/>
        <color rgb="FF000000"/>
        <rFont val="Calibri"/>
      </rPr>
      <t>c. Choose "Add".</t>
    </r>
    <r>
      <rPr>
        <sz val="11"/>
        <color rgb="FF000000"/>
        <rFont val="Calibri"/>
      </rPr>
      <t xml:space="preserve">
</t>
    </r>
    <r>
      <rPr>
        <sz val="11"/>
        <color rgb="FF000000"/>
        <rFont val="Calibri"/>
      </rPr>
      <t>d. Define a Name.</t>
    </r>
    <r>
      <rPr>
        <sz val="11"/>
        <color rgb="FF000000"/>
        <rFont val="Calibri"/>
      </rPr>
      <t xml:space="preserve">
</t>
    </r>
    <r>
      <rPr>
        <sz val="11"/>
        <color rgb="FF000000"/>
        <rFont val="Calibri"/>
      </rPr>
      <t>e. Select the Operating System.</t>
    </r>
    <r>
      <rPr>
        <sz val="11"/>
        <color rgb="FF000000"/>
        <rFont val="Calibri"/>
      </rPr>
      <t xml:space="preserve">
</t>
    </r>
    <r>
      <rPr>
        <sz val="11"/>
        <color rgb="FF000000"/>
        <rFont val="Calibri"/>
      </rPr>
      <t>f. Select the Remediation Type.</t>
    </r>
    <r>
      <rPr>
        <sz val="11"/>
        <color rgb="FF000000"/>
        <rFont val="Calibri"/>
      </rPr>
      <t xml:space="preserve">
</t>
    </r>
    <r>
      <rPr>
        <sz val="11"/>
        <color rgb="FF000000"/>
        <rFont val="Calibri"/>
      </rPr>
      <t>g. Define the interval between retries.</t>
    </r>
    <r>
      <rPr>
        <sz val="11"/>
        <color rgb="FF000000"/>
        <rFont val="Calibri"/>
      </rPr>
      <t xml:space="preserve">
</t>
    </r>
    <r>
      <rPr>
        <sz val="11"/>
        <color rgb="FF000000"/>
        <rFont val="Calibri"/>
      </rPr>
      <t>h. Define Retry Count.</t>
    </r>
    <r>
      <rPr>
        <sz val="11"/>
        <color rgb="FF000000"/>
        <rFont val="Calibri"/>
      </rPr>
      <t xml:space="preserve">
</t>
    </r>
    <r>
      <rPr>
        <sz val="11"/>
        <color rgb="FF000000"/>
        <rFont val="Calibri"/>
      </rPr>
      <t>i. Select the desired Vendor Name.</t>
    </r>
    <r>
      <rPr>
        <sz val="11"/>
        <color rgb="FF000000"/>
        <rFont val="Calibri"/>
      </rPr>
      <t xml:space="preserve">
</t>
    </r>
    <r>
      <rPr>
        <sz val="11"/>
        <color rgb="FF000000"/>
        <rFont val="Calibri"/>
      </rPr>
      <t>j. Check "Remediation Option is to enable the Firewall".</t>
    </r>
    <r>
      <rPr>
        <sz val="11"/>
        <color rgb="FF000000"/>
        <rFont val="Calibri"/>
      </rPr>
      <t xml:space="preserve">
</t>
    </r>
    <r>
      <rPr>
        <sz val="11"/>
        <color rgb="FF000000"/>
        <rFont val="Calibri"/>
      </rPr>
      <t>k. Select the Product Name.</t>
    </r>
    <r>
      <rPr>
        <sz val="11"/>
        <color rgb="FF000000"/>
        <rFont val="Calibri"/>
      </rPr>
      <t xml:space="preserve">
</t>
    </r>
    <r>
      <rPr>
        <sz val="11"/>
        <color rgb="FF000000"/>
        <rFont val="Calibri"/>
      </rPr>
      <t>l. Choose "Submit".</t>
    </r>
    <r>
      <rPr>
        <sz val="11"/>
        <color rgb="FF000000"/>
        <rFont val="Calibri"/>
      </rPr>
      <t xml:space="preserve">
</t>
    </r>
    <r>
      <rPr>
        <sz val="11"/>
        <color rgb="FF000000"/>
        <rFont val="Calibri"/>
      </rPr>
      <t>4. Edit the Posture Policy.</t>
    </r>
    <r>
      <rPr>
        <sz val="11"/>
        <color rgb="FF000000"/>
        <rFont val="Calibri"/>
      </rPr>
      <t xml:space="preserve">
</t>
    </r>
    <r>
      <rPr>
        <sz val="11"/>
        <color rgb="FF000000"/>
        <rFont val="Calibri"/>
      </rPr>
      <t>a. Navigate to Work Centers &gt;&gt; Posture &gt;&gt; Posture Policy.</t>
    </r>
    <r>
      <rPr>
        <sz val="11"/>
        <color rgb="FF000000"/>
        <rFont val="Calibri"/>
      </rPr>
      <t xml:space="preserve">
</t>
    </r>
    <r>
      <rPr>
        <sz val="11"/>
        <color rgb="FF000000"/>
        <rFont val="Calibri"/>
      </rPr>
      <t>b. Find the Posture Policy that will be applied to the posture required endpoints.</t>
    </r>
    <r>
      <rPr>
        <sz val="11"/>
        <color rgb="FF000000"/>
        <rFont val="Calibri"/>
      </rPr>
      <t xml:space="preserve">
</t>
    </r>
    <r>
      <rPr>
        <sz val="11"/>
        <color rgb="FF000000"/>
        <rFont val="Calibri"/>
      </rPr>
      <t>c. Select the Requirement, ensuring there is a green check box to the left of the name indicating it is a mandatory requirement.</t>
    </r>
    <r>
      <rPr>
        <sz val="11"/>
        <color rgb="FF000000"/>
        <rFont val="Calibri"/>
      </rPr>
      <t xml:space="preserve">
</t>
    </r>
    <r>
      <rPr>
        <sz val="11"/>
        <color rgb="FF000000"/>
        <rFont val="Calibri"/>
      </rPr>
      <t>d. Choose "Done".</t>
    </r>
    <r>
      <rPr>
        <sz val="11"/>
        <color rgb="FF000000"/>
        <rFont val="Calibri"/>
      </rPr>
      <t xml:space="preserve">
</t>
    </r>
    <r>
      <rPr>
        <sz val="11"/>
        <color rgb="FF000000"/>
        <rFont val="Calibri"/>
      </rPr>
      <t>e. Choose "Save".</t>
    </r>
  </si>
  <si>
    <r>
      <rPr>
        <sz val="11"/>
        <color rgb="FF000000"/>
        <rFont val="Calibri"/>
      </rPr>
      <t>New viruses and malware are consistently being discovered. If the host-based security software is not current, then it will not be able to defend against exploits that have been previously discovered.</t>
    </r>
  </si>
  <si>
    <r>
      <rPr>
        <sz val="11"/>
        <color rgb="FF000000"/>
        <rFont val="Calibri"/>
      </rPr>
      <t>If DOD is not at C2C Step 4 or higher, this is not a finding.</t>
    </r>
    <r>
      <rPr>
        <sz val="11"/>
        <color rgb="FF000000"/>
        <rFont val="Calibri"/>
      </rPr>
      <t xml:space="preserve">
</t>
    </r>
    <r>
      <rPr>
        <sz val="11"/>
        <color rgb="FF000000"/>
        <rFont val="Calibri"/>
      </rPr>
      <t>Verify the posture policy will verify that anti-malware software is installed and up to date.</t>
    </r>
    <r>
      <rPr>
        <sz val="11"/>
        <color rgb="FF000000"/>
        <rFont val="Calibri"/>
      </rPr>
      <t xml:space="preserve">
</t>
    </r>
    <r>
      <rPr>
        <sz val="11"/>
        <color rgb="FF000000"/>
        <rFont val="Calibri"/>
      </rPr>
      <t>If not required by the NAC SSP, this is not a finding.</t>
    </r>
    <r>
      <rPr>
        <sz val="11"/>
        <color rgb="FF000000"/>
        <rFont val="Calibri"/>
      </rPr>
      <t xml:space="preserve">
</t>
    </r>
    <r>
      <rPr>
        <sz val="11"/>
        <color rgb="FF000000"/>
        <rFont val="Calibri"/>
      </rPr>
      <t>1. Navigate to Work Center &gt;&gt; Posture &gt;&gt; Posture Policy.</t>
    </r>
    <r>
      <rPr>
        <sz val="11"/>
        <color rgb="FF000000"/>
        <rFont val="Calibri"/>
      </rPr>
      <t xml:space="preserve">
</t>
    </r>
    <r>
      <rPr>
        <sz val="11"/>
        <color rgb="FF000000"/>
        <rFont val="Calibri"/>
      </rPr>
      <t>2. Check the enabled posture policies analyzing all the conditions.</t>
    </r>
    <r>
      <rPr>
        <sz val="11"/>
        <color rgb="FF000000"/>
        <rFont val="Calibri"/>
      </rPr>
      <t xml:space="preserve">
</t>
    </r>
    <r>
      <rPr>
        <sz val="11"/>
        <color rgb="FF000000"/>
        <rFont val="Calibri"/>
      </rPr>
      <t>3. Review the requirements listed on polices the posture required clients will use.</t>
    </r>
    <r>
      <rPr>
        <sz val="11"/>
        <color rgb="FF000000"/>
        <rFont val="Calibri"/>
      </rPr>
      <t xml:space="preserve">
</t>
    </r>
    <r>
      <rPr>
        <sz val="11"/>
        <color rgb="FF000000"/>
        <rFont val="Calibri"/>
      </rPr>
      <t>4. Navigate to Work Center &gt;&gt; Posture &gt;&gt; Policy Elements.</t>
    </r>
    <r>
      <rPr>
        <sz val="11"/>
        <color rgb="FF000000"/>
        <rFont val="Calibri"/>
      </rPr>
      <t xml:space="preserve">
</t>
    </r>
    <r>
      <rPr>
        <sz val="11"/>
        <color rgb="FF000000"/>
        <rFont val="Calibri"/>
      </rPr>
      <t>5. Review the requirements applied in the posture policy to verify anti-malware conditions have been applied.</t>
    </r>
    <r>
      <rPr>
        <sz val="11"/>
        <color rgb="FF000000"/>
        <rFont val="Calibri"/>
      </rPr>
      <t xml:space="preserve">
</t>
    </r>
    <r>
      <rPr>
        <sz val="11"/>
        <color rgb="FF000000"/>
        <rFont val="Calibri"/>
      </rPr>
      <t xml:space="preserve">6. Review the anti-malware conditions, to determine if one is configured to verify that the software is installed, and one is configured to verify the software is up to date. </t>
    </r>
    <r>
      <rPr>
        <sz val="11"/>
        <color rgb="FF000000"/>
        <rFont val="Calibri"/>
      </rPr>
      <t xml:space="preserve">
</t>
    </r>
    <r>
      <rPr>
        <sz val="11"/>
        <color rgb="FF000000"/>
        <rFont val="Calibri"/>
      </rPr>
      <t xml:space="preserve">If this requirement is met by another system or application, this is not applicable. </t>
    </r>
    <r>
      <rPr>
        <sz val="11"/>
        <color rgb="FF000000"/>
        <rFont val="Calibri"/>
      </rPr>
      <t xml:space="preserve">
</t>
    </r>
    <r>
      <rPr>
        <sz val="11"/>
        <color rgb="FF000000"/>
        <rFont val="Calibri"/>
      </rPr>
      <t>If there is not a firewall condition tied to a requirement applied to an applicable posture policy, this is a finding.</t>
    </r>
  </si>
  <si>
    <t>V-242580</t>
  </si>
  <si>
    <r>
      <rPr>
        <sz val="11"/>
        <rFont val="Calibri"/>
      </rPr>
      <t>The Cisco ISE must verify host-based IDS/IPS software is authorized and running on posture required clients defined in the NAC System Security Plan (SSP) prior to granting trusted network access. This is required for compliance with C2C Step 4.</t>
    </r>
  </si>
  <si>
    <r>
      <rPr>
        <sz val="11"/>
        <color rgb="FF000000"/>
        <rFont val="Calibri"/>
      </rPr>
      <t>If required by the NAC SSP, configure the posture policy to verify that a host-based IPS is running.</t>
    </r>
    <r>
      <rPr>
        <sz val="11"/>
        <color rgb="FF000000"/>
        <rFont val="Calibri"/>
      </rPr>
      <t xml:space="preserve">
</t>
    </r>
    <r>
      <rPr>
        <sz val="11"/>
        <color rgb="FF000000"/>
        <rFont val="Calibri"/>
      </rPr>
      <t>1. Navigate to Work Centers &gt;&gt; Posture &gt;&gt; Policy Elements.</t>
    </r>
    <r>
      <rPr>
        <sz val="11"/>
        <color rgb="FF000000"/>
        <rFont val="Calibri"/>
      </rPr>
      <t xml:space="preserve">
</t>
    </r>
    <r>
      <rPr>
        <sz val="11"/>
        <color rgb="FF000000"/>
        <rFont val="Calibri"/>
      </rPr>
      <t>2. Create Host Intrusion Prevention Condition.</t>
    </r>
    <r>
      <rPr>
        <sz val="11"/>
        <color rgb="FF000000"/>
        <rFont val="Calibri"/>
      </rPr>
      <t xml:space="preserve">
</t>
    </r>
    <r>
      <rPr>
        <sz val="11"/>
        <color rgb="FF000000"/>
        <rFont val="Calibri"/>
      </rPr>
      <t>a. Expand "Conditions" on the left of the page.</t>
    </r>
    <r>
      <rPr>
        <sz val="11"/>
        <color rgb="FF000000"/>
        <rFont val="Calibri"/>
      </rPr>
      <t xml:space="preserve">
</t>
    </r>
    <r>
      <rPr>
        <sz val="11"/>
        <color rgb="FF000000"/>
        <rFont val="Calibri"/>
      </rPr>
      <t>b. Choose "Firewall Condition".</t>
    </r>
    <r>
      <rPr>
        <sz val="11"/>
        <color rgb="FF000000"/>
        <rFont val="Calibri"/>
      </rPr>
      <t xml:space="preserve">
</t>
    </r>
    <r>
      <rPr>
        <sz val="11"/>
        <color rgb="FF000000"/>
        <rFont val="Calibri"/>
      </rPr>
      <t>c. Choose "Add".</t>
    </r>
    <r>
      <rPr>
        <sz val="11"/>
        <color rgb="FF000000"/>
        <rFont val="Calibri"/>
      </rPr>
      <t xml:space="preserve">
</t>
    </r>
    <r>
      <rPr>
        <sz val="11"/>
        <color rgb="FF000000"/>
        <rFont val="Calibri"/>
      </rPr>
      <t>d. Define a Name.</t>
    </r>
    <r>
      <rPr>
        <sz val="11"/>
        <color rgb="FF000000"/>
        <rFont val="Calibri"/>
      </rPr>
      <t xml:space="preserve">
</t>
    </r>
    <r>
      <rPr>
        <sz val="11"/>
        <color rgb="FF000000"/>
        <rFont val="Calibri"/>
      </rPr>
      <t>e. Select the applicable Compliance Module.</t>
    </r>
    <r>
      <rPr>
        <sz val="11"/>
        <color rgb="FF000000"/>
        <rFont val="Calibri"/>
      </rPr>
      <t xml:space="preserve">
</t>
    </r>
    <r>
      <rPr>
        <sz val="11"/>
        <color rgb="FF000000"/>
        <rFont val="Calibri"/>
      </rPr>
      <t>f. Select the Operating System.</t>
    </r>
    <r>
      <rPr>
        <sz val="11"/>
        <color rgb="FF000000"/>
        <rFont val="Calibri"/>
      </rPr>
      <t xml:space="preserve">
</t>
    </r>
    <r>
      <rPr>
        <sz val="11"/>
        <color rgb="FF000000"/>
        <rFont val="Calibri"/>
      </rPr>
      <t>g. Select the applicable firewall vendor.</t>
    </r>
    <r>
      <rPr>
        <sz val="11"/>
        <color rgb="FF000000"/>
        <rFont val="Calibri"/>
      </rPr>
      <t xml:space="preserve">
</t>
    </r>
    <r>
      <rPr>
        <sz val="11"/>
        <color rgb="FF000000"/>
        <rFont val="Calibri"/>
      </rPr>
      <t>h. Check "enable".</t>
    </r>
    <r>
      <rPr>
        <sz val="11"/>
        <color rgb="FF000000"/>
        <rFont val="Calibri"/>
      </rPr>
      <t xml:space="preserve">
</t>
    </r>
    <r>
      <rPr>
        <sz val="11"/>
        <color rgb="FF000000"/>
        <rFont val="Calibri"/>
      </rPr>
      <t>i. Select the applicable host intrusion prevention from the product list.</t>
    </r>
    <r>
      <rPr>
        <sz val="11"/>
        <color rgb="FF000000"/>
        <rFont val="Calibri"/>
      </rPr>
      <t xml:space="preserve">
</t>
    </r>
    <r>
      <rPr>
        <sz val="11"/>
        <color rgb="FF000000"/>
        <rFont val="Calibri"/>
      </rPr>
      <t>j. Click "Save".</t>
    </r>
    <r>
      <rPr>
        <sz val="11"/>
        <color rgb="FF000000"/>
        <rFont val="Calibri"/>
      </rPr>
      <t xml:space="preserve">
</t>
    </r>
    <r>
      <rPr>
        <sz val="11"/>
        <color rgb="FF000000"/>
        <rFont val="Calibri"/>
      </rPr>
      <t>3. Create Requirements.</t>
    </r>
    <r>
      <rPr>
        <sz val="11"/>
        <color rgb="FF000000"/>
        <rFont val="Calibri"/>
      </rPr>
      <t xml:space="preserve">
</t>
    </r>
    <r>
      <rPr>
        <sz val="11"/>
        <color rgb="FF000000"/>
        <rFont val="Calibri"/>
      </rPr>
      <t>a. Choose "Requirements" on the left of the page.</t>
    </r>
    <r>
      <rPr>
        <sz val="11"/>
        <color rgb="FF000000"/>
        <rFont val="Calibri"/>
      </rPr>
      <t xml:space="preserve">
</t>
    </r>
    <r>
      <rPr>
        <sz val="11"/>
        <color rgb="FF000000"/>
        <rFont val="Calibri"/>
      </rPr>
      <t>b. Choose the drop-down located next to "Edit" on the right side of the page where the requirement is to be inserted.</t>
    </r>
    <r>
      <rPr>
        <sz val="11"/>
        <color rgb="FF000000"/>
        <rFont val="Calibri"/>
      </rPr>
      <t xml:space="preserve">
</t>
    </r>
    <r>
      <rPr>
        <sz val="11"/>
        <color rgb="FF000000"/>
        <rFont val="Calibri"/>
      </rPr>
      <t>c. Choose "Insert new Requirement".</t>
    </r>
    <r>
      <rPr>
        <sz val="11"/>
        <color rgb="FF000000"/>
        <rFont val="Calibri"/>
      </rPr>
      <t xml:space="preserve">
</t>
    </r>
    <r>
      <rPr>
        <sz val="11"/>
        <color rgb="FF000000"/>
        <rFont val="Calibri"/>
      </rPr>
      <t>d. Define a Name.</t>
    </r>
    <r>
      <rPr>
        <sz val="11"/>
        <color rgb="FF000000"/>
        <rFont val="Calibri"/>
      </rPr>
      <t xml:space="preserve">
</t>
    </r>
    <r>
      <rPr>
        <sz val="11"/>
        <color rgb="FF000000"/>
        <rFont val="Calibri"/>
      </rPr>
      <t>e. Select the Operating System.</t>
    </r>
    <r>
      <rPr>
        <sz val="11"/>
        <color rgb="FF000000"/>
        <rFont val="Calibri"/>
      </rPr>
      <t xml:space="preserve">
</t>
    </r>
    <r>
      <rPr>
        <sz val="11"/>
        <color rgb="FF000000"/>
        <rFont val="Calibri"/>
      </rPr>
      <t>f. Select the applicable Compliance Module.</t>
    </r>
    <r>
      <rPr>
        <sz val="11"/>
        <color rgb="FF000000"/>
        <rFont val="Calibri"/>
      </rPr>
      <t xml:space="preserve">
</t>
    </r>
    <r>
      <rPr>
        <sz val="11"/>
        <color rgb="FF000000"/>
        <rFont val="Calibri"/>
      </rPr>
      <t>g. Select the Posture Type.</t>
    </r>
    <r>
      <rPr>
        <sz val="11"/>
        <color rgb="FF000000"/>
        <rFont val="Calibri"/>
      </rPr>
      <t xml:space="preserve">
</t>
    </r>
    <r>
      <rPr>
        <sz val="11"/>
        <color rgb="FF000000"/>
        <rFont val="Calibri"/>
      </rPr>
      <t>h. Select the Condition previously configured.</t>
    </r>
    <r>
      <rPr>
        <sz val="11"/>
        <color rgb="FF000000"/>
        <rFont val="Calibri"/>
      </rPr>
      <t xml:space="preserve">
</t>
    </r>
    <r>
      <rPr>
        <sz val="11"/>
        <color rgb="FF000000"/>
        <rFont val="Calibri"/>
      </rPr>
      <t>i. Select the Remediation Action of "Message Text Only" and type in a message to display.</t>
    </r>
    <r>
      <rPr>
        <sz val="11"/>
        <color rgb="FF000000"/>
        <rFont val="Calibri"/>
      </rPr>
      <t xml:space="preserve">
</t>
    </r>
    <r>
      <rPr>
        <sz val="11"/>
        <color rgb="FF000000"/>
        <rFont val="Calibri"/>
      </rPr>
      <t>j. Choose "Done".</t>
    </r>
    <r>
      <rPr>
        <sz val="11"/>
        <color rgb="FF000000"/>
        <rFont val="Calibri"/>
      </rPr>
      <t xml:space="preserve">
</t>
    </r>
    <r>
      <rPr>
        <sz val="11"/>
        <color rgb="FF000000"/>
        <rFont val="Calibri"/>
      </rPr>
      <t>k. Choose "Save".</t>
    </r>
    <r>
      <rPr>
        <sz val="11"/>
        <color rgb="FF000000"/>
        <rFont val="Calibri"/>
      </rPr>
      <t xml:space="preserve">
</t>
    </r>
    <r>
      <rPr>
        <sz val="11"/>
        <color rgb="FF000000"/>
        <rFont val="Calibri"/>
      </rPr>
      <t>4. Edit the Posture Policy.</t>
    </r>
    <r>
      <rPr>
        <sz val="11"/>
        <color rgb="FF000000"/>
        <rFont val="Calibri"/>
      </rPr>
      <t xml:space="preserve">
</t>
    </r>
    <r>
      <rPr>
        <sz val="11"/>
        <color rgb="FF000000"/>
        <rFont val="Calibri"/>
      </rPr>
      <t>a. Navigate to Work Centers &gt;&gt; Posture &gt;&gt; Posture Policy.</t>
    </r>
    <r>
      <rPr>
        <sz val="11"/>
        <color rgb="FF000000"/>
        <rFont val="Calibri"/>
      </rPr>
      <t xml:space="preserve">
</t>
    </r>
    <r>
      <rPr>
        <sz val="11"/>
        <color rgb="FF000000"/>
        <rFont val="Calibri"/>
      </rPr>
      <t>b. Find the Posture Policy that will be applied to the posture required endpoints.</t>
    </r>
    <r>
      <rPr>
        <sz val="11"/>
        <color rgb="FF000000"/>
        <rFont val="Calibri"/>
      </rPr>
      <t xml:space="preserve">
</t>
    </r>
    <r>
      <rPr>
        <sz val="11"/>
        <color rgb="FF000000"/>
        <rFont val="Calibri"/>
      </rPr>
      <t>c. Select the Requirement ensuring there is a green check box to the left of the name indicating it is a mandatory requirement.</t>
    </r>
    <r>
      <rPr>
        <sz val="11"/>
        <color rgb="FF000000"/>
        <rFont val="Calibri"/>
      </rPr>
      <t xml:space="preserve">
</t>
    </r>
    <r>
      <rPr>
        <sz val="11"/>
        <color rgb="FF000000"/>
        <rFont val="Calibri"/>
      </rPr>
      <t>d. Choose "Done".</t>
    </r>
    <r>
      <rPr>
        <sz val="11"/>
        <color rgb="FF000000"/>
        <rFont val="Calibri"/>
      </rPr>
      <t xml:space="preserve">
</t>
    </r>
    <r>
      <rPr>
        <sz val="11"/>
        <color rgb="FF000000"/>
        <rFont val="Calibri"/>
      </rPr>
      <t>e. Choose "Save".</t>
    </r>
  </si>
  <si>
    <r>
      <rPr>
        <sz val="11"/>
        <color rgb="FF000000"/>
        <rFont val="Calibri"/>
      </rPr>
      <t>If DoD is not at C2C Step 4 or higher, this is not a finding.</t>
    </r>
    <r>
      <rPr>
        <sz val="11"/>
        <color rgb="FF000000"/>
        <rFont val="Calibri"/>
      </rPr>
      <t xml:space="preserve">
</t>
    </r>
    <r>
      <rPr>
        <sz val="11"/>
        <color rgb="FF000000"/>
        <rFont val="Calibri"/>
      </rPr>
      <t>If not required by the NAC SSP, this is not a finding.</t>
    </r>
    <r>
      <rPr>
        <sz val="11"/>
        <color rgb="FF000000"/>
        <rFont val="Calibri"/>
      </rPr>
      <t xml:space="preserve">
</t>
    </r>
    <r>
      <rPr>
        <sz val="11"/>
        <color rgb="FF000000"/>
        <rFont val="Calibri"/>
      </rPr>
      <t>Verify that the posture policy will verify that a host-based IPS is running.</t>
    </r>
    <r>
      <rPr>
        <sz val="11"/>
        <color rgb="FF000000"/>
        <rFont val="Calibri"/>
      </rPr>
      <t xml:space="preserve">
</t>
    </r>
    <r>
      <rPr>
        <sz val="11"/>
        <color rgb="FF000000"/>
        <rFont val="Calibri"/>
      </rPr>
      <t>1. Navigate to Work Center &gt;&gt; Posture &gt;&gt; Posture Policy.</t>
    </r>
    <r>
      <rPr>
        <sz val="11"/>
        <color rgb="FF000000"/>
        <rFont val="Calibri"/>
      </rPr>
      <t xml:space="preserve">
</t>
    </r>
    <r>
      <rPr>
        <sz val="11"/>
        <color rgb="FF000000"/>
        <rFont val="Calibri"/>
      </rPr>
      <t>2. Look over the enabled posture policies analyzing all the conditions.</t>
    </r>
    <r>
      <rPr>
        <sz val="11"/>
        <color rgb="FF000000"/>
        <rFont val="Calibri"/>
      </rPr>
      <t xml:space="preserve">
</t>
    </r>
    <r>
      <rPr>
        <sz val="11"/>
        <color rgb="FF000000"/>
        <rFont val="Calibri"/>
      </rPr>
      <t>3. Review the requirements listed on polices that the posture required clients will use.</t>
    </r>
    <r>
      <rPr>
        <sz val="11"/>
        <color rgb="FF000000"/>
        <rFont val="Calibri"/>
      </rPr>
      <t xml:space="preserve">
</t>
    </r>
    <r>
      <rPr>
        <sz val="11"/>
        <color rgb="FF000000"/>
        <rFont val="Calibri"/>
      </rPr>
      <t>4. Navigate to Work Centers &gt;&gt; Posture &gt;&gt; Policy Elements.</t>
    </r>
    <r>
      <rPr>
        <sz val="11"/>
        <color rgb="FF000000"/>
        <rFont val="Calibri"/>
      </rPr>
      <t xml:space="preserve">
</t>
    </r>
    <r>
      <rPr>
        <sz val="11"/>
        <color rgb="FF000000"/>
        <rFont val="Calibri"/>
      </rPr>
      <t>5. Review the requirements applied in the posture policy to ensure there is one with a firewall condition applied.</t>
    </r>
    <r>
      <rPr>
        <sz val="11"/>
        <color rgb="FF000000"/>
        <rFont val="Calibri"/>
      </rPr>
      <t xml:space="preserve">
</t>
    </r>
    <r>
      <rPr>
        <sz val="11"/>
        <color rgb="FF000000"/>
        <rFont val="Calibri"/>
      </rPr>
      <t>6. Review the firewall condition ensuring it is configured to verify that the client firewall is enabled.</t>
    </r>
    <r>
      <rPr>
        <sz val="11"/>
        <color rgb="FF000000"/>
        <rFont val="Calibri"/>
      </rPr>
      <t xml:space="preserve">
</t>
    </r>
    <r>
      <rPr>
        <sz val="11"/>
        <color rgb="FF000000"/>
        <rFont val="Calibri"/>
      </rPr>
      <t>If there is not a firewall condition tied to a requirement that is applied to an applicable posture policy, this is a finding.</t>
    </r>
  </si>
  <si>
    <t>V-242581</t>
  </si>
  <si>
    <r>
      <rPr>
        <sz val="11"/>
        <rFont val="Calibri"/>
      </rPr>
      <t>For endpoints that require automated remediation, the Cisco ISE must be configured to redirect endpoints to a logically separate VLAN for remediation services. This is required for compliance with C2C Step 4.</t>
    </r>
  </si>
  <si>
    <t>CAT II (Medium)</t>
  </si>
  <si>
    <r>
      <rPr>
        <sz val="11"/>
        <color rgb="FF000000"/>
        <rFont val="Calibri"/>
      </rPr>
      <t>If required by the NAC SSP, configure the "Posture NonCompliant" authorization policy so that the result that will assign the remediation VLAN.</t>
    </r>
    <r>
      <rPr>
        <sz val="11"/>
        <color rgb="FF000000"/>
        <rFont val="Calibri"/>
      </rPr>
      <t xml:space="preserve">
</t>
    </r>
    <r>
      <rPr>
        <sz val="11"/>
        <color rgb="FF000000"/>
        <rFont val="Calibri"/>
      </rPr>
      <t>1. Work Centers &gt;&gt; Network Access &gt;&gt; Policy Sets.</t>
    </r>
    <r>
      <rPr>
        <sz val="11"/>
        <color rgb="FF000000"/>
        <rFont val="Calibri"/>
      </rPr>
      <t xml:space="preserve">
</t>
    </r>
    <r>
      <rPr>
        <sz val="11"/>
        <color rgb="FF000000"/>
        <rFont val="Calibri"/>
      </rPr>
      <t>2. Choose "&gt;" on the desired policy set.</t>
    </r>
    <r>
      <rPr>
        <sz val="11"/>
        <color rgb="FF000000"/>
        <rFont val="Calibri"/>
      </rPr>
      <t xml:space="preserve">
</t>
    </r>
    <r>
      <rPr>
        <sz val="11"/>
        <color rgb="FF000000"/>
        <rFont val="Calibri"/>
      </rPr>
      <t>3. Expand Authorization Policy.</t>
    </r>
    <r>
      <rPr>
        <sz val="11"/>
        <color rgb="FF000000"/>
        <rFont val="Calibri"/>
      </rPr>
      <t xml:space="preserve">
</t>
    </r>
    <r>
      <rPr>
        <sz val="11"/>
        <color rgb="FF000000"/>
        <rFont val="Calibri"/>
      </rPr>
      <t>4. Create an authorization policy for "Posture NonCompliant".</t>
    </r>
    <r>
      <rPr>
        <sz val="11"/>
        <color rgb="FF000000"/>
        <rFont val="Calibri"/>
      </rPr>
      <t xml:space="preserve">
</t>
    </r>
    <r>
      <rPr>
        <sz val="11"/>
        <color rgb="FF000000"/>
        <rFont val="Calibri"/>
      </rPr>
      <t>5. Assign the remediation VLAN result.</t>
    </r>
  </si>
  <si>
    <r>
      <rPr>
        <sz val="11"/>
        <color rgb="FF000000"/>
        <rFont val="Calibri"/>
      </rPr>
      <t>Automated and manual procedures for remediation for critical security updates will be managed differently. Continuing to assess and remediate endpoints with risks that could endanger the network could impact network usage for all users. This isolation prevents traffic from flowing with traffic from endpoints that have been fully assessed and authorized.</t>
    </r>
    <r>
      <rPr>
        <sz val="11"/>
        <color rgb="FF000000"/>
        <rFont val="Calibri"/>
      </rPr>
      <t xml:space="preserve">
</t>
    </r>
    <r>
      <rPr>
        <sz val="11"/>
        <color rgb="FF000000"/>
        <rFont val="Calibri"/>
      </rPr>
      <t>Unauthenticated devices must not be allowed to connect to remediation services.</t>
    </r>
  </si>
  <si>
    <r>
      <rPr>
        <sz val="11"/>
        <color rgb="FF000000"/>
        <rFont val="Calibri"/>
      </rPr>
      <t>If DoD is not at C2C Step 4 or higher, this is not a finding.</t>
    </r>
    <r>
      <rPr>
        <sz val="11"/>
        <color rgb="FF000000"/>
        <rFont val="Calibri"/>
      </rPr>
      <t xml:space="preserve">
</t>
    </r>
    <r>
      <rPr>
        <sz val="11"/>
        <color rgb="FF000000"/>
        <rFont val="Calibri"/>
      </rPr>
      <t>If not required by the NAC SSP, this is not a finding.</t>
    </r>
    <r>
      <rPr>
        <sz val="11"/>
        <color rgb="FF000000"/>
        <rFont val="Calibri"/>
      </rPr>
      <t xml:space="preserve">
</t>
    </r>
    <r>
      <rPr>
        <sz val="11"/>
        <color rgb="FF000000"/>
        <rFont val="Calibri"/>
      </rPr>
      <t xml:space="preserve">Verify that the authorization policies for "Posture NonCompliant" have a result that will assign the remediation VLAN. </t>
    </r>
    <r>
      <rPr>
        <sz val="11"/>
        <color rgb="FF000000"/>
        <rFont val="Calibri"/>
      </rPr>
      <t xml:space="preserve">
</t>
    </r>
    <r>
      <rPr>
        <sz val="11"/>
        <color rgb="FF000000"/>
        <rFont val="Calibri"/>
      </rPr>
      <t>1. Work Centers &gt;&gt; Network Access &gt;&gt; Policy Sets.</t>
    </r>
    <r>
      <rPr>
        <sz val="11"/>
        <color rgb="FF000000"/>
        <rFont val="Calibri"/>
      </rPr>
      <t xml:space="preserve">
</t>
    </r>
    <r>
      <rPr>
        <sz val="11"/>
        <color rgb="FF000000"/>
        <rFont val="Calibri"/>
      </rPr>
      <t>2. Choose "&gt;" on the desired policy set.</t>
    </r>
    <r>
      <rPr>
        <sz val="11"/>
        <color rgb="FF000000"/>
        <rFont val="Calibri"/>
      </rPr>
      <t xml:space="preserve">
</t>
    </r>
    <r>
      <rPr>
        <sz val="11"/>
        <color rgb="FF000000"/>
        <rFont val="Calibri"/>
      </rPr>
      <t>3. Expand Authorization Policy.</t>
    </r>
    <r>
      <rPr>
        <sz val="11"/>
        <color rgb="FF000000"/>
        <rFont val="Calibri"/>
      </rPr>
      <t xml:space="preserve">
</t>
    </r>
    <r>
      <rPr>
        <sz val="11"/>
        <color rgb="FF000000"/>
        <rFont val="Calibri"/>
      </rPr>
      <t>4. Scan for Authorization policies with "Posture NonCompliant" condition.</t>
    </r>
    <r>
      <rPr>
        <sz val="11"/>
        <color rgb="FF000000"/>
        <rFont val="Calibri"/>
      </rPr>
      <t xml:space="preserve">
</t>
    </r>
    <r>
      <rPr>
        <sz val="11"/>
        <color rgb="FF000000"/>
        <rFont val="Calibri"/>
      </rPr>
      <t xml:space="preserve">5. Verify the result assigned to the authorization policy will assign the remediation VLAN. </t>
    </r>
    <r>
      <rPr>
        <sz val="11"/>
        <color rgb="FF000000"/>
        <rFont val="Calibri"/>
      </rPr>
      <t xml:space="preserve">
</t>
    </r>
    <r>
      <rPr>
        <sz val="11"/>
        <color rgb="FF000000"/>
        <rFont val="Calibri"/>
      </rPr>
      <t>If the result is the remediation VLAN, this is not a finding.</t>
    </r>
    <r>
      <rPr>
        <sz val="11"/>
        <color rgb="FF000000"/>
        <rFont val="Calibri"/>
      </rPr>
      <t xml:space="preserve">
</t>
    </r>
    <r>
      <rPr>
        <sz val="11"/>
        <color rgb="FF000000"/>
        <rFont val="Calibri"/>
      </rPr>
      <t>If posture is not mandated by the Information System Security Manager (ISSM), this is not a finding.</t>
    </r>
  </si>
  <si>
    <t>V-242582</t>
  </si>
  <si>
    <r>
      <rPr>
        <sz val="11"/>
        <rFont val="Calibri"/>
      </rPr>
      <t>The Cisco ISE must be configured to notify the user before proceeding with remediation of the user</t>
    </r>
    <r>
      <rPr>
        <sz val="11"/>
        <color rgb="FF000000"/>
        <rFont val="Calibri"/>
      </rPr>
      <t>'</t>
    </r>
    <r>
      <rPr>
        <sz val="11"/>
        <color rgb="FF000000"/>
        <rFont val="Calibri"/>
      </rPr>
      <t>s endpoint device when automated remediation is used. This is required for compliance with C2C Step 3.</t>
    </r>
  </si>
  <si>
    <t>CAT III (Low)</t>
  </si>
  <si>
    <r>
      <rPr>
        <sz val="11"/>
        <color rgb="FF000000"/>
        <rFont val="Calibri"/>
      </rPr>
      <t>If required by the NAC SSP, configure a message prior to remediation:</t>
    </r>
    <r>
      <rPr>
        <sz val="11"/>
        <color rgb="FF000000"/>
        <rFont val="Calibri"/>
      </rPr>
      <t xml:space="preserve">
</t>
    </r>
    <r>
      <rPr>
        <sz val="11"/>
        <color rgb="FF000000"/>
        <rFont val="Calibri"/>
      </rPr>
      <t>1. Navigate to Work Centers &gt;&gt; Posture &gt;&gt; Policy Elements &gt;&gt; Requirements.</t>
    </r>
    <r>
      <rPr>
        <sz val="11"/>
        <color rgb="FF000000"/>
        <rFont val="Calibri"/>
      </rPr>
      <t xml:space="preserve">
</t>
    </r>
    <r>
      <rPr>
        <sz val="11"/>
        <color rgb="FF000000"/>
        <rFont val="Calibri"/>
      </rPr>
      <t>2. On the requirements under "Remediation Actions", define a message in the "Message Shown to Agent User".</t>
    </r>
    <r>
      <rPr>
        <sz val="11"/>
        <color rgb="FF000000"/>
        <rFont val="Calibri"/>
      </rPr>
      <t xml:space="preserve">
</t>
    </r>
    <r>
      <rPr>
        <sz val="11"/>
        <color rgb="FF000000"/>
        <rFont val="Calibri"/>
      </rPr>
      <t>3. Choose "Done".</t>
    </r>
    <r>
      <rPr>
        <sz val="11"/>
        <color rgb="FF000000"/>
        <rFont val="Calibri"/>
      </rPr>
      <t xml:space="preserve">
</t>
    </r>
    <r>
      <rPr>
        <sz val="11"/>
        <color rgb="FF000000"/>
        <rFont val="Calibri"/>
      </rPr>
      <t>4. Choose "Save".</t>
    </r>
  </si>
  <si>
    <r>
      <rPr>
        <sz val="11"/>
        <color rgb="FF000000"/>
        <rFont val="Calibri"/>
      </rPr>
      <t>Notification will let the user know that installation is in progress and may take a while. This notice may deter the user from disconnecting and retrying the connection before the remediation is completed. Premature disconnections may increase network demand and frustrate the user.</t>
    </r>
    <r>
      <rPr>
        <sz val="11"/>
        <color rgb="FF000000"/>
        <rFont val="Calibri"/>
      </rPr>
      <t xml:space="preserve">
</t>
    </r>
    <r>
      <rPr>
        <sz val="11"/>
        <color rgb="FF000000"/>
        <rFont val="Calibri"/>
      </rPr>
      <t>Note: This policy does not require remediation to be performed by the Cisco ISE, but will apply if remediation services are used.</t>
    </r>
  </si>
  <si>
    <r>
      <rPr>
        <sz val="11"/>
        <color rgb="FF000000"/>
        <rFont val="Calibri"/>
      </rPr>
      <t>If DoD is not at C2C Step 3 or higher, this is not a finding.</t>
    </r>
    <r>
      <rPr>
        <sz val="11"/>
        <color rgb="FF000000"/>
        <rFont val="Calibri"/>
      </rPr>
      <t xml:space="preserve">
</t>
    </r>
    <r>
      <rPr>
        <sz val="11"/>
        <color rgb="FF000000"/>
        <rFont val="Calibri"/>
      </rPr>
      <t>If not required by the NAC SSP, this is not a finding.</t>
    </r>
    <r>
      <rPr>
        <sz val="11"/>
        <color rgb="FF000000"/>
        <rFont val="Calibri"/>
      </rPr>
      <t xml:space="preserve">
</t>
    </r>
    <r>
      <rPr>
        <sz val="11"/>
        <color rgb="FF000000"/>
        <rFont val="Calibri"/>
      </rPr>
      <t xml:space="preserve">Verify that each requirement used has a message to display. </t>
    </r>
    <r>
      <rPr>
        <sz val="11"/>
        <color rgb="FF000000"/>
        <rFont val="Calibri"/>
      </rPr>
      <t xml:space="preserve">
</t>
    </r>
    <r>
      <rPr>
        <sz val="11"/>
        <color rgb="FF000000"/>
        <rFont val="Calibri"/>
      </rPr>
      <t>1. Navigate to Work Centers &gt;&gt; Posture &gt;&gt; Posture Policy.</t>
    </r>
    <r>
      <rPr>
        <sz val="11"/>
        <color rgb="FF000000"/>
        <rFont val="Calibri"/>
      </rPr>
      <t xml:space="preserve">
</t>
    </r>
    <r>
      <rPr>
        <sz val="11"/>
        <color rgb="FF000000"/>
        <rFont val="Calibri"/>
      </rPr>
      <t>2. Make a note of each "Requirement" tied to an enabled Posture Policy.</t>
    </r>
    <r>
      <rPr>
        <sz val="11"/>
        <color rgb="FF000000"/>
        <rFont val="Calibri"/>
      </rPr>
      <t xml:space="preserve">
</t>
    </r>
    <r>
      <rPr>
        <sz val="11"/>
        <color rgb="FF000000"/>
        <rFont val="Calibri"/>
      </rPr>
      <t>3. Navigate to Work Centers &gt;&gt; Posture &gt;&gt; Policy Elements &gt;&gt; Requirements.</t>
    </r>
    <r>
      <rPr>
        <sz val="11"/>
        <color rgb="FF000000"/>
        <rFont val="Calibri"/>
      </rPr>
      <t xml:space="preserve">
</t>
    </r>
    <r>
      <rPr>
        <sz val="11"/>
        <color rgb="FF000000"/>
        <rFont val="Calibri"/>
      </rPr>
      <t xml:space="preserve">4. Verify that each requirement noted has a message in the "Message Shown to Agent User" box. </t>
    </r>
    <r>
      <rPr>
        <sz val="11"/>
        <color rgb="FF000000"/>
        <rFont val="Calibri"/>
      </rPr>
      <t xml:space="preserve">
</t>
    </r>
    <r>
      <rPr>
        <sz val="11"/>
        <color rgb="FF000000"/>
        <rFont val="Calibri"/>
      </rPr>
      <t>If a requirement that is used does not have a message, this is a finding.</t>
    </r>
  </si>
  <si>
    <t>V-242583</t>
  </si>
  <si>
    <r>
      <rPr>
        <sz val="11"/>
        <rFont val="Calibri"/>
      </rPr>
      <t>The Cisco ISE must be configured so that all endpoints that are allowed to bypass policy assessment are approved by the Information System Security Manager (ISSM) and documented in the System Security Plan (SSP). This is This is required for compliance with C2C Step 1.</t>
    </r>
  </si>
  <si>
    <r>
      <rPr>
        <sz val="11"/>
        <color rgb="FF000000"/>
        <rFont val="Calibri"/>
      </rPr>
      <t>If required by the NAC SSP, configure the posture policy to assess mandated endpoints.</t>
    </r>
    <r>
      <rPr>
        <sz val="11"/>
        <color rgb="FF000000"/>
        <rFont val="Calibri"/>
      </rPr>
      <t xml:space="preserve">
</t>
    </r>
    <r>
      <rPr>
        <sz val="11"/>
        <color rgb="FF000000"/>
        <rFont val="Calibri"/>
      </rPr>
      <t>1. Navigate to Work Centers &gt;&gt; Posture &gt;&gt; Posture Policy.</t>
    </r>
    <r>
      <rPr>
        <sz val="11"/>
        <color rgb="FF000000"/>
        <rFont val="Calibri"/>
      </rPr>
      <t xml:space="preserve">
</t>
    </r>
    <r>
      <rPr>
        <sz val="11"/>
        <color rgb="FF000000"/>
        <rFont val="Calibri"/>
      </rPr>
      <t>2. Choose the drop-down located next to "Edit" on the right side of the page where you want the new policy inserted.</t>
    </r>
    <r>
      <rPr>
        <sz val="11"/>
        <color rgb="FF000000"/>
        <rFont val="Calibri"/>
      </rPr>
      <t xml:space="preserve">
</t>
    </r>
    <r>
      <rPr>
        <sz val="11"/>
        <color rgb="FF000000"/>
        <rFont val="Calibri"/>
      </rPr>
      <t>3. Choose "Insert new policy".</t>
    </r>
    <r>
      <rPr>
        <sz val="11"/>
        <color rgb="FF000000"/>
        <rFont val="Calibri"/>
      </rPr>
      <t xml:space="preserve">
</t>
    </r>
    <r>
      <rPr>
        <sz val="11"/>
        <color rgb="FF000000"/>
        <rFont val="Calibri"/>
      </rPr>
      <t>4. Define a Name.</t>
    </r>
    <r>
      <rPr>
        <sz val="11"/>
        <color rgb="FF000000"/>
        <rFont val="Calibri"/>
      </rPr>
      <t xml:space="preserve">
</t>
    </r>
    <r>
      <rPr>
        <sz val="11"/>
        <color rgb="FF000000"/>
        <rFont val="Calibri"/>
      </rPr>
      <t>5. Select the applicable Identity Groups.</t>
    </r>
    <r>
      <rPr>
        <sz val="11"/>
        <color rgb="FF000000"/>
        <rFont val="Calibri"/>
      </rPr>
      <t xml:space="preserve">
</t>
    </r>
    <r>
      <rPr>
        <sz val="11"/>
        <color rgb="FF000000"/>
        <rFont val="Calibri"/>
      </rPr>
      <t>6. Select the applicable Operating Systems configured in the requirement previously created.</t>
    </r>
    <r>
      <rPr>
        <sz val="11"/>
        <color rgb="FF000000"/>
        <rFont val="Calibri"/>
      </rPr>
      <t xml:space="preserve">
</t>
    </r>
    <r>
      <rPr>
        <sz val="11"/>
        <color rgb="FF000000"/>
        <rFont val="Calibri"/>
      </rPr>
      <t>7. Select the Compliance Module configured in the requirement previously created.</t>
    </r>
    <r>
      <rPr>
        <sz val="11"/>
        <color rgb="FF000000"/>
        <rFont val="Calibri"/>
      </rPr>
      <t xml:space="preserve">
</t>
    </r>
    <r>
      <rPr>
        <sz val="11"/>
        <color rgb="FF000000"/>
        <rFont val="Calibri"/>
      </rPr>
      <t>8. Select the Posture Type configured in the requirement previously created.</t>
    </r>
    <r>
      <rPr>
        <sz val="11"/>
        <color rgb="FF000000"/>
        <rFont val="Calibri"/>
      </rPr>
      <t xml:space="preserve">
</t>
    </r>
    <r>
      <rPr>
        <sz val="11"/>
        <color rgb="FF000000"/>
        <rFont val="Calibri"/>
      </rPr>
      <t>9. Select Other Conditions if used.</t>
    </r>
    <r>
      <rPr>
        <sz val="11"/>
        <color rgb="FF000000"/>
        <rFont val="Calibri"/>
      </rPr>
      <t xml:space="preserve">
</t>
    </r>
    <r>
      <rPr>
        <sz val="11"/>
        <color rgb="FF000000"/>
        <rFont val="Calibri"/>
      </rPr>
      <t>10. Select the Requirement ensuring there is a green check box to the left of the name indicating it is a mandatory requirement.</t>
    </r>
    <r>
      <rPr>
        <sz val="11"/>
        <color rgb="FF000000"/>
        <rFont val="Calibri"/>
      </rPr>
      <t xml:space="preserve">
</t>
    </r>
    <r>
      <rPr>
        <sz val="11"/>
        <color rgb="FF000000"/>
        <rFont val="Calibri"/>
      </rPr>
      <t>11. Choose "Done".</t>
    </r>
    <r>
      <rPr>
        <sz val="11"/>
        <color rgb="FF000000"/>
        <rFont val="Calibri"/>
      </rPr>
      <t xml:space="preserve">
</t>
    </r>
    <r>
      <rPr>
        <sz val="11"/>
        <color rgb="FF000000"/>
        <rFont val="Calibri"/>
      </rPr>
      <t>12. Choose "Save".</t>
    </r>
    <r>
      <rPr>
        <sz val="11"/>
        <color rgb="FF000000"/>
        <rFont val="Calibri"/>
      </rPr>
      <t xml:space="preserve">
</t>
    </r>
    <r>
      <rPr>
        <sz val="11"/>
        <color rgb="FF000000"/>
        <rFont val="Calibri"/>
      </rPr>
      <t>Note: For exceptions, a condition can be made to "Not Equal" or "Not Contains" a pattern to exempt devices from the policy.</t>
    </r>
  </si>
  <si>
    <r>
      <rPr>
        <sz val="11"/>
        <color rgb="FF000000"/>
        <rFont val="Calibri"/>
      </rPr>
      <t>Connections that bypass established security controls should be only in cases of administrative need. These procedures and use cases must be approved by the Information System Security Manager (ISSM).</t>
    </r>
  </si>
  <si>
    <r>
      <rPr>
        <sz val="11"/>
        <color rgb="FF000000"/>
        <rFont val="Calibri"/>
      </rPr>
      <t>If DoD is not at C2C Step 1 or higher, this is not a finding.</t>
    </r>
    <r>
      <rPr>
        <sz val="11"/>
        <color rgb="FF000000"/>
        <rFont val="Calibri"/>
      </rPr>
      <t xml:space="preserve">
</t>
    </r>
    <r>
      <rPr>
        <sz val="11"/>
        <color rgb="FF000000"/>
        <rFont val="Calibri"/>
      </rPr>
      <t>If not required by the NAC SSP, this is not a finding.</t>
    </r>
    <r>
      <rPr>
        <sz val="11"/>
        <color rgb="FF000000"/>
        <rFont val="Calibri"/>
      </rPr>
      <t xml:space="preserve">
</t>
    </r>
    <r>
      <rPr>
        <sz val="11"/>
        <color rgb="FF000000"/>
        <rFont val="Calibri"/>
      </rPr>
      <t>Review the posture policy to ensure mandated endpoints are being assed and if there are exceptions to the policy that they are documented and approved by the ISSM.</t>
    </r>
    <r>
      <rPr>
        <sz val="11"/>
        <color rgb="FF000000"/>
        <rFont val="Calibri"/>
      </rPr>
      <t xml:space="preserve">
</t>
    </r>
    <r>
      <rPr>
        <sz val="11"/>
        <color rgb="FF000000"/>
        <rFont val="Calibri"/>
      </rPr>
      <t>1. Navigate to Work Centers &gt;&gt; Posture &gt;&gt; Posture Policy.</t>
    </r>
    <r>
      <rPr>
        <sz val="11"/>
        <color rgb="FF000000"/>
        <rFont val="Calibri"/>
      </rPr>
      <t xml:space="preserve">
</t>
    </r>
    <r>
      <rPr>
        <sz val="11"/>
        <color rgb="FF000000"/>
        <rFont val="Calibri"/>
      </rPr>
      <t>2. Examine the enabled Posture Policies to determine if the endpoints that are mandated to be assessed will use the required policies.</t>
    </r>
    <r>
      <rPr>
        <sz val="11"/>
        <color rgb="FF000000"/>
        <rFont val="Calibri"/>
      </rPr>
      <t xml:space="preserve">
</t>
    </r>
    <r>
      <rPr>
        <sz val="11"/>
        <color rgb="FF000000"/>
        <rFont val="Calibri"/>
      </rPr>
      <t xml:space="preserve">3. If there is an endpoint type that should be assessed and there is a condition or conditions exempting a sub group of that endpoint type, verify that the sub group is documented and approved by the ISSM. </t>
    </r>
    <r>
      <rPr>
        <sz val="11"/>
        <color rgb="FF000000"/>
        <rFont val="Calibri"/>
      </rPr>
      <t xml:space="preserve">
</t>
    </r>
    <r>
      <rPr>
        <sz val="11"/>
        <color rgb="FF000000"/>
        <rFont val="Calibri"/>
      </rPr>
      <t>If the policy will not be applied to required endpoints or if exempted endpoints are not approved and documented, this is a finding.</t>
    </r>
  </si>
  <si>
    <t>V-242584</t>
  </si>
  <si>
    <r>
      <rPr>
        <sz val="11"/>
        <rFont val="Calibri"/>
      </rPr>
      <t>The Cisco ISE must send an alert to the Information System Security Manager (ISSM) and System Administrator (SA), at a minimum, when security issues are found that put the network at risk. This is required for compliance with C2C Step 2.</t>
    </r>
  </si>
  <si>
    <r>
      <rPr>
        <sz val="11"/>
        <color rgb="FF000000"/>
        <rFont val="Calibri"/>
      </rPr>
      <t>If required by the NAC SSP, configure an alarm to be generated and sent when an endpoint has a change in posture status.</t>
    </r>
    <r>
      <rPr>
        <sz val="11"/>
        <color rgb="FF000000"/>
        <rFont val="Calibri"/>
      </rPr>
      <t xml:space="preserve">
</t>
    </r>
    <r>
      <rPr>
        <sz val="11"/>
        <color rgb="FF000000"/>
        <rFont val="Calibri"/>
      </rPr>
      <t>From the Web Admin portal:</t>
    </r>
    <r>
      <rPr>
        <sz val="11"/>
        <color rgb="FF000000"/>
        <rFont val="Calibri"/>
      </rPr>
      <t xml:space="preserve">
</t>
    </r>
    <r>
      <rPr>
        <sz val="11"/>
        <color rgb="FF000000"/>
        <rFont val="Calibri"/>
      </rPr>
      <t>1. Choose Administration &gt;&gt; System &gt;&gt; Logging &gt;&gt; Logging Categories.</t>
    </r>
    <r>
      <rPr>
        <sz val="11"/>
        <color rgb="FF000000"/>
        <rFont val="Calibri"/>
      </rPr>
      <t xml:space="preserve">
</t>
    </r>
    <r>
      <rPr>
        <sz val="11"/>
        <color rgb="FF000000"/>
        <rFont val="Calibri"/>
      </rPr>
      <t>2. Configure the "AAA Audit", "Failed Attempts", and "Posture and Client Provisioning Audit" categories to have the Targets field to have LogCollector selected at a minimum. If the environment has an additional SYSLOG server, it can be selected here as well.</t>
    </r>
  </si>
  <si>
    <r>
      <rPr>
        <sz val="11"/>
        <color rgb="FF000000"/>
        <rFont val="Calibri"/>
      </rPr>
      <t>Trusted computing should require authentication and authorization of both the user's identity and the identity of the computing device. An authorized user may be accessing the network remotely from a computer that does not meet DoD standards. This may compromise user information, particularly before or after a VPN tunnel is established.</t>
    </r>
  </si>
  <si>
    <r>
      <rPr>
        <sz val="11"/>
        <color rgb="FF000000"/>
        <rFont val="Calibri"/>
      </rPr>
      <t>If DoD is not at C2C Step 2 or higher, this is not a finding.</t>
    </r>
    <r>
      <rPr>
        <sz val="11"/>
        <color rgb="FF000000"/>
        <rFont val="Calibri"/>
      </rPr>
      <t xml:space="preserve">
</t>
    </r>
    <r>
      <rPr>
        <sz val="11"/>
        <color rgb="FF000000"/>
        <rFont val="Calibri"/>
      </rPr>
      <t>If not required by the NAC SSP, this is not a finding.</t>
    </r>
    <r>
      <rPr>
        <sz val="11"/>
        <color rgb="FF000000"/>
        <rFont val="Calibri"/>
      </rPr>
      <t xml:space="preserve">
</t>
    </r>
    <r>
      <rPr>
        <sz val="11"/>
        <color rgb="FF000000"/>
        <rFont val="Calibri"/>
      </rPr>
      <t>Verify that an alarm will be generated and sent when an endpoint has a change in posture status.</t>
    </r>
    <r>
      <rPr>
        <sz val="11"/>
        <color rgb="FF000000"/>
        <rFont val="Calibri"/>
      </rPr>
      <t xml:space="preserve">
</t>
    </r>
    <r>
      <rPr>
        <sz val="11"/>
        <color rgb="FF000000"/>
        <rFont val="Calibri"/>
      </rPr>
      <t>From the Web Admin portal:</t>
    </r>
    <r>
      <rPr>
        <sz val="11"/>
        <color rgb="FF000000"/>
        <rFont val="Calibri"/>
      </rPr>
      <t xml:space="preserve">
</t>
    </r>
    <r>
      <rPr>
        <sz val="11"/>
        <color rgb="FF000000"/>
        <rFont val="Calibri"/>
      </rPr>
      <t>1. Choose Administration &gt;&gt; System &gt;&gt; Logging &gt;&gt; Logging Categories.</t>
    </r>
    <r>
      <rPr>
        <sz val="11"/>
        <color rgb="FF000000"/>
        <rFont val="Calibri"/>
      </rPr>
      <t xml:space="preserve">
</t>
    </r>
    <r>
      <rPr>
        <sz val="11"/>
        <color rgb="FF000000"/>
        <rFont val="Calibri"/>
      </rPr>
      <t>2. Verify the "AAA Audit", "Failed Attempts", and "Posture and Client Provisioning Audit" have LogCollector set as a target at a minimum.</t>
    </r>
    <r>
      <rPr>
        <sz val="11"/>
        <color rgb="FF000000"/>
        <rFont val="Calibri"/>
      </rPr>
      <t xml:space="preserve">
</t>
    </r>
    <r>
      <rPr>
        <sz val="11"/>
        <color rgb="FF000000"/>
        <rFont val="Calibri"/>
      </rPr>
      <t>If the Posture and Client Provisioning Audit logging category is not configured to send to the LogCollector and/or another logging target, this is a finding.</t>
    </r>
  </si>
  <si>
    <t>V-242585</t>
  </si>
  <si>
    <r>
      <rPr>
        <sz val="11"/>
        <rFont val="Calibri"/>
      </rPr>
      <t>When endpoints fail the policy assessment, the Cisco ISE must create a record with sufficient detail suitable for forwarding to a remediation server for automated remediation or sending to the user for manual remediation. This is required for compliance with C2C Step 3.</t>
    </r>
  </si>
  <si>
    <r>
      <rPr>
        <sz val="11"/>
        <color rgb="FF000000"/>
        <rFont val="Calibri"/>
      </rPr>
      <t>If required by the NAC SSP, configure a message prior to remediation.</t>
    </r>
    <r>
      <rPr>
        <sz val="11"/>
        <color rgb="FF000000"/>
        <rFont val="Calibri"/>
      </rPr>
      <t xml:space="preserve">
</t>
    </r>
    <r>
      <rPr>
        <sz val="11"/>
        <color rgb="FF000000"/>
        <rFont val="Calibri"/>
      </rPr>
      <t>1. Navigate to Work Centers &gt;&gt; Posture &gt;&gt; Policy Elements &gt;&gt; Requirements.</t>
    </r>
    <r>
      <rPr>
        <sz val="11"/>
        <color rgb="FF000000"/>
        <rFont val="Calibri"/>
      </rPr>
      <t xml:space="preserve">
</t>
    </r>
    <r>
      <rPr>
        <sz val="11"/>
        <color rgb="FF000000"/>
        <rFont val="Calibri"/>
      </rPr>
      <t>2. On the requirements under "Remediation Actions" define a message in the "Message Shown to Agent User".</t>
    </r>
    <r>
      <rPr>
        <sz val="11"/>
        <color rgb="FF000000"/>
        <rFont val="Calibri"/>
      </rPr>
      <t xml:space="preserve">
</t>
    </r>
    <r>
      <rPr>
        <sz val="11"/>
        <color rgb="FF000000"/>
        <rFont val="Calibri"/>
      </rPr>
      <t>3. Choose "Done".</t>
    </r>
    <r>
      <rPr>
        <sz val="11"/>
        <color rgb="FF000000"/>
        <rFont val="Calibri"/>
      </rPr>
      <t xml:space="preserve">
</t>
    </r>
    <r>
      <rPr>
        <sz val="11"/>
        <color rgb="FF000000"/>
        <rFont val="Calibri"/>
      </rPr>
      <t>4. Choose "Save".</t>
    </r>
  </si>
  <si>
    <r>
      <rPr>
        <sz val="11"/>
        <color rgb="FF000000"/>
        <rFont val="Calibri"/>
      </rPr>
      <t>Failing the NAC assessment means that an unauthorized machine has attempted to access the secure network. Without generating log records that are specific to the security and mission needs of the organization, it would be difficult to establish, correlate, and investigate the events relating to an incident, or identify those responsible for one.</t>
    </r>
  </si>
  <si>
    <t>V-242586</t>
  </si>
  <si>
    <r>
      <rPr>
        <sz val="11"/>
        <rFont val="Calibri"/>
      </rPr>
      <t>The Cisco ISE must place client machines on the blacklist and terminate the agent connection when critical security issues are found that put the network at risk. This is required for compliance with C2C Step 4.</t>
    </r>
  </si>
  <si>
    <r>
      <rPr>
        <sz val="11"/>
        <color rgb="FF000000"/>
        <rFont val="Calibri"/>
      </rPr>
      <t>If required by the NAC SSP, configure an Adaptive Network Control (ANC) policy to deny blacklisted devices access or make an authorization policy for the blacklist endpoint identity group.</t>
    </r>
    <r>
      <rPr>
        <sz val="11"/>
        <color rgb="FF000000"/>
        <rFont val="Calibri"/>
      </rPr>
      <t xml:space="preserve">
</t>
    </r>
    <r>
      <rPr>
        <sz val="11"/>
        <color rgb="FF000000"/>
        <rFont val="Calibri"/>
      </rPr>
      <t>1. Navigate to Operations &gt;&gt; Adaptive Network Control &gt;&gt; Policy List.</t>
    </r>
    <r>
      <rPr>
        <sz val="11"/>
        <color rgb="FF000000"/>
        <rFont val="Calibri"/>
      </rPr>
      <t xml:space="preserve">
</t>
    </r>
    <r>
      <rPr>
        <sz val="11"/>
        <color rgb="FF000000"/>
        <rFont val="Calibri"/>
      </rPr>
      <t>2. Choose "Add".</t>
    </r>
    <r>
      <rPr>
        <sz val="11"/>
        <color rgb="FF000000"/>
        <rFont val="Calibri"/>
      </rPr>
      <t xml:space="preserve">
</t>
    </r>
    <r>
      <rPr>
        <sz val="11"/>
        <color rgb="FF000000"/>
        <rFont val="Calibri"/>
      </rPr>
      <t>3. Give the policy a name.</t>
    </r>
    <r>
      <rPr>
        <sz val="11"/>
        <color rgb="FF000000"/>
        <rFont val="Calibri"/>
      </rPr>
      <t xml:space="preserve">
</t>
    </r>
    <r>
      <rPr>
        <sz val="11"/>
        <color rgb="FF000000"/>
        <rFont val="Calibri"/>
      </rPr>
      <t>4. Select the desired ANC Action (QUARANTINE or RE_AUTHENTICATE are the recommended actions for this).</t>
    </r>
    <r>
      <rPr>
        <sz val="11"/>
        <color rgb="FF000000"/>
        <rFont val="Calibri"/>
      </rPr>
      <t xml:space="preserve">
</t>
    </r>
    <r>
      <rPr>
        <sz val="11"/>
        <color rgb="FF000000"/>
        <rFont val="Calibri"/>
      </rPr>
      <t>5. Choose "Submit".</t>
    </r>
    <r>
      <rPr>
        <sz val="11"/>
        <color rgb="FF000000"/>
        <rFont val="Calibri"/>
      </rPr>
      <t xml:space="preserve">
</t>
    </r>
    <r>
      <rPr>
        <sz val="11"/>
        <color rgb="FF000000"/>
        <rFont val="Calibri"/>
      </rPr>
      <t>6. Configure the authorization policy to enforce the ANC policy.</t>
    </r>
    <r>
      <rPr>
        <sz val="11"/>
        <color rgb="FF000000"/>
        <rFont val="Calibri"/>
      </rPr>
      <t xml:space="preserve">
</t>
    </r>
    <r>
      <rPr>
        <sz val="11"/>
        <color rgb="FF000000"/>
        <rFont val="Calibri"/>
      </rPr>
      <t>Note: If the blacklist Identity group is use vs and ANC policy, then a Change of Authorization (CoA) will need to be triggered.</t>
    </r>
    <r>
      <rPr>
        <sz val="11"/>
        <color rgb="FF000000"/>
        <rFont val="Calibri"/>
      </rPr>
      <t xml:space="preserve">
</t>
    </r>
    <r>
      <rPr>
        <sz val="11"/>
        <color rgb="FF000000"/>
        <rFont val="Calibri"/>
      </rPr>
      <t>7. Navigate to Work Centers &gt;&gt; Network Access &gt;&gt; Policy Sets.</t>
    </r>
    <r>
      <rPr>
        <sz val="11"/>
        <color rgb="FF000000"/>
        <rFont val="Calibri"/>
      </rPr>
      <t xml:space="preserve">
</t>
    </r>
    <r>
      <rPr>
        <sz val="11"/>
        <color rgb="FF000000"/>
        <rFont val="Calibri"/>
      </rPr>
      <t>8. Choose "&gt;" on any policy set.</t>
    </r>
    <r>
      <rPr>
        <sz val="11"/>
        <color rgb="FF000000"/>
        <rFont val="Calibri"/>
      </rPr>
      <t xml:space="preserve">
</t>
    </r>
    <r>
      <rPr>
        <sz val="11"/>
        <color rgb="FF000000"/>
        <rFont val="Calibri"/>
      </rPr>
      <t>9. Expand "Authorization Policy – Global Exceptions".</t>
    </r>
    <r>
      <rPr>
        <sz val="11"/>
        <color rgb="FF000000"/>
        <rFont val="Calibri"/>
      </rPr>
      <t xml:space="preserve">
</t>
    </r>
    <r>
      <rPr>
        <sz val="11"/>
        <color rgb="FF000000"/>
        <rFont val="Calibri"/>
      </rPr>
      <t>10. Click on Actions Gear below to location the new Authorization Policy will be inserted (If there is not an existing policy, click on the "+" icon and skip the next step.)</t>
    </r>
    <r>
      <rPr>
        <sz val="11"/>
        <color rgb="FF000000"/>
        <rFont val="Calibri"/>
      </rPr>
      <t xml:space="preserve">
</t>
    </r>
    <r>
      <rPr>
        <sz val="11"/>
        <color rgb="FF000000"/>
        <rFont val="Calibri"/>
      </rPr>
      <t>11. Choose "Insert new role above".</t>
    </r>
    <r>
      <rPr>
        <sz val="11"/>
        <color rgb="FF000000"/>
        <rFont val="Calibri"/>
      </rPr>
      <t xml:space="preserve">
</t>
    </r>
    <r>
      <rPr>
        <sz val="11"/>
        <color rgb="FF000000"/>
        <rFont val="Calibri"/>
      </rPr>
      <t>12. Click on the name of the policy and define a desirable name.</t>
    </r>
    <r>
      <rPr>
        <sz val="11"/>
        <color rgb="FF000000"/>
        <rFont val="Calibri"/>
      </rPr>
      <t xml:space="preserve">
</t>
    </r>
    <r>
      <rPr>
        <sz val="11"/>
        <color rgb="FF000000"/>
        <rFont val="Calibri"/>
      </rPr>
      <t>13. Either click on the "+" icon or click on the existing Conditions to open the Conditions Studio.</t>
    </r>
    <r>
      <rPr>
        <sz val="11"/>
        <color rgb="FF000000"/>
        <rFont val="Calibri"/>
      </rPr>
      <t xml:space="preserve">
</t>
    </r>
    <r>
      <rPr>
        <sz val="11"/>
        <color rgb="FF000000"/>
        <rFont val="Calibri"/>
      </rPr>
      <t>14. Choose "New" under the editor.</t>
    </r>
    <r>
      <rPr>
        <sz val="11"/>
        <color rgb="FF000000"/>
        <rFont val="Calibri"/>
      </rPr>
      <t xml:space="preserve">
</t>
    </r>
    <r>
      <rPr>
        <sz val="11"/>
        <color rgb="FF000000"/>
        <rFont val="Calibri"/>
      </rPr>
      <t>15. Choose "Click to add an attribute".</t>
    </r>
    <r>
      <rPr>
        <sz val="11"/>
        <color rgb="FF000000"/>
        <rFont val="Calibri"/>
      </rPr>
      <t xml:space="preserve">
</t>
    </r>
    <r>
      <rPr>
        <sz val="11"/>
        <color rgb="FF000000"/>
        <rFont val="Calibri"/>
      </rPr>
      <t>16. Under Dictionary select Session in the drop-down.</t>
    </r>
    <r>
      <rPr>
        <sz val="11"/>
        <color rgb="FF000000"/>
        <rFont val="Calibri"/>
      </rPr>
      <t xml:space="preserve">
</t>
    </r>
    <r>
      <rPr>
        <sz val="11"/>
        <color rgb="FF000000"/>
        <rFont val="Calibri"/>
      </rPr>
      <t>17. Under Attribute select "ANCPolicy".</t>
    </r>
    <r>
      <rPr>
        <sz val="11"/>
        <color rgb="FF000000"/>
        <rFont val="Calibri"/>
      </rPr>
      <t xml:space="preserve">
</t>
    </r>
    <r>
      <rPr>
        <sz val="11"/>
        <color rgb="FF000000"/>
        <rFont val="Calibri"/>
      </rPr>
      <t>18. Ensure "Equals" is selected as the operator.</t>
    </r>
    <r>
      <rPr>
        <sz val="11"/>
        <color rgb="FF000000"/>
        <rFont val="Calibri"/>
      </rPr>
      <t xml:space="preserve">
</t>
    </r>
    <r>
      <rPr>
        <sz val="11"/>
        <color rgb="FF000000"/>
        <rFont val="Calibri"/>
      </rPr>
      <t>19. Select the desired ANC Policy in the drop-down menu.</t>
    </r>
    <r>
      <rPr>
        <sz val="11"/>
        <color rgb="FF000000"/>
        <rFont val="Calibri"/>
      </rPr>
      <t xml:space="preserve">
</t>
    </r>
    <r>
      <rPr>
        <sz val="11"/>
        <color rgb="FF000000"/>
        <rFont val="Calibri"/>
      </rPr>
      <t>20. Choose "Use".</t>
    </r>
    <r>
      <rPr>
        <sz val="11"/>
        <color rgb="FF000000"/>
        <rFont val="Calibri"/>
      </rPr>
      <t xml:space="preserve">
</t>
    </r>
    <r>
      <rPr>
        <sz val="11"/>
        <color rgb="FF000000"/>
        <rFont val="Calibri"/>
      </rPr>
      <t>21. Name the rule accordingly.</t>
    </r>
    <r>
      <rPr>
        <sz val="11"/>
        <color rgb="FF000000"/>
        <rFont val="Calibri"/>
      </rPr>
      <t xml:space="preserve">
</t>
    </r>
    <r>
      <rPr>
        <sz val="11"/>
        <color rgb="FF000000"/>
        <rFont val="Calibri"/>
      </rPr>
      <t>22. Select the desired result.</t>
    </r>
    <r>
      <rPr>
        <sz val="11"/>
        <color rgb="FF000000"/>
        <rFont val="Calibri"/>
      </rPr>
      <t xml:space="preserve">
</t>
    </r>
    <r>
      <rPr>
        <sz val="11"/>
        <color rgb="FF000000"/>
        <rFont val="Calibri"/>
      </rPr>
      <t>23. Choose "Save".</t>
    </r>
    <r>
      <rPr>
        <sz val="11"/>
        <color rgb="FF000000"/>
        <rFont val="Calibri"/>
      </rPr>
      <t xml:space="preserve">
</t>
    </r>
    <r>
      <rPr>
        <sz val="11"/>
        <color rgb="FF000000"/>
        <rFont val="Calibri"/>
      </rPr>
      <t>If the Blacklist Endpoint Identity Group will be used, follow these:</t>
    </r>
    <r>
      <rPr>
        <sz val="11"/>
        <color rgb="FF000000"/>
        <rFont val="Calibri"/>
      </rPr>
      <t xml:space="preserve">
</t>
    </r>
    <r>
      <rPr>
        <sz val="11"/>
        <color rgb="FF000000"/>
        <rFont val="Calibri"/>
      </rPr>
      <t>1. Configure the authorization policy to enforce the ANC policy.</t>
    </r>
    <r>
      <rPr>
        <sz val="11"/>
        <color rgb="FF000000"/>
        <rFont val="Calibri"/>
      </rPr>
      <t xml:space="preserve">
</t>
    </r>
    <r>
      <rPr>
        <sz val="11"/>
        <color rgb="FF000000"/>
        <rFont val="Calibri"/>
      </rPr>
      <t>2. Navigate to Work Centers &gt;&gt; Network Access &gt;&gt; Policy Sets.</t>
    </r>
    <r>
      <rPr>
        <sz val="11"/>
        <color rgb="FF000000"/>
        <rFont val="Calibri"/>
      </rPr>
      <t xml:space="preserve">
</t>
    </r>
    <r>
      <rPr>
        <sz val="11"/>
        <color rgb="FF000000"/>
        <rFont val="Calibri"/>
      </rPr>
      <t>3. Choose "&gt;" on any policy set.</t>
    </r>
    <r>
      <rPr>
        <sz val="11"/>
        <color rgb="FF000000"/>
        <rFont val="Calibri"/>
      </rPr>
      <t xml:space="preserve">
</t>
    </r>
    <r>
      <rPr>
        <sz val="11"/>
        <color rgb="FF000000"/>
        <rFont val="Calibri"/>
      </rPr>
      <t>4. Expand "Authorization Policy – Global Exceptions".</t>
    </r>
    <r>
      <rPr>
        <sz val="11"/>
        <color rgb="FF000000"/>
        <rFont val="Calibri"/>
      </rPr>
      <t xml:space="preserve">
</t>
    </r>
    <r>
      <rPr>
        <sz val="11"/>
        <color rgb="FF000000"/>
        <rFont val="Calibri"/>
      </rPr>
      <t>5. Click on Actions Gear below to location the new Authorization Policy will be inserted (If there is not an existing policy, click on the "+" icon and skip the next step.)</t>
    </r>
    <r>
      <rPr>
        <sz val="11"/>
        <color rgb="FF000000"/>
        <rFont val="Calibri"/>
      </rPr>
      <t xml:space="preserve">
</t>
    </r>
    <r>
      <rPr>
        <sz val="11"/>
        <color rgb="FF000000"/>
        <rFont val="Calibri"/>
      </rPr>
      <t>6. Choose "Insert new role above".</t>
    </r>
    <r>
      <rPr>
        <sz val="11"/>
        <color rgb="FF000000"/>
        <rFont val="Calibri"/>
      </rPr>
      <t xml:space="preserve">
</t>
    </r>
    <r>
      <rPr>
        <sz val="11"/>
        <color rgb="FF000000"/>
        <rFont val="Calibri"/>
      </rPr>
      <t>7. Click on the name of the policy and define a desirable name.</t>
    </r>
    <r>
      <rPr>
        <sz val="11"/>
        <color rgb="FF000000"/>
        <rFont val="Calibri"/>
      </rPr>
      <t xml:space="preserve">
</t>
    </r>
    <r>
      <rPr>
        <sz val="11"/>
        <color rgb="FF000000"/>
        <rFont val="Calibri"/>
      </rPr>
      <t>8. Either click on the "+" icon or click on the existing Conditions to open the Conditions Studio.</t>
    </r>
    <r>
      <rPr>
        <sz val="11"/>
        <color rgb="FF000000"/>
        <rFont val="Calibri"/>
      </rPr>
      <t xml:space="preserve">
</t>
    </r>
    <r>
      <rPr>
        <sz val="11"/>
        <color rgb="FF000000"/>
        <rFont val="Calibri"/>
      </rPr>
      <t>9. Choose "New" under the editor.</t>
    </r>
    <r>
      <rPr>
        <sz val="11"/>
        <color rgb="FF000000"/>
        <rFont val="Calibri"/>
      </rPr>
      <t xml:space="preserve">
</t>
    </r>
    <r>
      <rPr>
        <sz val="11"/>
        <color rgb="FF000000"/>
        <rFont val="Calibri"/>
      </rPr>
      <t>10. Choose "Click to add an attribute".</t>
    </r>
    <r>
      <rPr>
        <sz val="11"/>
        <color rgb="FF000000"/>
        <rFont val="Calibri"/>
      </rPr>
      <t xml:space="preserve">
</t>
    </r>
    <r>
      <rPr>
        <sz val="11"/>
        <color rgb="FF000000"/>
        <rFont val="Calibri"/>
      </rPr>
      <t>11. Under Dictionary select "IdentityGroup" in the drop-down menu.</t>
    </r>
    <r>
      <rPr>
        <sz val="11"/>
        <color rgb="FF000000"/>
        <rFont val="Calibri"/>
      </rPr>
      <t xml:space="preserve">
</t>
    </r>
    <r>
      <rPr>
        <sz val="11"/>
        <color rgb="FF000000"/>
        <rFont val="Calibri"/>
      </rPr>
      <t>12. Under Attribute select "Name".</t>
    </r>
    <r>
      <rPr>
        <sz val="11"/>
        <color rgb="FF000000"/>
        <rFont val="Calibri"/>
      </rPr>
      <t xml:space="preserve">
</t>
    </r>
    <r>
      <rPr>
        <sz val="11"/>
        <color rgb="FF000000"/>
        <rFont val="Calibri"/>
      </rPr>
      <t xml:space="preserve">13. Ensure "Equals" is selected as the operator. </t>
    </r>
    <r>
      <rPr>
        <sz val="11"/>
        <color rgb="FF000000"/>
        <rFont val="Calibri"/>
      </rPr>
      <t xml:space="preserve">
</t>
    </r>
    <r>
      <rPr>
        <sz val="11"/>
        <color rgb="FF000000"/>
        <rFont val="Calibri"/>
      </rPr>
      <t>14. Select "Endpoint Identity Groups:Blacklist" in the drop-down menu.</t>
    </r>
    <r>
      <rPr>
        <sz val="11"/>
        <color rgb="FF000000"/>
        <rFont val="Calibri"/>
      </rPr>
      <t xml:space="preserve">
</t>
    </r>
    <r>
      <rPr>
        <sz val="11"/>
        <color rgb="FF000000"/>
        <rFont val="Calibri"/>
      </rPr>
      <t>15. Choose "Use".</t>
    </r>
    <r>
      <rPr>
        <sz val="11"/>
        <color rgb="FF000000"/>
        <rFont val="Calibri"/>
      </rPr>
      <t xml:space="preserve">
</t>
    </r>
    <r>
      <rPr>
        <sz val="11"/>
        <color rgb="FF000000"/>
        <rFont val="Calibri"/>
      </rPr>
      <t>16. Name the rule accordingly.</t>
    </r>
    <r>
      <rPr>
        <sz val="11"/>
        <color rgb="FF000000"/>
        <rFont val="Calibri"/>
      </rPr>
      <t xml:space="preserve">
</t>
    </r>
    <r>
      <rPr>
        <sz val="11"/>
        <color rgb="FF000000"/>
        <rFont val="Calibri"/>
      </rPr>
      <t>17. Select the desired result.</t>
    </r>
    <r>
      <rPr>
        <sz val="11"/>
        <color rgb="FF000000"/>
        <rFont val="Calibri"/>
      </rPr>
      <t xml:space="preserve">
</t>
    </r>
    <r>
      <rPr>
        <sz val="11"/>
        <color rgb="FF000000"/>
        <rFont val="Calibri"/>
      </rPr>
      <t>18. Choose "Save".</t>
    </r>
    <r>
      <rPr>
        <sz val="11"/>
        <color rgb="FF000000"/>
        <rFont val="Calibri"/>
      </rPr>
      <t xml:space="preserve">
</t>
    </r>
    <r>
      <rPr>
        <sz val="11"/>
        <color rgb="FF000000"/>
        <rFont val="Calibri"/>
      </rPr>
      <t>Note: If the blacklist identity group is used versus an ANC policy, then a Change of Authorization (CoA) will need to be triggered.</t>
    </r>
  </si>
  <si>
    <r>
      <rPr>
        <sz val="11"/>
        <color rgb="FF000000"/>
        <rFont val="Calibri"/>
      </rPr>
      <t>Since the Cisco ISE devices and servers should have no legitimate reason for communicating with other devices outside of the assessment solution, any direct communication with unrelated hosts would be suspect traffic.</t>
    </r>
  </si>
  <si>
    <r>
      <rPr>
        <sz val="11"/>
        <color rgb="FF000000"/>
        <rFont val="Calibri"/>
      </rPr>
      <t>If DoD is not at C2C Step 4 or higher, this is not a finding.</t>
    </r>
    <r>
      <rPr>
        <sz val="11"/>
        <color rgb="FF000000"/>
        <rFont val="Calibri"/>
      </rPr>
      <t xml:space="preserve">
</t>
    </r>
    <r>
      <rPr>
        <sz val="11"/>
        <color rgb="FF000000"/>
        <rFont val="Calibri"/>
      </rPr>
      <t>If not required by the NAC SSP, this is not a finding.</t>
    </r>
    <r>
      <rPr>
        <sz val="11"/>
        <color rgb="FF000000"/>
        <rFont val="Calibri"/>
      </rPr>
      <t xml:space="preserve">
</t>
    </r>
    <r>
      <rPr>
        <sz val="11"/>
        <color rgb="FF000000"/>
        <rFont val="Calibri"/>
      </rPr>
      <t xml:space="preserve">Verify that blacklisted devices will be denied access or quarantined. </t>
    </r>
    <r>
      <rPr>
        <sz val="11"/>
        <color rgb="FF000000"/>
        <rFont val="Calibri"/>
      </rPr>
      <t xml:space="preserve">
</t>
    </r>
    <r>
      <rPr>
        <sz val="11"/>
        <color rgb="FF000000"/>
        <rFont val="Calibri"/>
      </rPr>
      <t>1. Navigate to Work Centers &gt;&gt; Network Access &gt;&gt; Policy Sets.</t>
    </r>
    <r>
      <rPr>
        <sz val="11"/>
        <color rgb="FF000000"/>
        <rFont val="Calibri"/>
      </rPr>
      <t xml:space="preserve">
</t>
    </r>
    <r>
      <rPr>
        <sz val="11"/>
        <color rgb="FF000000"/>
        <rFont val="Calibri"/>
      </rPr>
      <t>2. Choose "&gt;" on the applicable policy set.</t>
    </r>
    <r>
      <rPr>
        <sz val="11"/>
        <color rgb="FF000000"/>
        <rFont val="Calibri"/>
      </rPr>
      <t xml:space="preserve">
</t>
    </r>
    <r>
      <rPr>
        <sz val="11"/>
        <color rgb="FF000000"/>
        <rFont val="Calibri"/>
      </rPr>
      <t>3. Expand the "Authorization Policy – Global Exceptions".</t>
    </r>
    <r>
      <rPr>
        <sz val="11"/>
        <color rgb="FF000000"/>
        <rFont val="Calibri"/>
      </rPr>
      <t xml:space="preserve">
</t>
    </r>
    <r>
      <rPr>
        <sz val="11"/>
        <color rgb="FF000000"/>
        <rFont val="Calibri"/>
      </rPr>
      <t>4. Verify that a rule with the condition "Session-ANCPolicy EQUALS &lt;Configured ANC Policy&gt;", or "IdentityGroup-Name EQUALS Endpoint Identity Group:Blocklist" is present with a result that will deny access or quarantine the endpoint.</t>
    </r>
    <r>
      <rPr>
        <sz val="11"/>
        <color rgb="FF000000"/>
        <rFont val="Calibri"/>
      </rPr>
      <t xml:space="preserve">
</t>
    </r>
    <r>
      <rPr>
        <sz val="11"/>
        <color rgb="FF000000"/>
        <rFont val="Calibri"/>
      </rPr>
      <t>If the enforcement is completed in the Authorization Policy versus the Global Exceptions, then each policy set must contain a policy for blacklisted endpoints.</t>
    </r>
    <r>
      <rPr>
        <sz val="11"/>
        <color rgb="FF000000"/>
        <rFont val="Calibri"/>
      </rPr>
      <t xml:space="preserve">
</t>
    </r>
    <r>
      <rPr>
        <sz val="11"/>
        <color rgb="FF000000"/>
        <rFont val="Calibri"/>
      </rPr>
      <t>If there is not an authorization policy for Blacklist endpoints, this is a finding.</t>
    </r>
    <r>
      <rPr>
        <sz val="11"/>
        <color rgb="FF000000"/>
        <rFont val="Calibri"/>
      </rPr>
      <t xml:space="preserve">
</t>
    </r>
    <r>
      <rPr>
        <sz val="11"/>
        <color rgb="FF000000"/>
        <rFont val="Calibri"/>
      </rPr>
      <t>If the authorization policy does not restrict or deny the access of blacklisted endpoints, this is a finding.</t>
    </r>
  </si>
  <si>
    <t>V-242587</t>
  </si>
  <si>
    <r>
      <rPr>
        <sz val="11"/>
        <rFont val="Calibri"/>
      </rPr>
      <t>The Cisco ISE must be configured so client machines do not communicate with other network devices in the DMZ or subnet except as needed to perform an access client assessment or to identify themselves. This is required for compliance with C2C Step 2.</t>
    </r>
  </si>
  <si>
    <r>
      <rPr>
        <sz val="11"/>
        <color rgb="FF000000"/>
        <rFont val="Calibri"/>
      </rPr>
      <t>If required by the NAC SSP, configure the remediation authorization policy to prevent intra-remediation VLAN communication.</t>
    </r>
    <r>
      <rPr>
        <sz val="11"/>
        <color rgb="FF000000"/>
        <rFont val="Calibri"/>
      </rPr>
      <t xml:space="preserve">
</t>
    </r>
    <r>
      <rPr>
        <sz val="11"/>
        <color rgb="FF000000"/>
        <rFont val="Calibri"/>
      </rPr>
      <t>1. Navigate to Work Centers &gt;&gt; Network Access &gt;&gt; Policy Sets.</t>
    </r>
    <r>
      <rPr>
        <sz val="11"/>
        <color rgb="FF000000"/>
        <rFont val="Calibri"/>
      </rPr>
      <t xml:space="preserve">
</t>
    </r>
    <r>
      <rPr>
        <sz val="11"/>
        <color rgb="FF000000"/>
        <rFont val="Calibri"/>
      </rPr>
      <t>2. Choose "&gt;" on the applicable policy set.</t>
    </r>
    <r>
      <rPr>
        <sz val="11"/>
        <color rgb="FF000000"/>
        <rFont val="Calibri"/>
      </rPr>
      <t xml:space="preserve">
</t>
    </r>
    <r>
      <rPr>
        <sz val="11"/>
        <color rgb="FF000000"/>
        <rFont val="Calibri"/>
      </rPr>
      <t>3. Expand the Authorization Policy.</t>
    </r>
    <r>
      <rPr>
        <sz val="11"/>
        <color rgb="FF000000"/>
        <rFont val="Calibri"/>
      </rPr>
      <t xml:space="preserve">
</t>
    </r>
    <r>
      <rPr>
        <sz val="11"/>
        <color rgb="FF000000"/>
        <rFont val="Calibri"/>
      </rPr>
      <t>4. Locate the authorization policy with the "Session-PostureStatus EQUALS NonCompliant" or authorization policy for remediation access.</t>
    </r>
    <r>
      <rPr>
        <sz val="11"/>
        <color rgb="FF000000"/>
        <rFont val="Calibri"/>
      </rPr>
      <t xml:space="preserve">
</t>
    </r>
    <r>
      <rPr>
        <sz val="11"/>
        <color rgb="FF000000"/>
        <rFont val="Calibri"/>
      </rPr>
      <t>5. Configure the result to block intra-VLAN communication (Private VLAN, dACL, ACL, or SGT).</t>
    </r>
    <r>
      <rPr>
        <sz val="11"/>
        <color rgb="FF000000"/>
        <rFont val="Calibri"/>
      </rPr>
      <t xml:space="preserve">
</t>
    </r>
    <r>
      <rPr>
        <sz val="11"/>
        <color rgb="FF000000"/>
        <rFont val="Calibri"/>
      </rPr>
      <t>6. Choose "Save".</t>
    </r>
  </si>
  <si>
    <r>
      <rPr>
        <sz val="11"/>
        <color rgb="FF000000"/>
        <rFont val="Calibri"/>
      </rPr>
      <t>Devices not compliant with DoD secure configuration policies are vulnerable to attack. Allowing these systems to connect presents a danger to the enclave.</t>
    </r>
    <r>
      <rPr>
        <sz val="11"/>
        <color rgb="FF000000"/>
        <rFont val="Calibri"/>
      </rPr>
      <t xml:space="preserve">
</t>
    </r>
    <r>
      <rPr>
        <sz val="11"/>
        <color rgb="FF000000"/>
        <rFont val="Calibri"/>
      </rPr>
      <t>This requirement gives the option to configure for automated remediation and/or manual remediation. Detailed record must be passed to the remediation server for action. Alternatively, the details can be passed in a notice to the user for action. The device status will be updated on the network access server/authentication server so that further access attempts are denied. The Cisco ISE should have policy assessment mechanisms with granular control to distinguish between access restrictions based on the criticality of the software or setting failure.</t>
    </r>
    <r>
      <rPr>
        <sz val="11"/>
        <color rgb="FF000000"/>
        <rFont val="Calibri"/>
      </rPr>
      <t xml:space="preserve">
</t>
    </r>
    <r>
      <rPr>
        <sz val="11"/>
        <color rgb="FF000000"/>
        <rFont val="Calibri"/>
      </rPr>
      <t>Configure reminders to be sent to the user and the SA periodically or at a minimum, each time a policy assessment is performed. This can be done via the Cisco ISE or any notification system.</t>
    </r>
    <r>
      <rPr>
        <sz val="11"/>
        <color rgb="FF000000"/>
        <rFont val="Calibri"/>
      </rPr>
      <t xml:space="preserve">
</t>
    </r>
    <r>
      <rPr>
        <sz val="11"/>
        <color rgb="FF000000"/>
        <rFont val="Calibri"/>
      </rPr>
      <t>The failure must also be used to update the HBSS agent.</t>
    </r>
  </si>
  <si>
    <r>
      <rPr>
        <sz val="11"/>
        <color rgb="FF000000"/>
        <rFont val="Calibri"/>
      </rPr>
      <t>If DoD is not at C2C Step 2 or higher, this is not a finding.</t>
    </r>
    <r>
      <rPr>
        <sz val="11"/>
        <color rgb="FF000000"/>
        <rFont val="Calibri"/>
      </rPr>
      <t xml:space="preserve">
</t>
    </r>
    <r>
      <rPr>
        <sz val="11"/>
        <color rgb="FF000000"/>
        <rFont val="Calibri"/>
      </rPr>
      <t>If not required by the NAC SSP, this is not a finding.</t>
    </r>
    <r>
      <rPr>
        <sz val="11"/>
        <color rgb="FF000000"/>
        <rFont val="Calibri"/>
      </rPr>
      <t xml:space="preserve">
</t>
    </r>
    <r>
      <rPr>
        <sz val="11"/>
        <color rgb="FF000000"/>
        <rFont val="Calibri"/>
      </rPr>
      <t>Verify the authorization policy will prevent intra-remediation VLAN communication.</t>
    </r>
    <r>
      <rPr>
        <sz val="11"/>
        <color rgb="FF000000"/>
        <rFont val="Calibri"/>
      </rPr>
      <t xml:space="preserve">
</t>
    </r>
    <r>
      <rPr>
        <sz val="11"/>
        <color rgb="FF000000"/>
        <rFont val="Calibri"/>
      </rPr>
      <t>1. Navigate to Policy &gt;&gt; Policy Elements &gt;&gt; Results.</t>
    </r>
    <r>
      <rPr>
        <sz val="11"/>
        <color rgb="FF000000"/>
        <rFont val="Calibri"/>
      </rPr>
      <t xml:space="preserve">
</t>
    </r>
    <r>
      <rPr>
        <sz val="11"/>
        <color rgb="FF000000"/>
        <rFont val="Calibri"/>
      </rPr>
      <t>2. Choose "&gt;" on the applicable policy set.</t>
    </r>
    <r>
      <rPr>
        <sz val="11"/>
        <color rgb="FF000000"/>
        <rFont val="Calibri"/>
      </rPr>
      <t xml:space="preserve">
</t>
    </r>
    <r>
      <rPr>
        <sz val="11"/>
        <color rgb="FF000000"/>
        <rFont val="Calibri"/>
      </rPr>
      <t>3. Expand the Authorization Policy.</t>
    </r>
    <r>
      <rPr>
        <sz val="11"/>
        <color rgb="FF000000"/>
        <rFont val="Calibri"/>
      </rPr>
      <t xml:space="preserve">
</t>
    </r>
    <r>
      <rPr>
        <sz val="11"/>
        <color rgb="FF000000"/>
        <rFont val="Calibri"/>
      </rPr>
      <t>4. Verify that a rule with the condition "Session-PostureStatus EQUALS NonCompliant" or an authorization policy for remediation is present making a note of the authorization profile.</t>
    </r>
    <r>
      <rPr>
        <sz val="11"/>
        <color rgb="FF000000"/>
        <rFont val="Calibri"/>
      </rPr>
      <t xml:space="preserve">
</t>
    </r>
    <r>
      <rPr>
        <sz val="11"/>
        <color rgb="FF000000"/>
        <rFont val="Calibri"/>
      </rPr>
      <t>5. Navigate to Policy &gt;&gt; Policy Elements &gt;&gt; Results &gt;&gt; Authorization &gt;&gt; Authorization Profiles &gt;&gt; Authorization profile noted above.</t>
    </r>
    <r>
      <rPr>
        <sz val="11"/>
        <color rgb="FF000000"/>
        <rFont val="Calibri"/>
      </rPr>
      <t xml:space="preserve">
</t>
    </r>
    <r>
      <rPr>
        <sz val="11"/>
        <color rgb="FF000000"/>
        <rFont val="Calibri"/>
      </rPr>
      <t>6. Ensure the result that is used will result in lateral traffic for that VLAN will be restricted by a private VLAN, dACL, ACL, SGT, or any combination.</t>
    </r>
    <r>
      <rPr>
        <sz val="11"/>
        <color rgb="FF000000"/>
        <rFont val="Calibri"/>
      </rPr>
      <t xml:space="preserve">
</t>
    </r>
    <r>
      <rPr>
        <sz val="11"/>
        <color rgb="FF000000"/>
        <rFont val="Calibri"/>
      </rPr>
      <t>7. If a private VLAN is used, review the switch configuration to confirm it is a private VLAN.</t>
    </r>
    <r>
      <rPr>
        <sz val="11"/>
        <color rgb="FF000000"/>
        <rFont val="Calibri"/>
      </rPr>
      <t xml:space="preserve">
</t>
    </r>
    <r>
      <rPr>
        <sz val="11"/>
        <color rgb="FF000000"/>
        <rFont val="Calibri"/>
      </rPr>
      <t>If there is not an authorization policy for NonCompliant clients or remediation, this is a finding.</t>
    </r>
    <r>
      <rPr>
        <sz val="11"/>
        <color rgb="FF000000"/>
        <rFont val="Calibri"/>
      </rPr>
      <t xml:space="preserve">
</t>
    </r>
    <r>
      <rPr>
        <sz val="11"/>
        <color rgb="FF000000"/>
        <rFont val="Calibri"/>
      </rPr>
      <t>If the authorization policy does not prevent intra-remediation VLAN communication, this is a finding.</t>
    </r>
  </si>
  <si>
    <t>V-242588</t>
  </si>
  <si>
    <r>
      <rPr>
        <sz val="11"/>
        <rFont val="Calibri"/>
      </rPr>
      <t>The Cisco ISE must deny or restrict access for endpoints that fail required posture checks. This is required for compliance with C2C Step 4.</t>
    </r>
  </si>
  <si>
    <r>
      <rPr>
        <sz val="11"/>
        <color rgb="FF000000"/>
        <rFont val="Calibri"/>
      </rPr>
      <t>If required by the NAC SSP, configure the Policy Set to enforce the posture assessment.</t>
    </r>
    <r>
      <rPr>
        <sz val="11"/>
        <color rgb="FF000000"/>
        <rFont val="Calibri"/>
      </rPr>
      <t xml:space="preserve">
</t>
    </r>
    <r>
      <rPr>
        <sz val="11"/>
        <color rgb="FF000000"/>
        <rFont val="Calibri"/>
      </rPr>
      <t>1. Navigate to Work Centers &gt;&gt; Network Access &gt;&gt; Policy Sets.</t>
    </r>
    <r>
      <rPr>
        <sz val="11"/>
        <color rgb="FF000000"/>
        <rFont val="Calibri"/>
      </rPr>
      <t xml:space="preserve">
</t>
    </r>
    <r>
      <rPr>
        <sz val="11"/>
        <color rgb="FF000000"/>
        <rFont val="Calibri"/>
      </rPr>
      <t>2. Choose "&gt;" on the applicable policy set.</t>
    </r>
    <r>
      <rPr>
        <sz val="11"/>
        <color rgb="FF000000"/>
        <rFont val="Calibri"/>
      </rPr>
      <t xml:space="preserve">
</t>
    </r>
    <r>
      <rPr>
        <sz val="11"/>
        <color rgb="FF000000"/>
        <rFont val="Calibri"/>
      </rPr>
      <t>3. Expand the Authorization Policy.</t>
    </r>
    <r>
      <rPr>
        <sz val="11"/>
        <color rgb="FF000000"/>
        <rFont val="Calibri"/>
      </rPr>
      <t xml:space="preserve">
</t>
    </r>
    <r>
      <rPr>
        <sz val="11"/>
        <color rgb="FF000000"/>
        <rFont val="Calibri"/>
      </rPr>
      <t>4. Click on Actions Gear below to location the new Authorization Policy will be inserted.</t>
    </r>
    <r>
      <rPr>
        <sz val="11"/>
        <color rgb="FF000000"/>
        <rFont val="Calibri"/>
      </rPr>
      <t xml:space="preserve">
</t>
    </r>
    <r>
      <rPr>
        <sz val="11"/>
        <color rgb="FF000000"/>
        <rFont val="Calibri"/>
      </rPr>
      <t>5. Choose "Insert new role above" or if there is an Authorization Policy made for the device type that that posture will be applied to choose "Duplicate above".</t>
    </r>
    <r>
      <rPr>
        <sz val="11"/>
        <color rgb="FF000000"/>
        <rFont val="Calibri"/>
      </rPr>
      <t xml:space="preserve">
</t>
    </r>
    <r>
      <rPr>
        <sz val="11"/>
        <color rgb="FF000000"/>
        <rFont val="Calibri"/>
      </rPr>
      <t>6. Click on the name of the policy and define a desirable name.</t>
    </r>
    <r>
      <rPr>
        <sz val="11"/>
        <color rgb="FF000000"/>
        <rFont val="Calibri"/>
      </rPr>
      <t xml:space="preserve">
</t>
    </r>
    <r>
      <rPr>
        <sz val="11"/>
        <color rgb="FF000000"/>
        <rFont val="Calibri"/>
      </rPr>
      <t>7. Either click on the "+" icon or click on the existing Conditions to open the Conditions Studio.</t>
    </r>
    <r>
      <rPr>
        <sz val="11"/>
        <color rgb="FF000000"/>
        <rFont val="Calibri"/>
      </rPr>
      <t xml:space="preserve">
</t>
    </r>
    <r>
      <rPr>
        <sz val="11"/>
        <color rgb="FF000000"/>
        <rFont val="Calibri"/>
      </rPr>
      <t>8. Choose "New" under the editor.</t>
    </r>
    <r>
      <rPr>
        <sz val="11"/>
        <color rgb="FF000000"/>
        <rFont val="Calibri"/>
      </rPr>
      <t xml:space="preserve">
</t>
    </r>
    <r>
      <rPr>
        <sz val="11"/>
        <color rgb="FF000000"/>
        <rFont val="Calibri"/>
      </rPr>
      <t>9. Choose "Click to add an attribute".</t>
    </r>
    <r>
      <rPr>
        <sz val="11"/>
        <color rgb="FF000000"/>
        <rFont val="Calibri"/>
      </rPr>
      <t xml:space="preserve">
</t>
    </r>
    <r>
      <rPr>
        <sz val="11"/>
        <color rgb="FF000000"/>
        <rFont val="Calibri"/>
      </rPr>
      <t>10. Under Dictionary select Session in the drop-down.</t>
    </r>
    <r>
      <rPr>
        <sz val="11"/>
        <color rgb="FF000000"/>
        <rFont val="Calibri"/>
      </rPr>
      <t xml:space="preserve">
</t>
    </r>
    <r>
      <rPr>
        <sz val="11"/>
        <color rgb="FF000000"/>
        <rFont val="Calibri"/>
      </rPr>
      <t>11. Under Attribute select PostureStatus.</t>
    </r>
    <r>
      <rPr>
        <sz val="11"/>
        <color rgb="FF000000"/>
        <rFont val="Calibri"/>
      </rPr>
      <t xml:space="preserve">
</t>
    </r>
    <r>
      <rPr>
        <sz val="11"/>
        <color rgb="FF000000"/>
        <rFont val="Calibri"/>
      </rPr>
      <t xml:space="preserve">12. Ensure "Equals" is selected as the operator. </t>
    </r>
    <r>
      <rPr>
        <sz val="11"/>
        <color rgb="FF000000"/>
        <rFont val="Calibri"/>
      </rPr>
      <t xml:space="preserve">
</t>
    </r>
    <r>
      <rPr>
        <sz val="11"/>
        <color rgb="FF000000"/>
        <rFont val="Calibri"/>
      </rPr>
      <t>13. Select Compliant in the drop-down.</t>
    </r>
    <r>
      <rPr>
        <sz val="11"/>
        <color rgb="FF000000"/>
        <rFont val="Calibri"/>
      </rPr>
      <t xml:space="preserve">
</t>
    </r>
    <r>
      <rPr>
        <sz val="11"/>
        <color rgb="FF000000"/>
        <rFont val="Calibri"/>
      </rPr>
      <t>14. Choose "New".</t>
    </r>
    <r>
      <rPr>
        <sz val="11"/>
        <color rgb="FF000000"/>
        <rFont val="Calibri"/>
      </rPr>
      <t xml:space="preserve">
</t>
    </r>
    <r>
      <rPr>
        <sz val="11"/>
        <color rgb="FF000000"/>
        <rFont val="Calibri"/>
      </rPr>
      <t>15. Add a condition to flag the device type that should be postured.</t>
    </r>
    <r>
      <rPr>
        <sz val="11"/>
        <color rgb="FF000000"/>
        <rFont val="Calibri"/>
      </rPr>
      <t xml:space="preserve">
</t>
    </r>
    <r>
      <rPr>
        <sz val="11"/>
        <color rgb="FF000000"/>
        <rFont val="Calibri"/>
      </rPr>
      <t>16. Choose "Use".</t>
    </r>
    <r>
      <rPr>
        <sz val="11"/>
        <color rgb="FF000000"/>
        <rFont val="Calibri"/>
      </rPr>
      <t xml:space="preserve">
</t>
    </r>
    <r>
      <rPr>
        <sz val="11"/>
        <color rgb="FF000000"/>
        <rFont val="Calibri"/>
      </rPr>
      <t>17. Name the rule accordingly.</t>
    </r>
    <r>
      <rPr>
        <sz val="11"/>
        <color rgb="FF000000"/>
        <rFont val="Calibri"/>
      </rPr>
      <t xml:space="preserve">
</t>
    </r>
    <r>
      <rPr>
        <sz val="11"/>
        <color rgb="FF000000"/>
        <rFont val="Calibri"/>
      </rPr>
      <t>18. Select the desired result.</t>
    </r>
    <r>
      <rPr>
        <sz val="11"/>
        <color rgb="FF000000"/>
        <rFont val="Calibri"/>
      </rPr>
      <t xml:space="preserve">
</t>
    </r>
    <r>
      <rPr>
        <sz val="11"/>
        <color rgb="FF000000"/>
        <rFont val="Calibri"/>
      </rPr>
      <t>19. Click on Actions Gear on the Authorization Policy just created.</t>
    </r>
    <r>
      <rPr>
        <sz val="11"/>
        <color rgb="FF000000"/>
        <rFont val="Calibri"/>
      </rPr>
      <t xml:space="preserve">
</t>
    </r>
    <r>
      <rPr>
        <sz val="11"/>
        <color rgb="FF000000"/>
        <rFont val="Calibri"/>
      </rPr>
      <t>20. Select Duplicate below in the drop-down menu.</t>
    </r>
    <r>
      <rPr>
        <sz val="11"/>
        <color rgb="FF000000"/>
        <rFont val="Calibri"/>
      </rPr>
      <t xml:space="preserve">
</t>
    </r>
    <r>
      <rPr>
        <sz val="11"/>
        <color rgb="FF000000"/>
        <rFont val="Calibri"/>
      </rPr>
      <t>21. Click on the conditions of the copy.</t>
    </r>
    <r>
      <rPr>
        <sz val="11"/>
        <color rgb="FF000000"/>
        <rFont val="Calibri"/>
      </rPr>
      <t xml:space="preserve">
</t>
    </r>
    <r>
      <rPr>
        <sz val="11"/>
        <color rgb="FF000000"/>
        <rFont val="Calibri"/>
      </rPr>
      <t>22. Change the PostureStatus variable form "Compliant" to "NonCompliant".</t>
    </r>
    <r>
      <rPr>
        <sz val="11"/>
        <color rgb="FF000000"/>
        <rFont val="Calibri"/>
      </rPr>
      <t xml:space="preserve">
</t>
    </r>
    <r>
      <rPr>
        <sz val="11"/>
        <color rgb="FF000000"/>
        <rFont val="Calibri"/>
      </rPr>
      <t>23. Choose "Use".</t>
    </r>
    <r>
      <rPr>
        <sz val="11"/>
        <color rgb="FF000000"/>
        <rFont val="Calibri"/>
      </rPr>
      <t xml:space="preserve">
</t>
    </r>
    <r>
      <rPr>
        <sz val="11"/>
        <color rgb="FF000000"/>
        <rFont val="Calibri"/>
      </rPr>
      <t>24. Name the rule accordingly.</t>
    </r>
    <r>
      <rPr>
        <sz val="11"/>
        <color rgb="FF000000"/>
        <rFont val="Calibri"/>
      </rPr>
      <t xml:space="preserve">
</t>
    </r>
    <r>
      <rPr>
        <sz val="11"/>
        <color rgb="FF000000"/>
        <rFont val="Calibri"/>
      </rPr>
      <t>25. Select a result that is used for remediation access, which should be a result that is configured for a remediation VLAN, Access Control List, Scalable Group Tag, or any combination of these that are used to restrict access.</t>
    </r>
    <r>
      <rPr>
        <sz val="11"/>
        <color rgb="FF000000"/>
        <rFont val="Calibri"/>
      </rPr>
      <t xml:space="preserve">
</t>
    </r>
    <r>
      <rPr>
        <sz val="11"/>
        <color rgb="FF000000"/>
        <rFont val="Calibri"/>
      </rPr>
      <t>26. Choose "Save".</t>
    </r>
    <r>
      <rPr>
        <sz val="11"/>
        <color rgb="FF000000"/>
        <rFont val="Calibri"/>
      </rPr>
      <t xml:space="preserve">
</t>
    </r>
    <r>
      <rPr>
        <sz val="11"/>
        <color rgb="FF000000"/>
        <rFont val="Calibri"/>
      </rPr>
      <t>Note: There are several ways this can be configured to meet the requirement. This is just an example. The main thing is to have a "Compliant" and a "NonCompliant" rule using the PostureStatus conditions.</t>
    </r>
  </si>
  <si>
    <r>
      <rPr>
        <sz val="11"/>
        <color rgb="FF000000"/>
        <rFont val="Calibri"/>
      </rPr>
      <t>Devices, which do not meet minimum-security configuration requirements, pose a risk to the DOD network and information assets.</t>
    </r>
    <r>
      <rPr>
        <sz val="11"/>
        <color rgb="FF000000"/>
        <rFont val="Calibri"/>
      </rPr>
      <t xml:space="preserve">
</t>
    </r>
    <r>
      <rPr>
        <sz val="11"/>
        <color rgb="FF000000"/>
        <rFont val="Calibri"/>
      </rPr>
      <t>Endpoint devices must be disconnected or given limited access as designated by the approval authority and system owner if the device fails the authentication or security assessment. The user will be presented with a limited portal, which does not include access options for sensitive resources. Required security checks must implement DOD policy requirements.</t>
    </r>
  </si>
  <si>
    <r>
      <rPr>
        <sz val="11"/>
        <color rgb="FF000000"/>
        <rFont val="Calibri"/>
      </rPr>
      <t>If DOD is not at C2C Step 4 or higher, this is not a finding.</t>
    </r>
    <r>
      <rPr>
        <sz val="11"/>
        <color rgb="FF000000"/>
        <rFont val="Calibri"/>
      </rPr>
      <t xml:space="preserve">
</t>
    </r>
    <r>
      <rPr>
        <sz val="11"/>
        <color rgb="FF000000"/>
        <rFont val="Calibri"/>
      </rPr>
      <t>If not required by the NAC SSP, this is not a finding.</t>
    </r>
    <r>
      <rPr>
        <sz val="11"/>
        <color rgb="FF000000"/>
        <rFont val="Calibri"/>
      </rPr>
      <t xml:space="preserve">
</t>
    </r>
    <r>
      <rPr>
        <sz val="11"/>
        <color rgb="FF000000"/>
        <rFont val="Calibri"/>
      </rPr>
      <t>Verify that the Policy Set will enforce the posture assessment.</t>
    </r>
    <r>
      <rPr>
        <sz val="11"/>
        <color rgb="FF000000"/>
        <rFont val="Calibri"/>
      </rPr>
      <t xml:space="preserve">
</t>
    </r>
    <r>
      <rPr>
        <sz val="11"/>
        <color rgb="FF000000"/>
        <rFont val="Calibri"/>
      </rPr>
      <t>1. Navigate to Work Centers &gt;&gt; Network Access &gt;&gt; Policy Sets.</t>
    </r>
    <r>
      <rPr>
        <sz val="11"/>
        <color rgb="FF000000"/>
        <rFont val="Calibri"/>
      </rPr>
      <t xml:space="preserve">
</t>
    </r>
    <r>
      <rPr>
        <sz val="11"/>
        <color rgb="FF000000"/>
        <rFont val="Calibri"/>
      </rPr>
      <t xml:space="preserve">2. Choose "&gt;" on the applicable policy set. </t>
    </r>
    <r>
      <rPr>
        <sz val="11"/>
        <color rgb="FF000000"/>
        <rFont val="Calibri"/>
      </rPr>
      <t xml:space="preserve">
</t>
    </r>
    <r>
      <rPr>
        <sz val="11"/>
        <color rgb="FF000000"/>
        <rFont val="Calibri"/>
      </rPr>
      <t>3. Expand the Authorization Policy.</t>
    </r>
    <r>
      <rPr>
        <sz val="11"/>
        <color rgb="FF000000"/>
        <rFont val="Calibri"/>
      </rPr>
      <t xml:space="preserve">
</t>
    </r>
    <r>
      <rPr>
        <sz val="11"/>
        <color rgb="FF000000"/>
        <rFont val="Calibri"/>
      </rPr>
      <t>4. Verify that the Attribute of PostureStatus of NonCompliant is configured in the policy.</t>
    </r>
    <r>
      <rPr>
        <sz val="11"/>
        <color rgb="FF000000"/>
        <rFont val="Calibri"/>
      </rPr>
      <t xml:space="preserve">
</t>
    </r>
    <r>
      <rPr>
        <sz val="11"/>
        <color rgb="FF000000"/>
        <rFont val="Calibri"/>
      </rPr>
      <t>5. Make a note of the result/results on the NonCompliant Policy.</t>
    </r>
    <r>
      <rPr>
        <sz val="11"/>
        <color rgb="FF000000"/>
        <rFont val="Calibri"/>
      </rPr>
      <t xml:space="preserve">
</t>
    </r>
    <r>
      <rPr>
        <sz val="11"/>
        <color rgb="FF000000"/>
        <rFont val="Calibri"/>
      </rPr>
      <t>6. Navigate to Policy &gt;&gt; Policy &gt;&gt; Elements &gt;&gt; Results &gt;&gt; Authorization.</t>
    </r>
    <r>
      <rPr>
        <sz val="11"/>
        <color rgb="FF000000"/>
        <rFont val="Calibri"/>
      </rPr>
      <t xml:space="preserve">
</t>
    </r>
    <r>
      <rPr>
        <sz val="11"/>
        <color rgb="FF000000"/>
        <rFont val="Calibri"/>
      </rPr>
      <t>7. Expand Authorization.</t>
    </r>
    <r>
      <rPr>
        <sz val="11"/>
        <color rgb="FF000000"/>
        <rFont val="Calibri"/>
      </rPr>
      <t xml:space="preserve">
</t>
    </r>
    <r>
      <rPr>
        <sz val="11"/>
        <color rgb="FF000000"/>
        <rFont val="Calibri"/>
      </rPr>
      <t>8. Choose Authorization Profiles.</t>
    </r>
    <r>
      <rPr>
        <sz val="11"/>
        <color rgb="FF000000"/>
        <rFont val="Calibri"/>
      </rPr>
      <t xml:space="preserve">
</t>
    </r>
    <r>
      <rPr>
        <sz val="11"/>
        <color rgb="FF000000"/>
        <rFont val="Calibri"/>
      </rPr>
      <t>9. View the Standard Authorization Profile/Profiles noted above to ensure that a remediation VLAN, Access Control List, Scalable Group Tag, or any combination of these are used to restrict access.</t>
    </r>
    <r>
      <rPr>
        <sz val="11"/>
        <color rgb="FF000000"/>
        <rFont val="Calibri"/>
      </rPr>
      <t xml:space="preserve">
</t>
    </r>
    <r>
      <rPr>
        <sz val="11"/>
        <color rgb="FF000000"/>
        <rFont val="Calibri"/>
      </rPr>
      <t>If there is not a "NonCompliant" authorization rule or the result is not restrictive, this is a finding.</t>
    </r>
  </si>
  <si>
    <t>V-242589</t>
  </si>
  <si>
    <r>
      <rPr>
        <sz val="11"/>
        <rFont val="Calibri"/>
      </rPr>
      <t>The Cisco ISE must generate a log record when an endpoint fails authentication. This is This is required for compliance with C2C Step 1.</t>
    </r>
  </si>
  <si>
    <r>
      <rPr>
        <sz val="11"/>
        <color rgb="FF000000"/>
        <rFont val="Calibri"/>
      </rPr>
      <t>If required by the NAC SSP, configure a log to be generated and sent when an endpoint has a change in posture status.</t>
    </r>
    <r>
      <rPr>
        <sz val="11"/>
        <color rgb="FF000000"/>
        <rFont val="Calibri"/>
      </rPr>
      <t xml:space="preserve">
</t>
    </r>
    <r>
      <rPr>
        <sz val="11"/>
        <color rgb="FF000000"/>
        <rFont val="Calibri"/>
      </rPr>
      <t>From the Web Admin portal:</t>
    </r>
    <r>
      <rPr>
        <sz val="11"/>
        <color rgb="FF000000"/>
        <rFont val="Calibri"/>
      </rPr>
      <t xml:space="preserve">
</t>
    </r>
    <r>
      <rPr>
        <sz val="11"/>
        <color rgb="FF000000"/>
        <rFont val="Calibri"/>
      </rPr>
      <t>1. Choose Administration &gt;&gt; System &gt;&gt; Logging &gt;&gt; Logging Categories.</t>
    </r>
    <r>
      <rPr>
        <sz val="11"/>
        <color rgb="FF000000"/>
        <rFont val="Calibri"/>
      </rPr>
      <t xml:space="preserve">
</t>
    </r>
    <r>
      <rPr>
        <sz val="11"/>
        <color rgb="FF000000"/>
        <rFont val="Calibri"/>
      </rPr>
      <t>2. Configure the "Failed Attempts" category and the Targets field to have LogCollector selected at a minimum. This is the default setting. If the environment has an additional SYSLOG server, it can be selected here as well.</t>
    </r>
  </si>
  <si>
    <r>
      <rPr>
        <sz val="11"/>
        <color rgb="FF000000"/>
        <rFont val="Calibri"/>
      </rPr>
      <t>Failing the Cisco ISE assessment means that an unauthorized machine has attempted to access the secure network. Without generating log records that are specific to the security and mission needs of the organization, it would be difficult to establish, correlate, and investigate the events relating to an incident or identify those responsible for one.</t>
    </r>
  </si>
  <si>
    <r>
      <rPr>
        <sz val="11"/>
        <color rgb="FF000000"/>
        <rFont val="Calibri"/>
      </rPr>
      <t>If DoD is not at C2C Step 1 or higher, this is not a finding.</t>
    </r>
    <r>
      <rPr>
        <sz val="11"/>
        <color rgb="FF000000"/>
        <rFont val="Calibri"/>
      </rPr>
      <t xml:space="preserve">
</t>
    </r>
    <r>
      <rPr>
        <sz val="11"/>
        <color rgb="FF000000"/>
        <rFont val="Calibri"/>
      </rPr>
      <t>If not required by the NAC SSP, this is not a finding.</t>
    </r>
    <r>
      <rPr>
        <sz val="11"/>
        <color rgb="FF000000"/>
        <rFont val="Calibri"/>
      </rPr>
      <t xml:space="preserve">
</t>
    </r>
    <r>
      <rPr>
        <sz val="11"/>
        <color rgb="FF000000"/>
        <rFont val="Calibri"/>
      </rPr>
      <t>Verify that a log will be generated and sent when an Endpoint has a change in posture status.</t>
    </r>
    <r>
      <rPr>
        <sz val="11"/>
        <color rgb="FF000000"/>
        <rFont val="Calibri"/>
      </rPr>
      <t xml:space="preserve">
</t>
    </r>
    <r>
      <rPr>
        <sz val="11"/>
        <color rgb="FF000000"/>
        <rFont val="Calibri"/>
      </rPr>
      <t>From the Web Admin portal:</t>
    </r>
    <r>
      <rPr>
        <sz val="11"/>
        <color rgb="FF000000"/>
        <rFont val="Calibri"/>
      </rPr>
      <t xml:space="preserve">
</t>
    </r>
    <r>
      <rPr>
        <sz val="11"/>
        <color rgb="FF000000"/>
        <rFont val="Calibri"/>
      </rPr>
      <t>1. Choose Administration &gt;&gt; System &gt;&gt; Logging &gt;&gt; Logging Categories.</t>
    </r>
    <r>
      <rPr>
        <sz val="11"/>
        <color rgb="FF000000"/>
        <rFont val="Calibri"/>
      </rPr>
      <t xml:space="preserve">
</t>
    </r>
    <r>
      <rPr>
        <sz val="11"/>
        <color rgb="FF000000"/>
        <rFont val="Calibri"/>
      </rPr>
      <t>2. Verify the Failed Attempts has LogCollector set as a target at a minimum.</t>
    </r>
    <r>
      <rPr>
        <sz val="11"/>
        <color rgb="FF000000"/>
        <rFont val="Calibri"/>
      </rPr>
      <t xml:space="preserve">
</t>
    </r>
    <r>
      <rPr>
        <sz val="11"/>
        <color rgb="FF000000"/>
        <rFont val="Calibri"/>
      </rPr>
      <t>If the Failed Attempts logging category is not configured to send to the LogCollector and/or another logging target, this is a finding.</t>
    </r>
  </si>
  <si>
    <t>V-242590</t>
  </si>
  <si>
    <r>
      <rPr>
        <sz val="11"/>
        <rFont val="Calibri"/>
      </rPr>
      <t>The Cisco ISE must generate a log record when the client machine fails posture assessment because required security software is missing or has been deleted. This is This is required for compliance with C2C Step 1.</t>
    </r>
  </si>
  <si>
    <r>
      <rPr>
        <sz val="11"/>
        <color rgb="FF000000"/>
        <rFont val="Calibri"/>
      </rPr>
      <t>If required by the NAC SSP, configure a log to be generated and sent when an endpoint has a change in posture status.</t>
    </r>
    <r>
      <rPr>
        <sz val="11"/>
        <color rgb="FF000000"/>
        <rFont val="Calibri"/>
      </rPr>
      <t xml:space="preserve">
</t>
    </r>
    <r>
      <rPr>
        <sz val="11"/>
        <color rgb="FF000000"/>
        <rFont val="Calibri"/>
      </rPr>
      <t>From the Web Admin portal:</t>
    </r>
    <r>
      <rPr>
        <sz val="11"/>
        <color rgb="FF000000"/>
        <rFont val="Calibri"/>
      </rPr>
      <t xml:space="preserve">
</t>
    </r>
    <r>
      <rPr>
        <sz val="11"/>
        <color rgb="FF000000"/>
        <rFont val="Calibri"/>
      </rPr>
      <t>1. Choose Administration &gt;&gt; System &gt;&gt; Logging &gt;&gt; Logging Categories.</t>
    </r>
    <r>
      <rPr>
        <sz val="11"/>
        <color rgb="FF000000"/>
        <rFont val="Calibri"/>
      </rPr>
      <t xml:space="preserve">
</t>
    </r>
    <r>
      <rPr>
        <sz val="11"/>
        <color rgb="FF000000"/>
        <rFont val="Calibri"/>
      </rPr>
      <t>2. Configure the "Posture and Client Provisioning Audit" category and the Targets field to have LogCollector selected at a minimum. This is the default setting. If the environment has an additional SYSLOG server, it can be selected here as well.</t>
    </r>
  </si>
  <si>
    <r>
      <rPr>
        <sz val="11"/>
        <color rgb="FF000000"/>
        <rFont val="Calibri"/>
      </rPr>
      <t>Failing the Cisco ISE assessment means an unauthorized machine has attempted to access the secure network. Without generating log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Log records can be generated from various components within the information system (e.g., module or policy filter).</t>
    </r>
  </si>
  <si>
    <r>
      <rPr>
        <sz val="11"/>
        <color rgb="FF000000"/>
        <rFont val="Calibri"/>
      </rPr>
      <t>If DoD is not at C2C Step 1 or higher, this is not a finding.</t>
    </r>
    <r>
      <rPr>
        <sz val="11"/>
        <color rgb="FF000000"/>
        <rFont val="Calibri"/>
      </rPr>
      <t xml:space="preserve">
</t>
    </r>
    <r>
      <rPr>
        <sz val="11"/>
        <color rgb="FF000000"/>
        <rFont val="Calibri"/>
      </rPr>
      <t>If not required by the NAC SSP, this is not a finding.</t>
    </r>
    <r>
      <rPr>
        <sz val="11"/>
        <color rgb="FF000000"/>
        <rFont val="Calibri"/>
      </rPr>
      <t xml:space="preserve">
</t>
    </r>
    <r>
      <rPr>
        <sz val="11"/>
        <color rgb="FF000000"/>
        <rFont val="Calibri"/>
      </rPr>
      <t>Verify that a log will be generated and sent when an Endpoint has a change in posture status.</t>
    </r>
    <r>
      <rPr>
        <sz val="11"/>
        <color rgb="FF000000"/>
        <rFont val="Calibri"/>
      </rPr>
      <t xml:space="preserve">
</t>
    </r>
    <r>
      <rPr>
        <sz val="11"/>
        <color rgb="FF000000"/>
        <rFont val="Calibri"/>
      </rPr>
      <t>From the Web Admin portal:</t>
    </r>
    <r>
      <rPr>
        <sz val="11"/>
        <color rgb="FF000000"/>
        <rFont val="Calibri"/>
      </rPr>
      <t xml:space="preserve">
</t>
    </r>
    <r>
      <rPr>
        <sz val="11"/>
        <color rgb="FF000000"/>
        <rFont val="Calibri"/>
      </rPr>
      <t>1. Choose Administration &gt;&gt; System &gt;&gt; Logging &gt;&gt; Logging Categories.</t>
    </r>
    <r>
      <rPr>
        <sz val="11"/>
        <color rgb="FF000000"/>
        <rFont val="Calibri"/>
      </rPr>
      <t xml:space="preserve">
</t>
    </r>
    <r>
      <rPr>
        <sz val="11"/>
        <color rgb="FF000000"/>
        <rFont val="Calibri"/>
      </rPr>
      <t>2. Verify the Posture and Client Provisioning Audit has LogCollector set as a target at a minimum.</t>
    </r>
    <r>
      <rPr>
        <sz val="11"/>
        <color rgb="FF000000"/>
        <rFont val="Calibri"/>
      </rPr>
      <t xml:space="preserve">
</t>
    </r>
    <r>
      <rPr>
        <sz val="11"/>
        <color rgb="FF000000"/>
        <rFont val="Calibri"/>
      </rPr>
      <t>If the Posture and Client Provisioning Audit logging category is not configured to send to the LogCollector and/or another logging target, this is a finding.</t>
    </r>
  </si>
  <si>
    <t>V-242591</t>
  </si>
  <si>
    <r>
      <rPr>
        <sz val="11"/>
        <rFont val="Calibri"/>
      </rPr>
      <t>The Cisco ISE must send an alert to the system administrator, at a minimum, when endpoints fail the policy assessment checks for organization-defined infractions. This is required for compliance with C2C Step 3.</t>
    </r>
  </si>
  <si>
    <r>
      <rPr>
        <sz val="11"/>
        <color rgb="FF000000"/>
        <rFont val="Calibri"/>
      </rPr>
      <t>If required by the NAC SSP, configure an alarm to be generated and sent when an endpoint has a change in posture status.</t>
    </r>
    <r>
      <rPr>
        <sz val="11"/>
        <color rgb="FF000000"/>
        <rFont val="Calibri"/>
      </rPr>
      <t xml:space="preserve">
</t>
    </r>
    <r>
      <rPr>
        <sz val="11"/>
        <color rgb="FF000000"/>
        <rFont val="Calibri"/>
      </rPr>
      <t>From the Web Admin portal:</t>
    </r>
    <r>
      <rPr>
        <sz val="11"/>
        <color rgb="FF000000"/>
        <rFont val="Calibri"/>
      </rPr>
      <t xml:space="preserve">
</t>
    </r>
    <r>
      <rPr>
        <sz val="11"/>
        <color rgb="FF000000"/>
        <rFont val="Calibri"/>
      </rPr>
      <t>1. Choose Administration &gt;&gt; System &gt;&gt; Logging &gt;&gt; Logging Categories.</t>
    </r>
    <r>
      <rPr>
        <sz val="11"/>
        <color rgb="FF000000"/>
        <rFont val="Calibri"/>
      </rPr>
      <t xml:space="preserve">
</t>
    </r>
    <r>
      <rPr>
        <sz val="11"/>
        <color rgb="FF000000"/>
        <rFont val="Calibri"/>
      </rPr>
      <t>2. Configure the "Posture and Client Provisioning Audit" category and the Targets field needs to have LogCollector selected at a minimum. This is the default setting. If the environment has an additional SYSLOG server, it can be selected here as well.</t>
    </r>
  </si>
  <si>
    <r>
      <rPr>
        <sz val="11"/>
        <color rgb="FF000000"/>
        <rFont val="Calibri"/>
      </rPr>
      <t>Failing the Cisco ISE assessment, means that an unauthorized machine has attempted to access the secure network. Without generating log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Log records can be generated from various components within the information system (e.g., module or policy filter).</t>
    </r>
  </si>
  <si>
    <r>
      <rPr>
        <sz val="11"/>
        <color rgb="FF000000"/>
        <rFont val="Calibri"/>
      </rPr>
      <t>If DoD is not at C2C Step 3 or higher, this is not a finding.</t>
    </r>
    <r>
      <rPr>
        <sz val="11"/>
        <color rgb="FF000000"/>
        <rFont val="Calibri"/>
      </rPr>
      <t xml:space="preserve">
</t>
    </r>
    <r>
      <rPr>
        <sz val="11"/>
        <color rgb="FF000000"/>
        <rFont val="Calibri"/>
      </rPr>
      <t>If not required by the NAC SSP, this is not a finding.</t>
    </r>
    <r>
      <rPr>
        <sz val="11"/>
        <color rgb="FF000000"/>
        <rFont val="Calibri"/>
      </rPr>
      <t xml:space="preserve">
</t>
    </r>
    <r>
      <rPr>
        <sz val="11"/>
        <color rgb="FF000000"/>
        <rFont val="Calibri"/>
      </rPr>
      <t>Verify that an alarm will be generated and sent when an endpoint has a change in posture status.</t>
    </r>
    <r>
      <rPr>
        <sz val="11"/>
        <color rgb="FF000000"/>
        <rFont val="Calibri"/>
      </rPr>
      <t xml:space="preserve">
</t>
    </r>
    <r>
      <rPr>
        <sz val="11"/>
        <color rgb="FF000000"/>
        <rFont val="Calibri"/>
      </rPr>
      <t>From the Web Admin portal:</t>
    </r>
    <r>
      <rPr>
        <sz val="11"/>
        <color rgb="FF000000"/>
        <rFont val="Calibri"/>
      </rPr>
      <t xml:space="preserve">
</t>
    </r>
    <r>
      <rPr>
        <sz val="11"/>
        <color rgb="FF000000"/>
        <rFont val="Calibri"/>
      </rPr>
      <t>1. Choose Administration &gt;&gt; System &gt;&gt; Logging &gt;&gt; Logging Categories.</t>
    </r>
    <r>
      <rPr>
        <sz val="11"/>
        <color rgb="FF000000"/>
        <rFont val="Calibri"/>
      </rPr>
      <t xml:space="preserve">
</t>
    </r>
    <r>
      <rPr>
        <sz val="11"/>
        <color rgb="FF000000"/>
        <rFont val="Calibri"/>
      </rPr>
      <t>2. Verify the Posture and Client Provisioning Audit has LogCollector set as a target at a minimum.</t>
    </r>
    <r>
      <rPr>
        <sz val="11"/>
        <color rgb="FF000000"/>
        <rFont val="Calibri"/>
      </rPr>
      <t xml:space="preserve">
</t>
    </r>
    <r>
      <rPr>
        <sz val="11"/>
        <color rgb="FF000000"/>
        <rFont val="Calibri"/>
      </rPr>
      <t>If the Posture and Client Provisioning Audit logging category is not configured to send to the LogCollector and/or another logging target, this is a finding.</t>
    </r>
  </si>
  <si>
    <t>V-242594</t>
  </si>
  <si>
    <r>
      <rPr>
        <sz val="11"/>
        <rFont val="Calibri"/>
      </rPr>
      <t>The Cisco ISE must generate a critical alert to be sent to the ISSO and SA (at a minimum) in the event of an audit processing failure. This is required for compliance with C2C Step 1.</t>
    </r>
  </si>
  <si>
    <r>
      <rPr>
        <sz val="11"/>
        <color rgb="FF000000"/>
        <rFont val="Calibri"/>
      </rPr>
      <t>Configure Cisco ISE to notify one or more individuals when there is a Log Collection Error.</t>
    </r>
    <r>
      <rPr>
        <sz val="11"/>
        <color rgb="FF000000"/>
        <rFont val="Calibri"/>
      </rPr>
      <t xml:space="preserve">
</t>
    </r>
    <r>
      <rPr>
        <sz val="11"/>
        <color rgb="FF000000"/>
        <rFont val="Calibri"/>
      </rPr>
      <t>From the Web Admin portal:</t>
    </r>
    <r>
      <rPr>
        <sz val="11"/>
        <color rgb="FF000000"/>
        <rFont val="Calibri"/>
      </rPr>
      <t xml:space="preserve">
</t>
    </r>
    <r>
      <rPr>
        <sz val="11"/>
        <color rgb="FF000000"/>
        <rFont val="Calibri"/>
      </rPr>
      <t>1. Choose Administration &gt;&gt; System &gt;&gt; Settings &gt;&gt; Alarm Settings.</t>
    </r>
    <r>
      <rPr>
        <sz val="11"/>
        <color rgb="FF000000"/>
        <rFont val="Calibri"/>
      </rPr>
      <t xml:space="preserve">
</t>
    </r>
    <r>
      <rPr>
        <sz val="11"/>
        <color rgb="FF000000"/>
        <rFont val="Calibri"/>
      </rPr>
      <t>2. Select "Log Collector Error" from the list of default alarms and click "Edit".</t>
    </r>
    <r>
      <rPr>
        <sz val="11"/>
        <color rgb="FF000000"/>
        <rFont val="Calibri"/>
      </rPr>
      <t xml:space="preserve">
</t>
    </r>
    <r>
      <rPr>
        <sz val="11"/>
        <color rgb="FF000000"/>
        <rFont val="Calibri"/>
      </rPr>
      <t>3. Select "Enable".</t>
    </r>
    <r>
      <rPr>
        <sz val="11"/>
        <color rgb="FF000000"/>
        <rFont val="Calibri"/>
      </rPr>
      <t xml:space="preserve">
</t>
    </r>
    <r>
      <rPr>
        <sz val="11"/>
        <color rgb="FF000000"/>
        <rFont val="Calibri"/>
      </rPr>
      <t>4. Select "Enter Multiple Emails Separated with Comma".</t>
    </r>
    <r>
      <rPr>
        <sz val="11"/>
        <color rgb="FF000000"/>
        <rFont val="Calibri"/>
      </rPr>
      <t xml:space="preserve">
</t>
    </r>
    <r>
      <rPr>
        <sz val="11"/>
        <color rgb="FF000000"/>
        <rFont val="Calibri"/>
      </rPr>
      <t>5. Configure email addresses of individuals and organizational accounts to be notified.</t>
    </r>
    <r>
      <rPr>
        <sz val="11"/>
        <color rgb="FF000000"/>
        <rFont val="Calibri"/>
      </rPr>
      <t xml:space="preserve">
</t>
    </r>
    <r>
      <rPr>
        <sz val="11"/>
        <color rgb="FF000000"/>
        <rFont val="Calibri"/>
      </rPr>
      <t>6. Click "Submit".</t>
    </r>
  </si>
  <si>
    <r>
      <rPr>
        <sz val="11"/>
        <color rgb="FF000000"/>
        <rFont val="Calibri"/>
      </rPr>
      <t xml:space="preserve">It is critical for the appropriate personnel to be aware if a system is at risk of failing to process audit logs as required. Without an alert, security personnel may be unaware of an impending failure of the audit capability and system operation may be adversely affected. </t>
    </r>
    <r>
      <rPr>
        <sz val="11"/>
        <color rgb="FF000000"/>
        <rFont val="Calibri"/>
      </rPr>
      <t xml:space="preserve">
</t>
    </r>
    <r>
      <rPr>
        <sz val="11"/>
        <color rgb="FF000000"/>
        <rFont val="Calibri"/>
      </rPr>
      <t>Cisco ISE provides system alarms which notify the administrator when critical system condition occurs. Alarms are displayed in the Alarm dashlet. Administrators can configured the dashlet to receive notification of alarms through e-mail and/or syslog messages.</t>
    </r>
  </si>
  <si>
    <r>
      <rPr>
        <sz val="11"/>
        <color rgb="FF000000"/>
        <rFont val="Calibri"/>
      </rPr>
      <t>If DoD is not at C2C Step 1 or higher, this is not a finding.</t>
    </r>
    <r>
      <rPr>
        <sz val="11"/>
        <color rgb="FF000000"/>
        <rFont val="Calibri"/>
      </rPr>
      <t xml:space="preserve">
</t>
    </r>
    <r>
      <rPr>
        <sz val="11"/>
        <color rgb="FF000000"/>
        <rFont val="Calibri"/>
      </rPr>
      <t>Verify the Cisco ISE will notify one or more individuals when there is a Log Collection Error.</t>
    </r>
    <r>
      <rPr>
        <sz val="11"/>
        <color rgb="FF000000"/>
        <rFont val="Calibri"/>
      </rPr>
      <t xml:space="preserve">
</t>
    </r>
    <r>
      <rPr>
        <sz val="11"/>
        <color rgb="FF000000"/>
        <rFont val="Calibri"/>
      </rPr>
      <t>From the Web Admin portal:</t>
    </r>
    <r>
      <rPr>
        <sz val="11"/>
        <color rgb="FF000000"/>
        <rFont val="Calibri"/>
      </rPr>
      <t xml:space="preserve">
</t>
    </r>
    <r>
      <rPr>
        <sz val="11"/>
        <color rgb="FF000000"/>
        <rFont val="Calibri"/>
      </rPr>
      <t>1. Choose Administration &gt;&gt; System &gt;&gt; Settings &gt;&gt; Alarm Settings.</t>
    </r>
    <r>
      <rPr>
        <sz val="11"/>
        <color rgb="FF000000"/>
        <rFont val="Calibri"/>
      </rPr>
      <t xml:space="preserve">
</t>
    </r>
    <r>
      <rPr>
        <sz val="11"/>
        <color rgb="FF000000"/>
        <rFont val="Calibri"/>
      </rPr>
      <t>2. Select "Log Collector Error" from the list of default alarms and click "Edit".</t>
    </r>
    <r>
      <rPr>
        <sz val="11"/>
        <color rgb="FF000000"/>
        <rFont val="Calibri"/>
      </rPr>
      <t xml:space="preserve">
</t>
    </r>
    <r>
      <rPr>
        <sz val="11"/>
        <color rgb="FF000000"/>
        <rFont val="Calibri"/>
      </rPr>
      <t>3. Verify that "Enable" is selected.</t>
    </r>
    <r>
      <rPr>
        <sz val="11"/>
        <color rgb="FF000000"/>
        <rFont val="Calibri"/>
      </rPr>
      <t xml:space="preserve">
</t>
    </r>
    <r>
      <rPr>
        <sz val="11"/>
        <color rgb="FF000000"/>
        <rFont val="Calibri"/>
      </rPr>
      <t>4. Select "Enter Multiple Emails Separated with Comma".</t>
    </r>
    <r>
      <rPr>
        <sz val="11"/>
        <color rgb="FF000000"/>
        <rFont val="Calibri"/>
      </rPr>
      <t xml:space="preserve">
</t>
    </r>
    <r>
      <rPr>
        <sz val="11"/>
        <color rgb="FF000000"/>
        <rFont val="Calibri"/>
      </rPr>
      <t>5. Verify one or more email addresses are configured.</t>
    </r>
    <r>
      <rPr>
        <sz val="11"/>
        <color rgb="FF000000"/>
        <rFont val="Calibri"/>
      </rPr>
      <t xml:space="preserve">
</t>
    </r>
    <r>
      <rPr>
        <sz val="11"/>
        <color rgb="FF000000"/>
        <rFont val="Calibri"/>
      </rPr>
      <t>If "Log Collector Error" alarm type is not enabled or email addresses are not configured to receive the alert, this is a finding.</t>
    </r>
  </si>
  <si>
    <t>V-242595</t>
  </si>
  <si>
    <r>
      <rPr>
        <sz val="11"/>
        <rFont val="Calibri"/>
      </rPr>
      <t>The Cisco ISE must provide an alert to, at a minimum, the SA and ISSO of all audit failure events where the detection and/or prevention function is unable to write events to either local storage or the centralized server. This is required for compliance with C2C Step 1.</t>
    </r>
  </si>
  <si>
    <r>
      <rPr>
        <sz val="11"/>
        <color rgb="FF000000"/>
        <rFont val="Calibri"/>
      </rPr>
      <t>Without an alert, security personnel may be unaware of an impending failure of the audit capability and system operation may be adversely affected.</t>
    </r>
    <r>
      <rPr>
        <sz val="11"/>
        <color rgb="FF000000"/>
        <rFont val="Calibri"/>
      </rPr>
      <t xml:space="preserve">
</t>
    </r>
    <r>
      <rPr>
        <sz val="11"/>
        <color rgb="FF000000"/>
        <rFont val="Calibri"/>
      </rPr>
      <t>Alerts provide organizations with urgent messages. Alerts provide these messages immediately (i.e., the time from event detection to alert occurs in seconds or less).</t>
    </r>
    <r>
      <rPr>
        <sz val="11"/>
        <color rgb="FF000000"/>
        <rFont val="Calibri"/>
      </rPr>
      <t xml:space="preserve">
</t>
    </r>
    <r>
      <rPr>
        <sz val="11"/>
        <color rgb="FF000000"/>
        <rFont val="Calibri"/>
      </rPr>
      <t>This does not apply to audit logs generated on behalf of the device itself (management).</t>
    </r>
  </si>
  <si>
    <t>V-242596</t>
  </si>
  <si>
    <r>
      <rPr>
        <sz val="11"/>
        <rFont val="Calibri"/>
      </rPr>
      <t>The Cisco ISE must be configured with a secondary log server in case the primary log is unreachable. This is required for compliance with C2C Step 1.</t>
    </r>
  </si>
  <si>
    <r>
      <rPr>
        <sz val="11"/>
        <color rgb="FF000000"/>
        <rFont val="Calibri"/>
      </rPr>
      <t xml:space="preserve">Configure Remote Logging Targets. </t>
    </r>
    <r>
      <rPr>
        <sz val="11"/>
        <color rgb="FF000000"/>
        <rFont val="Calibri"/>
      </rPr>
      <t xml:space="preserve">
</t>
    </r>
    <r>
      <rPr>
        <sz val="11"/>
        <color rgb="FF000000"/>
        <rFont val="Calibri"/>
      </rPr>
      <t>From the Web Admin portal:</t>
    </r>
    <r>
      <rPr>
        <sz val="11"/>
        <color rgb="FF000000"/>
        <rFont val="Calibri"/>
      </rPr>
      <t xml:space="preserve">
</t>
    </r>
    <r>
      <rPr>
        <sz val="11"/>
        <color rgb="FF000000"/>
        <rFont val="Calibri"/>
      </rPr>
      <t>1. Choose Administration &gt;&gt; System &gt;&gt; Logging &gt;&gt; Logging Targets.</t>
    </r>
    <r>
      <rPr>
        <sz val="11"/>
        <color rgb="FF000000"/>
        <rFont val="Calibri"/>
      </rPr>
      <t xml:space="preserve">
</t>
    </r>
    <r>
      <rPr>
        <sz val="11"/>
        <color rgb="FF000000"/>
        <rFont val="Calibri"/>
      </rPr>
      <t>2. Select "Secure Syslog" or "TCP Syslog" in the Target Type drop-down.</t>
    </r>
    <r>
      <rPr>
        <sz val="11"/>
        <color rgb="FF000000"/>
        <rFont val="Calibri"/>
      </rPr>
      <t xml:space="preserve">
</t>
    </r>
    <r>
      <rPr>
        <sz val="11"/>
        <color rgb="FF000000"/>
        <rFont val="Calibri"/>
      </rPr>
      <t>3. Configure a desired name.</t>
    </r>
    <r>
      <rPr>
        <sz val="11"/>
        <color rgb="FF000000"/>
        <rFont val="Calibri"/>
      </rPr>
      <t xml:space="preserve">
</t>
    </r>
    <r>
      <rPr>
        <sz val="11"/>
        <color rgb="FF000000"/>
        <rFont val="Calibri"/>
      </rPr>
      <t>4. Configure the Host/IP address.</t>
    </r>
    <r>
      <rPr>
        <sz val="11"/>
        <color rgb="FF000000"/>
        <rFont val="Calibri"/>
      </rPr>
      <t xml:space="preserve">
</t>
    </r>
    <r>
      <rPr>
        <sz val="11"/>
        <color rgb="FF000000"/>
        <rFont val="Calibri"/>
      </rPr>
      <t>5. Check the box for "Buffer Messages When Server Down".</t>
    </r>
    <r>
      <rPr>
        <sz val="11"/>
        <color rgb="FF000000"/>
        <rFont val="Calibri"/>
      </rPr>
      <t xml:space="preserve">
</t>
    </r>
    <r>
      <rPr>
        <sz val="11"/>
        <color rgb="FF000000"/>
        <rFont val="Calibri"/>
      </rPr>
      <t>6. If "Secure Syslog" is used, select a CA certificate to use to define what system certificate to use to secure this connection.</t>
    </r>
    <r>
      <rPr>
        <sz val="11"/>
        <color rgb="FF000000"/>
        <rFont val="Calibri"/>
      </rPr>
      <t xml:space="preserve">
</t>
    </r>
    <r>
      <rPr>
        <sz val="11"/>
        <color rgb="FF000000"/>
        <rFont val="Calibri"/>
      </rPr>
      <t>7. Choose "Submit".</t>
    </r>
    <r>
      <rPr>
        <sz val="11"/>
        <color rgb="FF000000"/>
        <rFont val="Calibri"/>
      </rPr>
      <t xml:space="preserve">
</t>
    </r>
    <r>
      <rPr>
        <sz val="11"/>
        <color rgb="FF000000"/>
        <rFont val="Calibri"/>
      </rPr>
      <t xml:space="preserve">Note: "LogCollector" and "LogCollector2" represent the monitoring (MnT) nodes defined in the deployment. If there is a primary and a secondary MnT node, then nothing more is needed. </t>
    </r>
    <r>
      <rPr>
        <sz val="11"/>
        <color rgb="FF000000"/>
        <rFont val="Calibri"/>
      </rPr>
      <t xml:space="preserve">
</t>
    </r>
    <r>
      <rPr>
        <sz val="11"/>
        <color rgb="FF000000"/>
        <rFont val="Calibri"/>
      </rPr>
      <t>Note: "ProfilerRadiusProbe" or any other target with a "127.0.0.1" address does not count as being a "Remote" Logging Target.</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</si>
  <si>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</si>
  <si>
    <r>
      <rPr>
        <sz val="11"/>
        <color rgb="FF000000"/>
        <rFont val="Calibri"/>
      </rPr>
      <t>If DoD is not at C2C Step 1 or higher, this is not a finding.</t>
    </r>
    <r>
      <rPr>
        <sz val="11"/>
        <color rgb="FF000000"/>
        <rFont val="Calibri"/>
      </rPr>
      <t xml:space="preserve">
</t>
    </r>
    <r>
      <rPr>
        <sz val="11"/>
        <color rgb="FF000000"/>
        <rFont val="Calibri"/>
      </rPr>
      <t>Review the configured Remote Logging Targets to ensure there are, at a minimum, two configured.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From the Web Admin portal:</t>
    </r>
    <r>
      <rPr>
        <sz val="11"/>
        <color rgb="FF000000"/>
        <rFont val="Calibri"/>
      </rPr>
      <t xml:space="preserve">
</t>
    </r>
    <r>
      <rPr>
        <sz val="11"/>
        <color rgb="FF000000"/>
        <rFont val="Calibri"/>
      </rPr>
      <t>1. Choose Administration &gt;&gt; System &gt;&gt; Logging &gt;&gt; Logging Targets.</t>
    </r>
    <r>
      <rPr>
        <sz val="11"/>
        <color rgb="FF000000"/>
        <rFont val="Calibri"/>
      </rPr>
      <t xml:space="preserve">
</t>
    </r>
    <r>
      <rPr>
        <sz val="11"/>
        <color rgb="FF000000"/>
        <rFont val="Calibri"/>
      </rPr>
      <t>2. Verify that "LogCollector" and "LogCollector2" or an additional target is defined along with being enabled.</t>
    </r>
    <r>
      <rPr>
        <sz val="11"/>
        <color rgb="FF000000"/>
        <rFont val="Calibri"/>
      </rPr>
      <t xml:space="preserve">
</t>
    </r>
    <r>
      <rPr>
        <sz val="11"/>
        <color rgb="FF000000"/>
        <rFont val="Calibri"/>
      </rPr>
      <t>If there are not two separate logging targets defined, this is a finding.</t>
    </r>
    <r>
      <rPr>
        <sz val="11"/>
        <color rgb="FF000000"/>
        <rFont val="Calibri"/>
      </rPr>
      <t xml:space="preserve">
</t>
    </r>
    <r>
      <rPr>
        <sz val="11"/>
        <color rgb="FF000000"/>
        <rFont val="Calibri"/>
      </rPr>
      <t>Note: "ProfilerRadiusProbe" or any other target with a "127.0.0.1" address does not count as being a "Remote" Logging Target.</t>
    </r>
  </si>
  <si>
    <t>V-242597</t>
  </si>
  <si>
    <r>
      <rPr>
        <sz val="11"/>
        <rFont val="Calibri"/>
      </rPr>
      <t>The Cisco ISE must generate a critical alert to be sent to the ISSO and SA (at a minimum) if it is unable to communicate with the central event log. This is required for compliance with C2C Step 1.</t>
    </r>
  </si>
  <si>
    <r>
      <rPr>
        <sz val="11"/>
        <color rgb="FF000000"/>
        <rFont val="Calibri"/>
      </rPr>
      <t>Configure a log to be generated and sent when a Logging Target becomes unavailable.</t>
    </r>
    <r>
      <rPr>
        <sz val="11"/>
        <color rgb="FF000000"/>
        <rFont val="Calibri"/>
      </rPr>
      <t xml:space="preserve">
</t>
    </r>
    <r>
      <rPr>
        <sz val="11"/>
        <color rgb="FF000000"/>
        <rFont val="Calibri"/>
      </rPr>
      <t>From the Web Admin portal:</t>
    </r>
    <r>
      <rPr>
        <sz val="11"/>
        <color rgb="FF000000"/>
        <rFont val="Calibri"/>
      </rPr>
      <t xml:space="preserve">
</t>
    </r>
    <r>
      <rPr>
        <sz val="11"/>
        <color rgb="FF000000"/>
        <rFont val="Calibri"/>
      </rPr>
      <t>1. Choose Administration &gt;&gt; System &gt;&gt; Logging &gt;&gt; Logging Categories.</t>
    </r>
    <r>
      <rPr>
        <sz val="11"/>
        <color rgb="FF000000"/>
        <rFont val="Calibri"/>
      </rPr>
      <t xml:space="preserve">
</t>
    </r>
    <r>
      <rPr>
        <sz val="11"/>
        <color rgb="FF000000"/>
        <rFont val="Calibri"/>
      </rPr>
      <t>2. Configure the "Internal Operations Diagnostics" category Targets field to have "LogCollector" and "LogCollector2". If the environment has an additional SYSLOG server, it can be selected here as well.</t>
    </r>
    <r>
      <rPr>
        <sz val="11"/>
        <color rgb="FF000000"/>
        <rFont val="Calibri"/>
      </rPr>
      <t xml:space="preserve">
</t>
    </r>
    <r>
      <rPr>
        <sz val="11"/>
        <color rgb="FF000000"/>
        <rFont val="Calibri"/>
      </rPr>
      <t>Note: "LogCollector" and "LogCollector2" are not configured for this category by default. These logs will be viewable at Operations &gt;&gt; Reports &gt;&gt; Reports &gt;&gt; Diagnostics &gt;&gt; System Diagnostic.</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</si>
  <si>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This requirement applies to each audit data storage repository (i.e., distinct information system component where log records are stored), the centralized audit storage capacity of organizations (i.e., all audit data storage repositories combined), or both.</t>
    </r>
  </si>
  <si>
    <r>
      <rPr>
        <sz val="11"/>
        <color rgb="FF000000"/>
        <rFont val="Calibri"/>
      </rPr>
      <t>If DoD is not at C2C Step 1 or higher, this is not a finding.</t>
    </r>
    <r>
      <rPr>
        <sz val="11"/>
        <color rgb="FF000000"/>
        <rFont val="Calibri"/>
      </rPr>
      <t xml:space="preserve">
</t>
    </r>
    <r>
      <rPr>
        <sz val="11"/>
        <color rgb="FF000000"/>
        <rFont val="Calibri"/>
      </rPr>
      <t>Verify that a log will be generated and sent when a Logging Target becomes unavailable.</t>
    </r>
    <r>
      <rPr>
        <sz val="11"/>
        <color rgb="FF000000"/>
        <rFont val="Calibri"/>
      </rPr>
      <t xml:space="preserve">
</t>
    </r>
    <r>
      <rPr>
        <sz val="11"/>
        <color rgb="FF000000"/>
        <rFont val="Calibri"/>
      </rPr>
      <t>From the Web Admin portal:</t>
    </r>
    <r>
      <rPr>
        <sz val="11"/>
        <color rgb="FF000000"/>
        <rFont val="Calibri"/>
      </rPr>
      <t xml:space="preserve">
</t>
    </r>
    <r>
      <rPr>
        <sz val="11"/>
        <color rgb="FF000000"/>
        <rFont val="Calibri"/>
      </rPr>
      <t>1. Choose Administration &gt;&gt; System &gt;&gt; Logging &gt;&gt; Logging Categories.</t>
    </r>
    <r>
      <rPr>
        <sz val="11"/>
        <color rgb="FF000000"/>
        <rFont val="Calibri"/>
      </rPr>
      <t xml:space="preserve">
</t>
    </r>
    <r>
      <rPr>
        <sz val="11"/>
        <color rgb="FF000000"/>
        <rFont val="Calibri"/>
      </rPr>
      <t>2. Verify that Internal Operations Diagnostics has "LogCollector" and "LogCollector2" set.</t>
    </r>
    <r>
      <rPr>
        <sz val="11"/>
        <color rgb="FF000000"/>
        <rFont val="Calibri"/>
      </rPr>
      <t xml:space="preserve">
</t>
    </r>
    <r>
      <rPr>
        <sz val="11"/>
        <color rgb="FF000000"/>
        <rFont val="Calibri"/>
      </rPr>
      <t>If there are a minimum of two logging targets selected for Internal Operations Diagnostics, this is not a finding.</t>
    </r>
  </si>
  <si>
    <t>V-242598</t>
  </si>
  <si>
    <r>
      <rPr>
        <sz val="11"/>
        <rFont val="Calibri"/>
      </rPr>
      <t>The Cisco ISE must continue to queue traffic log records locally when communication with the central log server is lost and there is an audit archival failure. This is required for compliance with C2C Step 1.</t>
    </r>
  </si>
  <si>
    <r>
      <rPr>
        <sz val="11"/>
        <color rgb="FF000000"/>
        <rFont val="Calibri"/>
      </rPr>
      <t>Configure the logging targets to buffer syslog messages when the server is down.</t>
    </r>
    <r>
      <rPr>
        <sz val="11"/>
        <color rgb="FF000000"/>
        <rFont val="Calibri"/>
      </rPr>
      <t xml:space="preserve">
</t>
    </r>
    <r>
      <rPr>
        <sz val="11"/>
        <color rgb="FF000000"/>
        <rFont val="Calibri"/>
      </rPr>
      <t>Navigate to Administration &gt;&gt; System &gt;&gt; Logging &gt;&gt; Remote Logging Targets.</t>
    </r>
    <r>
      <rPr>
        <sz val="11"/>
        <color rgb="FF000000"/>
        <rFont val="Calibri"/>
      </rPr>
      <t xml:space="preserve">
</t>
    </r>
    <r>
      <rPr>
        <sz val="11"/>
        <color rgb="FF000000"/>
        <rFont val="Calibri"/>
      </rPr>
      <t>1. Select "Secure Syslog" or "TCP Syslog" in the Target Type drop-down menu.</t>
    </r>
    <r>
      <rPr>
        <sz val="11"/>
        <color rgb="FF000000"/>
        <rFont val="Calibri"/>
      </rPr>
      <t xml:space="preserve">
</t>
    </r>
    <r>
      <rPr>
        <sz val="11"/>
        <color rgb="FF000000"/>
        <rFont val="Calibri"/>
      </rPr>
      <t>2. Configure a desired name.</t>
    </r>
    <r>
      <rPr>
        <sz val="11"/>
        <color rgb="FF000000"/>
        <rFont val="Calibri"/>
      </rPr>
      <t xml:space="preserve">
</t>
    </r>
    <r>
      <rPr>
        <sz val="11"/>
        <color rgb="FF000000"/>
        <rFont val="Calibri"/>
      </rPr>
      <t>3. Configure the Host/IP address.</t>
    </r>
    <r>
      <rPr>
        <sz val="11"/>
        <color rgb="FF000000"/>
        <rFont val="Calibri"/>
      </rPr>
      <t xml:space="preserve">
</t>
    </r>
    <r>
      <rPr>
        <sz val="11"/>
        <color rgb="FF000000"/>
        <rFont val="Calibri"/>
      </rPr>
      <t>4. Check the box for "Buffer Messages When Server Down".</t>
    </r>
    <r>
      <rPr>
        <sz val="11"/>
        <color rgb="FF000000"/>
        <rFont val="Calibri"/>
      </rPr>
      <t xml:space="preserve">
</t>
    </r>
    <r>
      <rPr>
        <sz val="11"/>
        <color rgb="FF000000"/>
        <rFont val="Calibri"/>
      </rPr>
      <t>5. If "Secure Syslog" is used, select a CA certificate to use to define what system certificate to use to secure this connection.</t>
    </r>
    <r>
      <rPr>
        <sz val="11"/>
        <color rgb="FF000000"/>
        <rFont val="Calibri"/>
      </rPr>
      <t xml:space="preserve">
</t>
    </r>
    <r>
      <rPr>
        <sz val="11"/>
        <color rgb="FF000000"/>
        <rFont val="Calibri"/>
      </rPr>
      <t>6. Choose "Submit".</t>
    </r>
    <r>
      <rPr>
        <sz val="11"/>
        <color rgb="FF000000"/>
        <rFont val="Calibri"/>
      </rPr>
      <t xml:space="preserve">
</t>
    </r>
    <r>
      <rPr>
        <sz val="11"/>
        <color rgb="FF000000"/>
        <rFont val="Calibri"/>
      </rPr>
      <t>And/or:</t>
    </r>
    <r>
      <rPr>
        <sz val="11"/>
        <color rgb="FF000000"/>
        <rFont val="Calibri"/>
      </rPr>
      <t xml:space="preserve">
</t>
    </r>
    <r>
      <rPr>
        <sz val="11"/>
        <color rgb="FF000000"/>
        <rFont val="Calibri"/>
      </rPr>
      <t xml:space="preserve">Enable ISE Messaging Service.  </t>
    </r>
    <r>
      <rPr>
        <sz val="11"/>
        <color rgb="FF000000"/>
        <rFont val="Calibri"/>
      </rPr>
      <t xml:space="preserve">
</t>
    </r>
    <r>
      <rPr>
        <sz val="11"/>
        <color rgb="FF000000"/>
        <rFont val="Calibri"/>
      </rPr>
      <t xml:space="preserve">From the Web Admin portal: </t>
    </r>
    <r>
      <rPr>
        <sz val="11"/>
        <color rgb="FF000000"/>
        <rFont val="Calibri"/>
      </rPr>
      <t xml:space="preserve">
</t>
    </r>
    <r>
      <rPr>
        <sz val="11"/>
        <color rgb="FF000000"/>
        <rFont val="Calibri"/>
      </rPr>
      <t>1. Choose Administration &gt;&gt; System &gt;&gt; Logging &gt;&gt; Log Settings.</t>
    </r>
    <r>
      <rPr>
        <sz val="11"/>
        <color rgb="FF000000"/>
        <rFont val="Calibri"/>
      </rPr>
      <t xml:space="preserve">
</t>
    </r>
    <r>
      <rPr>
        <sz val="11"/>
        <color rgb="FF000000"/>
        <rFont val="Calibri"/>
      </rPr>
      <t>2. Check "Use "ISE Messaging Service" for UDP Syslogs delivery to MnT".</t>
    </r>
    <r>
      <rPr>
        <sz val="11"/>
        <color rgb="FF000000"/>
        <rFont val="Calibri"/>
      </rPr>
      <t xml:space="preserve">
</t>
    </r>
    <r>
      <rPr>
        <sz val="11"/>
        <color rgb="FF000000"/>
        <rFont val="Calibri"/>
      </rPr>
      <t>3. Choose "Save".</t>
    </r>
    <r>
      <rPr>
        <sz val="11"/>
        <color rgb="FF000000"/>
        <rFont val="Calibri"/>
      </rPr>
      <t xml:space="preserve">
</t>
    </r>
    <r>
      <rPr>
        <sz val="11"/>
        <color rgb="FF000000"/>
        <rFont val="Calibri"/>
      </rPr>
      <t>Note: ISE Messaging Service will encrypt and buffer messages destined to the Monitoring (MnT) nodes. The logging targets of "LogCollector" and "LogCollector2" are the primary and secondary MnT nodes respectively.</t>
    </r>
  </si>
  <si>
    <r>
      <rPr>
        <sz val="11"/>
        <color rgb="FF000000"/>
        <rFont val="Calibri"/>
      </rPr>
      <t>It is critical that when the network element is at risk of failing to process traffic logs as required, it takes action to mitigate the failure. Audit processing failures include software/hardware errors, failures in the audit capturing mechanisms, and audit storage capacity being reached or exceeded. Responses to audit failure depend on the nature of the failure mode.</t>
    </r>
    <r>
      <rPr>
        <sz val="11"/>
        <color rgb="FF000000"/>
        <rFont val="Calibri"/>
      </rPr>
      <t xml:space="preserve">
</t>
    </r>
    <r>
      <rPr>
        <sz val="11"/>
        <color rgb="FF000000"/>
        <rFont val="Calibri"/>
      </rPr>
      <t>In accordance with DoD policy, the traffic log must be sent to a central audit server. When logging functions are lost, system processing cannot be shut down because NAC availability is an overriding concern given the role of the firewall in the enterprise. The system should either be configured to log events to an alternative server or queue log records locally. Upon restoration of the connection to the central log server, action should be taken to synchronize the local log data with the central audit server.</t>
    </r>
    <r>
      <rPr>
        <sz val="11"/>
        <color rgb="FF000000"/>
        <rFont val="Calibri"/>
      </rPr>
      <t xml:space="preserve">
</t>
    </r>
    <r>
      <rPr>
        <sz val="11"/>
        <color rgb="FF000000"/>
        <rFont val="Calibri"/>
      </rPr>
      <t>If the central audit server uses User Datagram Protocol (UDP) communications instead of a connection-oriented protocol such as TCP, a method for detecting a lost connection must be implemented.</t>
    </r>
  </si>
  <si>
    <r>
      <rPr>
        <sz val="11"/>
        <color rgb="FF000000"/>
        <rFont val="Calibri"/>
      </rPr>
      <t>If DoD is not at C2C Step 1 or higher, this is not a finding.</t>
    </r>
    <r>
      <rPr>
        <sz val="11"/>
        <color rgb="FF000000"/>
        <rFont val="Calibri"/>
      </rPr>
      <t xml:space="preserve">
</t>
    </r>
    <r>
      <rPr>
        <sz val="11"/>
        <color rgb="FF000000"/>
        <rFont val="Calibri"/>
      </rPr>
      <t xml:space="preserve">Verify that logging targets are configured to buffer syslog messages when the server is down. </t>
    </r>
    <r>
      <rPr>
        <sz val="11"/>
        <color rgb="FF000000"/>
        <rFont val="Calibri"/>
      </rPr>
      <t xml:space="preserve">
</t>
    </r>
    <r>
      <rPr>
        <sz val="11"/>
        <color rgb="FF000000"/>
        <rFont val="Calibri"/>
      </rPr>
      <t xml:space="preserve">From the Web Admin portal: </t>
    </r>
    <r>
      <rPr>
        <sz val="11"/>
        <color rgb="FF000000"/>
        <rFont val="Calibri"/>
      </rPr>
      <t xml:space="preserve">
</t>
    </r>
    <r>
      <rPr>
        <sz val="11"/>
        <color rgb="FF000000"/>
        <rFont val="Calibri"/>
      </rPr>
      <t>1. Choose Administration &gt;&gt; System &gt;&gt; Logging &gt;&gt; Remote Logging Targets.</t>
    </r>
    <r>
      <rPr>
        <sz val="11"/>
        <color rgb="FF000000"/>
        <rFont val="Calibri"/>
      </rPr>
      <t xml:space="preserve">
</t>
    </r>
    <r>
      <rPr>
        <sz val="11"/>
        <color rgb="FF000000"/>
        <rFont val="Calibri"/>
      </rPr>
      <t>2. Select remote targets and verify that "Buffer Messages When Server Down" box is checked.</t>
    </r>
    <r>
      <rPr>
        <sz val="11"/>
        <color rgb="FF000000"/>
        <rFont val="Calibri"/>
      </rPr>
      <t xml:space="preserve">
</t>
    </r>
    <r>
      <rPr>
        <sz val="11"/>
        <color rgb="FF000000"/>
        <rFont val="Calibri"/>
      </rPr>
      <t xml:space="preserve">Note: If "LogCollector" and "LogCollector2" are configured for UDP and ISE Messaging service is configured, this is not a finding. </t>
    </r>
    <r>
      <rPr>
        <sz val="11"/>
        <color rgb="FF000000"/>
        <rFont val="Calibri"/>
      </rPr>
      <t xml:space="preserve">
</t>
    </r>
    <r>
      <rPr>
        <sz val="11"/>
        <color rgb="FF000000"/>
        <rFont val="Calibri"/>
      </rPr>
      <t>Verify that ISE Messaging Service is enabled.</t>
    </r>
    <r>
      <rPr>
        <sz val="11"/>
        <color rgb="FF000000"/>
        <rFont val="Calibri"/>
      </rPr>
      <t xml:space="preserve">
</t>
    </r>
    <r>
      <rPr>
        <sz val="11"/>
        <color rgb="FF000000"/>
        <rFont val="Calibri"/>
      </rPr>
      <t xml:space="preserve">From the Web Admin portal: </t>
    </r>
    <r>
      <rPr>
        <sz val="11"/>
        <color rgb="FF000000"/>
        <rFont val="Calibri"/>
      </rPr>
      <t xml:space="preserve">
</t>
    </r>
    <r>
      <rPr>
        <sz val="11"/>
        <color rgb="FF000000"/>
        <rFont val="Calibri"/>
      </rPr>
      <t>1. Choose Administration &gt;&gt; System &gt;&gt; Logging &gt;&gt; Log Settings.</t>
    </r>
    <r>
      <rPr>
        <sz val="11"/>
        <color rgb="FF000000"/>
        <rFont val="Calibri"/>
      </rPr>
      <t xml:space="preserve">
</t>
    </r>
    <r>
      <rPr>
        <sz val="11"/>
        <color rgb="FF000000"/>
        <rFont val="Calibri"/>
      </rPr>
      <t>2. Verify that "Use ISE Messaging Service for UDP Syslogs delivery to MnT" box is checked.</t>
    </r>
    <r>
      <rPr>
        <sz val="11"/>
        <color rgb="FF000000"/>
        <rFont val="Calibri"/>
      </rPr>
      <t xml:space="preserve">
</t>
    </r>
    <r>
      <rPr>
        <sz val="11"/>
        <color rgb="FF000000"/>
        <rFont val="Calibri"/>
      </rPr>
      <t>If messages are not buffered for remote syslog servers, this is a finding.</t>
    </r>
  </si>
  <si>
    <t>V-242599</t>
  </si>
  <si>
    <r>
      <rPr>
        <sz val="11"/>
        <rFont val="Calibri"/>
      </rPr>
      <t>The Cisco ISE must perform continuous detection and tracking of endpoint devices attached to the network. This is required for compliance with C2C Step 1.</t>
    </r>
  </si>
  <si>
    <r>
      <rPr>
        <sz val="11"/>
        <color rgb="FF000000"/>
        <rFont val="Calibri"/>
      </rPr>
      <t>If required by the NAC SSP, configure the posture settings to enable Continuous Monitoring Interval.</t>
    </r>
    <r>
      <rPr>
        <sz val="11"/>
        <color rgb="FF000000"/>
        <rFont val="Calibri"/>
      </rPr>
      <t xml:space="preserve">
</t>
    </r>
    <r>
      <rPr>
        <sz val="11"/>
        <color rgb="FF000000"/>
        <rFont val="Calibri"/>
      </rPr>
      <t>From the Web Admin portal:</t>
    </r>
    <r>
      <rPr>
        <sz val="11"/>
        <color rgb="FF000000"/>
        <rFont val="Calibri"/>
      </rPr>
      <t xml:space="preserve">
</t>
    </r>
    <r>
      <rPr>
        <sz val="11"/>
        <color rgb="FF000000"/>
        <rFont val="Calibri"/>
      </rPr>
      <t>1. Choose Work Centers &gt;&gt; Posture &gt;&gt; Settings &gt;&gt; Posture General Settings.</t>
    </r>
    <r>
      <rPr>
        <sz val="11"/>
        <color rgb="FF000000"/>
        <rFont val="Calibri"/>
      </rPr>
      <t xml:space="preserve">
</t>
    </r>
    <r>
      <rPr>
        <sz val="11"/>
        <color rgb="FF000000"/>
        <rFont val="Calibri"/>
      </rPr>
      <t>2. Check "Continuous Monitoring Interval" and define an interval to enable continuous monitoring.</t>
    </r>
    <r>
      <rPr>
        <sz val="11"/>
        <color rgb="FF000000"/>
        <rFont val="Calibri"/>
      </rPr>
      <t xml:space="preserve">
</t>
    </r>
    <r>
      <rPr>
        <sz val="11"/>
        <color rgb="FF000000"/>
        <rFont val="Calibri"/>
      </rPr>
      <t>3. Choose "Save".</t>
    </r>
  </si>
  <si>
    <r>
      <rPr>
        <sz val="11"/>
        <color rgb="FF000000"/>
        <rFont val="Calibri"/>
      </rPr>
      <t>Continuous scanning capabilities on the Cisco ISE provide visibility of devices that are connected to the switch ports. The Cisco ISE continuously scans networks and monitors the activity of managed and unmanaged devices, which can be personally owned or rogue endpoints. Because many of today's small devices do not include agents, an agentless discovery is often combined to cover more types of equipment.</t>
    </r>
  </si>
  <si>
    <r>
      <rPr>
        <sz val="11"/>
        <color rgb="FF000000"/>
        <rFont val="Calibri"/>
      </rPr>
      <t>If DoD is not at C2C Step 1 or higher, this is not a finding.</t>
    </r>
    <r>
      <rPr>
        <sz val="11"/>
        <color rgb="FF000000"/>
        <rFont val="Calibri"/>
      </rPr>
      <t xml:space="preserve">
</t>
    </r>
    <r>
      <rPr>
        <sz val="11"/>
        <color rgb="FF000000"/>
        <rFont val="Calibri"/>
      </rPr>
      <t>If not required by the NAC SSP, this is not a finding.</t>
    </r>
    <r>
      <rPr>
        <sz val="11"/>
        <color rgb="FF000000"/>
        <rFont val="Calibri"/>
      </rPr>
      <t xml:space="preserve">
</t>
    </r>
    <r>
      <rPr>
        <sz val="11"/>
        <color rgb="FF000000"/>
        <rFont val="Calibri"/>
      </rPr>
      <t xml:space="preserve">Review the posture settings to ensure Continuous Monitoring Interval is enabled and a value configured. </t>
    </r>
    <r>
      <rPr>
        <sz val="11"/>
        <color rgb="FF000000"/>
        <rFont val="Calibri"/>
      </rPr>
      <t xml:space="preserve">
</t>
    </r>
    <r>
      <rPr>
        <sz val="11"/>
        <color rgb="FF000000"/>
        <rFont val="Calibri"/>
      </rPr>
      <t>From the Web Admin portal:</t>
    </r>
    <r>
      <rPr>
        <sz val="11"/>
        <color rgb="FF000000"/>
        <rFont val="Calibri"/>
      </rPr>
      <t xml:space="preserve">
</t>
    </r>
    <r>
      <rPr>
        <sz val="11"/>
        <color rgb="FF000000"/>
        <rFont val="Calibri"/>
      </rPr>
      <t>1. Choose Work Centers &gt;&gt; Posture &gt;&gt; Settings &gt;&gt; Posture General Settings.</t>
    </r>
    <r>
      <rPr>
        <sz val="11"/>
        <color rgb="FF000000"/>
        <rFont val="Calibri"/>
      </rPr>
      <t xml:space="preserve">
</t>
    </r>
    <r>
      <rPr>
        <sz val="11"/>
        <color rgb="FF000000"/>
        <rFont val="Calibri"/>
      </rPr>
      <t xml:space="preserve">2. Verify that "Continuous Monitoring Interval" is enabled and an interval configured. </t>
    </r>
    <r>
      <rPr>
        <sz val="11"/>
        <color rgb="FF000000"/>
        <rFont val="Calibri"/>
      </rPr>
      <t xml:space="preserve">
</t>
    </r>
    <r>
      <rPr>
        <sz val="11"/>
        <color rgb="FF000000"/>
        <rFont val="Calibri"/>
      </rPr>
      <t>If "Continuous Monitoring Interval" is not enabled with an interval defined, this is a finding.</t>
    </r>
  </si>
  <si>
    <t>V-242600</t>
  </si>
  <si>
    <r>
      <rPr>
        <sz val="11"/>
        <rFont val="Calibri"/>
      </rPr>
      <t>The Cisco ISE must deny network connection for endpoints that cannot be authenticated using an approved method. This is required for compliance with C2C Step 4.</t>
    </r>
  </si>
  <si>
    <r>
      <rPr>
        <sz val="11"/>
        <color rgb="FF000000"/>
        <rFont val="Calibri"/>
      </rPr>
      <t xml:space="preserve">Configure each policy set so that authorization policies have either "deny-access" or restricted access on their default authorization policy set. </t>
    </r>
    <r>
      <rPr>
        <sz val="11"/>
        <color rgb="FF000000"/>
        <rFont val="Calibri"/>
      </rPr>
      <t xml:space="preserve">
</t>
    </r>
    <r>
      <rPr>
        <sz val="11"/>
        <color rgb="FF000000"/>
        <rFont val="Calibri"/>
      </rPr>
      <t>1. Work Centers &gt;&gt; Network Access &gt;&gt; Policy Sets.</t>
    </r>
    <r>
      <rPr>
        <sz val="11"/>
        <color rgb="FF000000"/>
        <rFont val="Calibri"/>
      </rPr>
      <t xml:space="preserve">
</t>
    </r>
    <r>
      <rPr>
        <sz val="11"/>
        <color rgb="FF000000"/>
        <rFont val="Calibri"/>
      </rPr>
      <t>2. Choose "&gt;" on the desired policy set.</t>
    </r>
    <r>
      <rPr>
        <sz val="11"/>
        <color rgb="FF000000"/>
        <rFont val="Calibri"/>
      </rPr>
      <t xml:space="preserve">
</t>
    </r>
    <r>
      <rPr>
        <sz val="11"/>
        <color rgb="FF000000"/>
        <rFont val="Calibri"/>
      </rPr>
      <t>3. Expand Authorization Policy.</t>
    </r>
    <r>
      <rPr>
        <sz val="11"/>
        <color rgb="FF000000"/>
        <rFont val="Calibri"/>
      </rPr>
      <t xml:space="preserve">
</t>
    </r>
    <r>
      <rPr>
        <sz val="11"/>
        <color rgb="FF000000"/>
        <rFont val="Calibri"/>
      </rPr>
      <t>On the default authorization rule, select "Deny-Access" or a result that is configured for a restricted VLAN, ACL, SGT, or any combination of these used to restrict the access.</t>
    </r>
  </si>
  <si>
    <r>
      <rPr>
        <sz val="11"/>
        <color rgb="FF000000"/>
        <rFont val="Calibri"/>
      </rPr>
      <t>Without identifying devices, unidentified or unknown devices may be introduced, thereby facilitating malicious activity. Identification failure does not need to result in connection termination or preclude compliance assessment. This is particularly true for unmanaged systems or when the Cisco ISE is performing network discovery.</t>
    </r>
  </si>
  <si>
    <t>V-242601</t>
  </si>
  <si>
    <r>
      <rPr>
        <sz val="11"/>
        <rFont val="Calibri"/>
      </rPr>
      <t>The Cisco ISE must authenticate all endpoint devices before establishing a connection and proceeding with posture assessment. This is required for compliance with C2C Step 4.</t>
    </r>
  </si>
  <si>
    <r>
      <rPr>
        <sz val="11"/>
        <color rgb="FF000000"/>
        <rFont val="Calibri"/>
      </rPr>
      <t>If required by the NAC SSP, configure each policy set so that authorization policies have either "deny-access" or restricted access on their default authorization policy set.</t>
    </r>
    <r>
      <rPr>
        <sz val="11"/>
        <color rgb="FF000000"/>
        <rFont val="Calibri"/>
      </rPr>
      <t xml:space="preserve">
</t>
    </r>
    <r>
      <rPr>
        <sz val="11"/>
        <color rgb="FF000000"/>
        <rFont val="Calibri"/>
      </rPr>
      <t>1. Work Centers &gt;&gt; Network Access &gt;&gt; Policy Sets.</t>
    </r>
    <r>
      <rPr>
        <sz val="11"/>
        <color rgb="FF000000"/>
        <rFont val="Calibri"/>
      </rPr>
      <t xml:space="preserve">
</t>
    </r>
    <r>
      <rPr>
        <sz val="11"/>
        <color rgb="FF000000"/>
        <rFont val="Calibri"/>
      </rPr>
      <t>2. Choose "&gt;" on the desired policy set.</t>
    </r>
    <r>
      <rPr>
        <sz val="11"/>
        <color rgb="FF000000"/>
        <rFont val="Calibri"/>
      </rPr>
      <t xml:space="preserve">
</t>
    </r>
    <r>
      <rPr>
        <sz val="11"/>
        <color rgb="FF000000"/>
        <rFont val="Calibri"/>
      </rPr>
      <t>3. Expand Authorization Policy.</t>
    </r>
    <r>
      <rPr>
        <sz val="11"/>
        <color rgb="FF000000"/>
        <rFont val="Calibri"/>
      </rPr>
      <t xml:space="preserve">
</t>
    </r>
    <r>
      <rPr>
        <sz val="11"/>
        <color rgb="FF000000"/>
        <rFont val="Calibri"/>
      </rPr>
      <t>On the default authorization rule, select "Deny-Access" or a result that is configured for a restricted VLAN, Access Control List, Scalable Group Tag, or any combination of these used to restrict access.</t>
    </r>
  </si>
  <si>
    <r>
      <rPr>
        <sz val="11"/>
        <color rgb="FF000000"/>
        <rFont val="Calibri"/>
      </rPr>
      <t>Without authenticating devices, unidentified or unknown devices may be introduced, thereby facilitating malicious activity. However, failure to authenticate an endpoint does not need to result in connection termination or preclude compliance assessment. This is particularly true for unmanaged systems or when the Cisco ISE is performing network discovery.</t>
    </r>
    <r>
      <rPr>
        <sz val="11"/>
        <color rgb="FF000000"/>
        <rFont val="Calibri"/>
      </rPr>
      <t xml:space="preserve">
</t>
    </r>
    <r>
      <rPr>
        <sz val="11"/>
        <color rgb="FF000000"/>
        <rFont val="Calibri"/>
      </rPr>
      <t>Authentication methods for NAC on access switches are MAC Authentication Bypass (MAB), or 802.1x.</t>
    </r>
  </si>
  <si>
    <r>
      <rPr>
        <sz val="11"/>
        <color rgb="FF000000"/>
        <rFont val="Calibri"/>
      </rPr>
      <t>If DoD is not at C2C Step 4 or higher, this is not a finding.</t>
    </r>
    <r>
      <rPr>
        <sz val="11"/>
        <color rgb="FF000000"/>
        <rFont val="Calibri"/>
      </rPr>
      <t xml:space="preserve">
</t>
    </r>
    <r>
      <rPr>
        <sz val="11"/>
        <color rgb="FF000000"/>
        <rFont val="Calibri"/>
      </rPr>
      <t>If not required by the NAC SSP, this is not a finding.</t>
    </r>
    <r>
      <rPr>
        <sz val="11"/>
        <color rgb="FF000000"/>
        <rFont val="Calibri"/>
      </rPr>
      <t xml:space="preserve">
</t>
    </r>
    <r>
      <rPr>
        <sz val="11"/>
        <color rgb="FF000000"/>
        <rFont val="Calibri"/>
      </rPr>
      <t>Verify that the authorization policies have either "deny-access" or restricted access on their default authorization policy set.</t>
    </r>
    <r>
      <rPr>
        <sz val="11"/>
        <color rgb="FF000000"/>
        <rFont val="Calibri"/>
      </rPr>
      <t xml:space="preserve">
</t>
    </r>
    <r>
      <rPr>
        <sz val="11"/>
        <color rgb="FF000000"/>
        <rFont val="Calibri"/>
      </rPr>
      <t>1. Work Centers &gt;&gt; Network Access &gt;&gt; Policy Sets.</t>
    </r>
    <r>
      <rPr>
        <sz val="11"/>
        <color rgb="FF000000"/>
        <rFont val="Calibri"/>
      </rPr>
      <t xml:space="preserve">
</t>
    </r>
    <r>
      <rPr>
        <sz val="11"/>
        <color rgb="FF000000"/>
        <rFont val="Calibri"/>
      </rPr>
      <t>2. Choose "&gt;" on the desired policy set.</t>
    </r>
    <r>
      <rPr>
        <sz val="11"/>
        <color rgb="FF000000"/>
        <rFont val="Calibri"/>
      </rPr>
      <t xml:space="preserve">
</t>
    </r>
    <r>
      <rPr>
        <sz val="11"/>
        <color rgb="FF000000"/>
        <rFont val="Calibri"/>
      </rPr>
      <t>3. Expand Authorization Policy.</t>
    </r>
    <r>
      <rPr>
        <sz val="11"/>
        <color rgb="FF000000"/>
        <rFont val="Calibri"/>
      </rPr>
      <t xml:space="preserve">
</t>
    </r>
    <r>
      <rPr>
        <sz val="11"/>
        <color rgb="FF000000"/>
        <rFont val="Calibri"/>
      </rPr>
      <t>If the default authorization policy within each policy set has "deny-access" or restricted access, this is not a finding.</t>
    </r>
  </si>
  <si>
    <t>V-242602</t>
  </si>
  <si>
    <r>
      <rPr>
        <sz val="11"/>
        <rFont val="Calibri"/>
      </rPr>
      <t>The Cisco ISE must be configured to dynamically apply restricted access of endpoints that are granted access using MAC Authentication Bypass (MAB). This is required for compliance with C2C Step 4.</t>
    </r>
  </si>
  <si>
    <r>
      <rPr>
        <sz val="11"/>
        <color rgb="FF000000"/>
        <rFont val="Calibri"/>
      </rPr>
      <t>Configure the authorization policies for devices granted access via MAB to have restricted access.</t>
    </r>
    <r>
      <rPr>
        <sz val="11"/>
        <color rgb="FF000000"/>
        <rFont val="Calibri"/>
      </rPr>
      <t xml:space="preserve">
</t>
    </r>
    <r>
      <rPr>
        <sz val="11"/>
        <color rgb="FF000000"/>
        <rFont val="Calibri"/>
      </rPr>
      <t>1. Navigate to Work Centers &gt;&gt; Network Access &gt;&gt; Policy Sets.</t>
    </r>
    <r>
      <rPr>
        <sz val="11"/>
        <color rgb="FF000000"/>
        <rFont val="Calibri"/>
      </rPr>
      <t xml:space="preserve">
</t>
    </r>
    <r>
      <rPr>
        <sz val="11"/>
        <color rgb="FF000000"/>
        <rFont val="Calibri"/>
      </rPr>
      <t>2. Choose "&gt;" on the applicable policy set.</t>
    </r>
    <r>
      <rPr>
        <sz val="11"/>
        <color rgb="FF000000"/>
        <rFont val="Calibri"/>
      </rPr>
      <t xml:space="preserve">
</t>
    </r>
    <r>
      <rPr>
        <sz val="11"/>
        <color rgb="FF000000"/>
        <rFont val="Calibri"/>
      </rPr>
      <t>3. Expand the "Authorization Policy".</t>
    </r>
    <r>
      <rPr>
        <sz val="11"/>
        <color rgb="FF000000"/>
        <rFont val="Calibri"/>
      </rPr>
      <t xml:space="preserve">
</t>
    </r>
    <r>
      <rPr>
        <sz val="11"/>
        <color rgb="FF000000"/>
        <rFont val="Calibri"/>
      </rPr>
      <t>4. Add a restricted VLAN, Access Control List, Scalable Group Tag, or any combination of these that are used to restrict access under results.</t>
    </r>
    <r>
      <rPr>
        <sz val="11"/>
        <color rgb="FF000000"/>
        <rFont val="Calibri"/>
      </rPr>
      <t xml:space="preserve">
</t>
    </r>
    <r>
      <rPr>
        <sz val="11"/>
        <color rgb="FF000000"/>
        <rFont val="Calibri"/>
      </rPr>
      <t>5. Repeat this for each authorization policy that devices connecting via MAB will use.</t>
    </r>
    <r>
      <rPr>
        <sz val="11"/>
        <color rgb="FF000000"/>
        <rFont val="Calibri"/>
      </rPr>
      <t xml:space="preserve">
</t>
    </r>
    <r>
      <rPr>
        <sz val="11"/>
        <color rgb="FF000000"/>
        <rFont val="Calibri"/>
      </rPr>
      <t>6. Choose "Save".</t>
    </r>
  </si>
  <si>
    <r>
      <rPr>
        <sz val="11"/>
        <color rgb="FF000000"/>
        <rFont val="Calibri"/>
      </rPr>
      <t>MAB can be defeated by spoofing the MAC address of a valid device. MAB enables port-based access control using the MAC address of the endpoint. A MAB-enabled port can be dynamically enabled or disabled based on the MAC address of the device that connects to it.</t>
    </r>
    <r>
      <rPr>
        <sz val="11"/>
        <color rgb="FF000000"/>
        <rFont val="Calibri"/>
      </rPr>
      <t xml:space="preserve">
</t>
    </r>
    <r>
      <rPr>
        <sz val="11"/>
        <color rgb="FF000000"/>
        <rFont val="Calibri"/>
      </rPr>
      <t>NPE devices that can support PKI or an allowed authentication type must use PKI. MAB may be used for NPE that cannot support an approved device authentication. Non-entity endpoints include IoT devices, VOIP phone, and printer.</t>
    </r>
  </si>
  <si>
    <r>
      <rPr>
        <sz val="11"/>
        <color rgb="FF000000"/>
        <rFont val="Calibri"/>
      </rPr>
      <t>If DoD is not at C2C Step 4 or higher, this is not a finding.</t>
    </r>
    <r>
      <rPr>
        <sz val="11"/>
        <color rgb="FF000000"/>
        <rFont val="Calibri"/>
      </rPr>
      <t xml:space="preserve">
</t>
    </r>
    <r>
      <rPr>
        <sz val="11"/>
        <color rgb="FF000000"/>
        <rFont val="Calibri"/>
      </rPr>
      <t xml:space="preserve">Verify that the authorization policies for devices granted access via MAB will have restricted access. </t>
    </r>
    <r>
      <rPr>
        <sz val="11"/>
        <color rgb="FF000000"/>
        <rFont val="Calibri"/>
      </rPr>
      <t xml:space="preserve">
</t>
    </r>
    <r>
      <rPr>
        <sz val="11"/>
        <color rgb="FF000000"/>
        <rFont val="Calibri"/>
      </rPr>
      <t>1. Navigate to Work Centers &gt;&gt; Network Access &gt;&gt; Policy Sets.</t>
    </r>
    <r>
      <rPr>
        <sz val="11"/>
        <color rgb="FF000000"/>
        <rFont val="Calibri"/>
      </rPr>
      <t xml:space="preserve">
</t>
    </r>
    <r>
      <rPr>
        <sz val="11"/>
        <color rgb="FF000000"/>
        <rFont val="Calibri"/>
      </rPr>
      <t>2. Choose "&gt;" on the applicable policy set.</t>
    </r>
    <r>
      <rPr>
        <sz val="11"/>
        <color rgb="FF000000"/>
        <rFont val="Calibri"/>
      </rPr>
      <t xml:space="preserve">
</t>
    </r>
    <r>
      <rPr>
        <sz val="11"/>
        <color rgb="FF000000"/>
        <rFont val="Calibri"/>
      </rPr>
      <t>3. Expand the Authorization Policy.</t>
    </r>
    <r>
      <rPr>
        <sz val="11"/>
        <color rgb="FF000000"/>
        <rFont val="Calibri"/>
      </rPr>
      <t xml:space="preserve">
</t>
    </r>
    <r>
      <rPr>
        <sz val="11"/>
        <color rgb="FF000000"/>
        <rFont val="Calibri"/>
      </rPr>
      <t>4. Make a note of the result/results on each authorization policy for MAB.</t>
    </r>
    <r>
      <rPr>
        <sz val="11"/>
        <color rgb="FF000000"/>
        <rFont val="Calibri"/>
      </rPr>
      <t xml:space="preserve">
</t>
    </r>
    <r>
      <rPr>
        <sz val="11"/>
        <color rgb="FF000000"/>
        <rFont val="Calibri"/>
      </rPr>
      <t>5. Navigate to Policy &gt;&gt; Policy Elements &gt;&gt; Results &gt;&gt; Authorization.</t>
    </r>
    <r>
      <rPr>
        <sz val="11"/>
        <color rgb="FF000000"/>
        <rFont val="Calibri"/>
      </rPr>
      <t xml:space="preserve">
</t>
    </r>
    <r>
      <rPr>
        <sz val="11"/>
        <color rgb="FF000000"/>
        <rFont val="Calibri"/>
      </rPr>
      <t>6. Expand "Authorization".</t>
    </r>
    <r>
      <rPr>
        <sz val="11"/>
        <color rgb="FF000000"/>
        <rFont val="Calibri"/>
      </rPr>
      <t xml:space="preserve">
</t>
    </r>
    <r>
      <rPr>
        <sz val="11"/>
        <color rgb="FF000000"/>
        <rFont val="Calibri"/>
      </rPr>
      <t>7. Choose "Authorization Profiles".</t>
    </r>
    <r>
      <rPr>
        <sz val="11"/>
        <color rgb="FF000000"/>
        <rFont val="Calibri"/>
      </rPr>
      <t xml:space="preserve">
</t>
    </r>
    <r>
      <rPr>
        <sz val="11"/>
        <color rgb="FF000000"/>
        <rFont val="Calibri"/>
      </rPr>
      <t>8. View the Standard Authorization Profile/Profiles noted above to ensure that a restricted VLAN, Access Control List, Scalable Group Tag, or any combination of these is used to restrict access.</t>
    </r>
    <r>
      <rPr>
        <sz val="11"/>
        <color rgb="FF000000"/>
        <rFont val="Calibri"/>
      </rPr>
      <t xml:space="preserve">
</t>
    </r>
    <r>
      <rPr>
        <sz val="11"/>
        <color rgb="FF000000"/>
        <rFont val="Calibri"/>
      </rPr>
      <t xml:space="preserve">If a VLAN is the only thing being applied to the session and the VLAN has an ACL on the layer 3 interface, this is not a finding. </t>
    </r>
    <r>
      <rPr>
        <sz val="11"/>
        <color rgb="FF000000"/>
        <rFont val="Calibri"/>
      </rPr>
      <t xml:space="preserve">
</t>
    </r>
    <r>
      <rPr>
        <sz val="11"/>
        <color rgb="FF000000"/>
        <rFont val="Calibri"/>
      </rPr>
      <t>If there is not a restriction on an MAB authorization policy, this is a finding.</t>
    </r>
  </si>
  <si>
    <t>V-242603</t>
  </si>
  <si>
    <r>
      <rPr>
        <sz val="11"/>
        <rFont val="Calibri"/>
      </rPr>
      <t>Before establishing a connection with a Network Time Protocol (NTP) server, the Cisco ISE must authenticate using a bidirectional, cryptographically based authentication method that uses a FIPS-validated Advanced Encryption Standard (AES) cipher block algorithm to authenticate with the NTP server. This is required for compliance with C2C Step 1.</t>
    </r>
  </si>
  <si>
    <r>
      <rPr>
        <sz val="11"/>
        <color rgb="FF000000"/>
        <rFont val="Calibri"/>
      </rPr>
      <t xml:space="preserve">Configure the NTP server to be authenticated. </t>
    </r>
    <r>
      <rPr>
        <sz val="11"/>
        <color rgb="FF000000"/>
        <rFont val="Calibri"/>
      </rPr>
      <t xml:space="preserve">
</t>
    </r>
    <r>
      <rPr>
        <sz val="11"/>
        <color rgb="FF000000"/>
        <rFont val="Calibri"/>
      </rPr>
      <t>From the CLI:</t>
    </r>
    <r>
      <rPr>
        <sz val="11"/>
        <color rgb="FF000000"/>
        <rFont val="Calibri"/>
      </rPr>
      <t xml:space="preserve">
</t>
    </r>
    <r>
      <rPr>
        <sz val="11"/>
        <color rgb="FF000000"/>
        <rFont val="Calibri"/>
      </rPr>
      <t>1. Type "configure terminal".</t>
    </r>
    <r>
      <rPr>
        <sz val="11"/>
        <color rgb="FF000000"/>
        <rFont val="Calibri"/>
      </rPr>
      <t xml:space="preserve">
</t>
    </r>
    <r>
      <rPr>
        <sz val="11"/>
        <color rgb="FF000000"/>
        <rFont val="Calibri"/>
      </rPr>
      <t>2. Define an NTP authentication key "ntp authentication-key &lt;KEY Number&gt; md5 plain &lt;NTP KEY&gt;.</t>
    </r>
    <r>
      <rPr>
        <sz val="11"/>
        <color rgb="FF000000"/>
        <rFont val="Calibri"/>
      </rPr>
      <t xml:space="preserve">
</t>
    </r>
    <r>
      <rPr>
        <sz val="11"/>
        <color rgb="FF000000"/>
        <rFont val="Calibri"/>
      </rPr>
      <t>3. Define an NTP server and associate it with the configured NTP key "ntp server &lt;IP&gt; key &lt;KEY Number&gt;".</t>
    </r>
    <r>
      <rPr>
        <sz val="11"/>
        <color rgb="FF000000"/>
        <rFont val="Calibri"/>
      </rPr>
      <t xml:space="preserve">
</t>
    </r>
    <r>
      <rPr>
        <sz val="11"/>
        <color rgb="FF000000"/>
        <rFont val="Calibri"/>
      </rPr>
      <t>4. Type "exit" and press enter.</t>
    </r>
    <r>
      <rPr>
        <sz val="11"/>
        <color rgb="FF000000"/>
        <rFont val="Calibri"/>
      </rPr>
      <t xml:space="preserve">
</t>
    </r>
    <r>
      <rPr>
        <sz val="11"/>
        <color rgb="FF000000"/>
        <rFont val="Calibri"/>
      </rPr>
      <t>5. Type "write memory" and press "Enter".</t>
    </r>
    <r>
      <rPr>
        <sz val="11"/>
        <color rgb="FF000000"/>
        <rFont val="Calibri"/>
      </rPr>
      <t xml:space="preserve">
</t>
    </r>
    <r>
      <rPr>
        <sz val="11"/>
        <color rgb="FF000000"/>
        <rFont val="Calibri"/>
      </rPr>
      <t xml:space="preserve">If a domain controller is used for NTP, then a key cannot be used as Windows servers do not support NTP keys. </t>
    </r>
    <r>
      <rPr>
        <sz val="11"/>
        <color rgb="FF000000"/>
        <rFont val="Calibri"/>
      </rPr>
      <t xml:space="preserve">
</t>
    </r>
    <r>
      <rPr>
        <sz val="11"/>
        <color rgb="FF000000"/>
        <rFont val="Calibri"/>
      </rPr>
      <t>Note: Each ISE node must be individually checked as NTP settings are local to each appliance.</t>
    </r>
    <r>
      <rPr>
        <sz val="11"/>
        <color rgb="FF000000"/>
        <rFont val="Calibri"/>
      </rPr>
      <t xml:space="preserve">
</t>
    </r>
    <r>
      <rPr>
        <sz val="11"/>
        <color rgb="FF000000"/>
        <rFont val="Calibri"/>
      </rPr>
      <t>Note: There are NTP settings in the GUI; however, it is recommended to use the NTP setting solely in CLI to prevent issues.</t>
    </r>
  </si>
  <si>
    <r>
      <rPr>
        <sz val="11"/>
        <color rgb="FF000000"/>
        <rFont val="Calibri"/>
      </rPr>
      <t>If the NTP server is not authenticated, an attacker can introduce a rogue NTP server. This rogue server can then be used to send incorrect time information to network devices, which will make log timestamps inaccurate and affect scheduled actions. NTP authentication is used to prevent this tampering by authenticating the time source.</t>
    </r>
    <r>
      <rPr>
        <sz val="11"/>
        <color rgb="FF000000"/>
        <rFont val="Calibri"/>
      </rPr>
      <t xml:space="preserve">
</t>
    </r>
    <r>
      <rPr>
        <sz val="11"/>
        <color rgb="FF000000"/>
        <rFont val="Calibri"/>
      </rPr>
      <t>Currently, AES block cipher algorithm is approved for use in DoD for both applying cryptographic protection (e.g., encryption) and removing or verifying the protection that was previously applied (e.g., decryption). NTP devices use MD5 authentication keys. The MD5 algorithm is not specified in either the FIPS or NIST recommendation. However, MD5 is preferred to no authentication at all.</t>
    </r>
    <r>
      <rPr>
        <sz val="11"/>
        <color rgb="FF000000"/>
        <rFont val="Calibri"/>
      </rPr>
      <t xml:space="preserve">
</t>
    </r>
    <r>
      <rPr>
        <sz val="11"/>
        <color rgb="FF000000"/>
        <rFont val="Calibri"/>
      </rPr>
      <t>The trusted-key statement permits authenticating NTP servers. The product must be configured to support separate keys for each NTP server. Severs should have a PKI device certificate involved for use in the device authentication process.</t>
    </r>
  </si>
  <si>
    <r>
      <rPr>
        <sz val="11"/>
        <color rgb="FF000000"/>
        <rFont val="Calibri"/>
      </rPr>
      <t>If DoD is not at C2C Step 1 or higher, this is not a finding.</t>
    </r>
    <r>
      <rPr>
        <sz val="11"/>
        <color rgb="FF000000"/>
        <rFont val="Calibri"/>
      </rPr>
      <t xml:space="preserve">
</t>
    </r>
    <r>
      <rPr>
        <sz val="11"/>
        <color rgb="FF000000"/>
        <rFont val="Calibri"/>
      </rPr>
      <t xml:space="preserve">Verify NTP setting to ensure NTP will be authenticated. </t>
    </r>
    <r>
      <rPr>
        <sz val="11"/>
        <color rgb="FF000000"/>
        <rFont val="Calibri"/>
      </rPr>
      <t xml:space="preserve">
</t>
    </r>
    <r>
      <rPr>
        <sz val="11"/>
        <color rgb="FF000000"/>
        <rFont val="Calibri"/>
      </rPr>
      <t>From the CLI:</t>
    </r>
    <r>
      <rPr>
        <sz val="11"/>
        <color rgb="FF000000"/>
        <rFont val="Calibri"/>
      </rPr>
      <t xml:space="preserve">
</t>
    </r>
    <r>
      <rPr>
        <sz val="11"/>
        <color rgb="FF000000"/>
        <rFont val="Calibri"/>
      </rPr>
      <t>1. Type "show running-config | in ntp".</t>
    </r>
    <r>
      <rPr>
        <sz val="11"/>
        <color rgb="FF000000"/>
        <rFont val="Calibri"/>
      </rPr>
      <t xml:space="preserve">
</t>
    </r>
    <r>
      <rPr>
        <sz val="11"/>
        <color rgb="FF000000"/>
        <rFont val="Calibri"/>
      </rPr>
      <t>2. Verify that each defined NTP server has a key on the same line defining the server and make a note of the key number.</t>
    </r>
    <r>
      <rPr>
        <sz val="11"/>
        <color rgb="FF000000"/>
        <rFont val="Calibri"/>
      </rPr>
      <t xml:space="preserve">
</t>
    </r>
    <r>
      <rPr>
        <sz val="11"/>
        <color rgb="FF000000"/>
        <rFont val="Calibri"/>
      </rPr>
      <t>3. Verify that each NTP Key number used is created.</t>
    </r>
    <r>
      <rPr>
        <sz val="11"/>
        <color rgb="FF000000"/>
        <rFont val="Calibri"/>
      </rPr>
      <t xml:space="preserve">
</t>
    </r>
    <r>
      <rPr>
        <sz val="11"/>
        <color rgb="FF000000"/>
        <rFont val="Calibri"/>
      </rPr>
      <t xml:space="preserve">If there is an NTP source without an NTP key defined and it is a domain controller, this is not a finding as Windows server does not support NTP keys. </t>
    </r>
    <r>
      <rPr>
        <sz val="11"/>
        <color rgb="FF000000"/>
        <rFont val="Calibri"/>
      </rPr>
      <t xml:space="preserve">
</t>
    </r>
    <r>
      <rPr>
        <sz val="11"/>
        <color rgb="FF000000"/>
        <rFont val="Calibri"/>
      </rPr>
      <t xml:space="preserve">If there are any other NTP sources that do not use a defined key, this is a finding. </t>
    </r>
    <r>
      <rPr>
        <sz val="11"/>
        <color rgb="FF000000"/>
        <rFont val="Calibri"/>
      </rPr>
      <t xml:space="preserve">
</t>
    </r>
    <r>
      <rPr>
        <sz val="11"/>
        <color rgb="FF000000"/>
        <rFont val="Calibri"/>
      </rPr>
      <t>Note: Each ISE node must be individually checked as NTP settings are local to each appliance.</t>
    </r>
    <r>
      <rPr>
        <sz val="11"/>
        <color rgb="FF000000"/>
        <rFont val="Calibri"/>
      </rPr>
      <t xml:space="preserve">
</t>
    </r>
    <r>
      <rPr>
        <sz val="11"/>
        <color rgb="FF000000"/>
        <rFont val="Calibri"/>
      </rPr>
      <t>Note: There are NTP settings in the GUI; however, it is recommended to use the NTP setting solely in CLI to prevent issues.</t>
    </r>
  </si>
  <si>
    <t>V-242604</t>
  </si>
  <si>
    <r>
      <rPr>
        <sz val="11"/>
        <rFont val="Calibri"/>
      </rPr>
      <t>Before establishing a local, remote, and/or network connection with any endpoint device, the Cisco ISE must use a bidirectional authentication mechanism configured with a FIPS-validated Advanced Encryption Standard (AES) cipher block algorithm to authenticate with the endpoint device. This is required for compliance with C2C Step 1.</t>
    </r>
  </si>
  <si>
    <r>
      <rPr>
        <sz val="11"/>
        <color rgb="FF000000"/>
        <rFont val="Calibri"/>
      </rPr>
      <t>From the Web Admin portal:</t>
    </r>
    <r>
      <rPr>
        <sz val="11"/>
        <color rgb="FF000000"/>
        <rFont val="Calibri"/>
      </rPr>
      <t xml:space="preserve">
</t>
    </r>
    <r>
      <rPr>
        <sz val="11"/>
        <color rgb="FF000000"/>
        <rFont val="Calibri"/>
      </rPr>
      <t>1. Navigate to Administration &gt;&gt; System &gt;&gt; Settings &gt;&gt; Security Settings.</t>
    </r>
    <r>
      <rPr>
        <sz val="11"/>
        <color rgb="FF000000"/>
        <rFont val="Calibri"/>
      </rPr>
      <t xml:space="preserve">
</t>
    </r>
    <r>
      <rPr>
        <sz val="11"/>
        <color rgb="FF000000"/>
        <rFont val="Calibri"/>
      </rPr>
      <t>2. Ensure "Allow TLS1.0", "Allow TLS1.1", and "Allow legacy unsafe TLS renegotiation for ISE as a client" are unchecked.</t>
    </r>
  </si>
  <si>
    <r>
      <rPr>
        <sz val="11"/>
        <color rgb="FF000000"/>
        <rFont val="Calibri"/>
      </rPr>
      <t>Bidirectional authentication provides stronger safeguards to validate the identity of other devices for connections that are of greater risk. Currently, DoD requires the use of AES for bidirectional authentication since it is the only FIPS-validated AES cipher block algorithm.</t>
    </r>
    <r>
      <rPr>
        <sz val="11"/>
        <color rgb="FF000000"/>
        <rFont val="Calibri"/>
      </rPr>
      <t xml:space="preserve">
</t>
    </r>
    <r>
      <rPr>
        <sz val="11"/>
        <color rgb="FF000000"/>
        <rFont val="Calibri"/>
      </rPr>
      <t>Because of the challenges of applying this requirement on a large scale, organizations are encouraged to apply the requirement only to those limited number (and type) of devices that truly need to support this capability.</t>
    </r>
  </si>
  <si>
    <r>
      <rPr>
        <sz val="11"/>
        <color rgb="FF000000"/>
        <rFont val="Calibri"/>
      </rPr>
      <t>If DoD is not at C2C Step 1 or higher, this is not a finding.</t>
    </r>
    <r>
      <rPr>
        <sz val="11"/>
        <color rgb="FF000000"/>
        <rFont val="Calibri"/>
      </rPr>
      <t xml:space="preserve">
</t>
    </r>
    <r>
      <rPr>
        <sz val="11"/>
        <color rgb="FF000000"/>
        <rFont val="Calibri"/>
      </rPr>
      <t>From the Web Admin portal:</t>
    </r>
    <r>
      <rPr>
        <sz val="11"/>
        <color rgb="FF000000"/>
        <rFont val="Calibri"/>
      </rPr>
      <t xml:space="preserve">
</t>
    </r>
    <r>
      <rPr>
        <sz val="11"/>
        <color rgb="FF000000"/>
        <rFont val="Calibri"/>
      </rPr>
      <t>1. Navigate to Administration &gt;&gt; System &gt;&gt; Settings &gt;&gt; Security Settings.</t>
    </r>
    <r>
      <rPr>
        <sz val="11"/>
        <color rgb="FF000000"/>
        <rFont val="Calibri"/>
      </rPr>
      <t xml:space="preserve">
</t>
    </r>
    <r>
      <rPr>
        <sz val="11"/>
        <color rgb="FF000000"/>
        <rFont val="Calibri"/>
      </rPr>
      <t xml:space="preserve">2. Ensure "Allow TLS1.0", "Allow TLS1.1", and "Allow legacy unsafe TLS renegotiation for ISE as a client" are unchecked. </t>
    </r>
    <r>
      <rPr>
        <sz val="11"/>
        <color rgb="FF000000"/>
        <rFont val="Calibri"/>
      </rPr>
      <t xml:space="preserve">
</t>
    </r>
    <r>
      <rPr>
        <sz val="11"/>
        <color rgb="FF000000"/>
        <rFont val="Calibri"/>
      </rPr>
      <t>If TLS 1.0 or 1.1 is enabled, this is a finding.</t>
    </r>
  </si>
  <si>
    <t>V-242605</t>
  </si>
  <si>
    <r>
      <rPr>
        <sz val="11"/>
        <rFont val="Calibri"/>
      </rPr>
      <t>The Cisco ISE must enforce posture status assessment for posture required clients defined in the NAC System Security Plan (SSP). This is required for compliance with C2C Step 3.</t>
    </r>
  </si>
  <si>
    <r>
      <rPr>
        <sz val="11"/>
        <color rgb="FF000000"/>
        <rFont val="Calibri"/>
      </rPr>
      <t>If required by the NAC SSP, configure the authorization policy to enforce posture assessment status for posture required clients.</t>
    </r>
    <r>
      <rPr>
        <sz val="11"/>
        <color rgb="FF000000"/>
        <rFont val="Calibri"/>
      </rPr>
      <t xml:space="preserve">
</t>
    </r>
    <r>
      <rPr>
        <sz val="11"/>
        <color rgb="FF000000"/>
        <rFont val="Calibri"/>
      </rPr>
      <t>1. Edit the Policy Set to enforce the posture assessment.</t>
    </r>
    <r>
      <rPr>
        <sz val="11"/>
        <color rgb="FF000000"/>
        <rFont val="Calibri"/>
      </rPr>
      <t xml:space="preserve">
</t>
    </r>
    <r>
      <rPr>
        <sz val="11"/>
        <color rgb="FF000000"/>
        <rFont val="Calibri"/>
      </rPr>
      <t>2. Navigate to Work Centers &gt;&gt; Network Access &gt;&gt; Policy Sets.</t>
    </r>
    <r>
      <rPr>
        <sz val="11"/>
        <color rgb="FF000000"/>
        <rFont val="Calibri"/>
      </rPr>
      <t xml:space="preserve">
</t>
    </r>
    <r>
      <rPr>
        <sz val="11"/>
        <color rgb="FF000000"/>
        <rFont val="Calibri"/>
      </rPr>
      <t>3. Choose "&gt;" on the applicable policy set.</t>
    </r>
    <r>
      <rPr>
        <sz val="11"/>
        <color rgb="FF000000"/>
        <rFont val="Calibri"/>
      </rPr>
      <t xml:space="preserve">
</t>
    </r>
    <r>
      <rPr>
        <sz val="11"/>
        <color rgb="FF000000"/>
        <rFont val="Calibri"/>
      </rPr>
      <t>4. Expand the Authorization Policy.</t>
    </r>
    <r>
      <rPr>
        <sz val="11"/>
        <color rgb="FF000000"/>
        <rFont val="Calibri"/>
      </rPr>
      <t xml:space="preserve">
</t>
    </r>
    <r>
      <rPr>
        <sz val="11"/>
        <color rgb="FF000000"/>
        <rFont val="Calibri"/>
      </rPr>
      <t>5. Click on Actions Gear below to location where the new Authorization Policy will be inserted.</t>
    </r>
    <r>
      <rPr>
        <sz val="11"/>
        <color rgb="FF000000"/>
        <rFont val="Calibri"/>
      </rPr>
      <t xml:space="preserve">
</t>
    </r>
    <r>
      <rPr>
        <sz val="11"/>
        <color rgb="FF000000"/>
        <rFont val="Calibri"/>
      </rPr>
      <t>6. Choose "Insert new role above", or if there is an Authorization Policy made for the device type that posture will be applied to, choose "Duplicate above".</t>
    </r>
    <r>
      <rPr>
        <sz val="11"/>
        <color rgb="FF000000"/>
        <rFont val="Calibri"/>
      </rPr>
      <t xml:space="preserve">
</t>
    </r>
    <r>
      <rPr>
        <sz val="11"/>
        <color rgb="FF000000"/>
        <rFont val="Calibri"/>
      </rPr>
      <t>7. Click on the name of the policy and define a desirable name.</t>
    </r>
    <r>
      <rPr>
        <sz val="11"/>
        <color rgb="FF000000"/>
        <rFont val="Calibri"/>
      </rPr>
      <t xml:space="preserve">
</t>
    </r>
    <r>
      <rPr>
        <sz val="11"/>
        <color rgb="FF000000"/>
        <rFont val="Calibri"/>
      </rPr>
      <t>8 Either click on the "+" icon or click on the existing Conditions to open the Conditions Studio.</t>
    </r>
    <r>
      <rPr>
        <sz val="11"/>
        <color rgb="FF000000"/>
        <rFont val="Calibri"/>
      </rPr>
      <t xml:space="preserve">
</t>
    </r>
    <r>
      <rPr>
        <sz val="11"/>
        <color rgb="FF000000"/>
        <rFont val="Calibri"/>
      </rPr>
      <t>9. Choose "New" under the editor.</t>
    </r>
    <r>
      <rPr>
        <sz val="11"/>
        <color rgb="FF000000"/>
        <rFont val="Calibri"/>
      </rPr>
      <t xml:space="preserve">
</t>
    </r>
    <r>
      <rPr>
        <sz val="11"/>
        <color rgb="FF000000"/>
        <rFont val="Calibri"/>
      </rPr>
      <t>10. Choose "Click to add an attribute".</t>
    </r>
    <r>
      <rPr>
        <sz val="11"/>
        <color rgb="FF000000"/>
        <rFont val="Calibri"/>
      </rPr>
      <t xml:space="preserve">
</t>
    </r>
    <r>
      <rPr>
        <sz val="11"/>
        <color rgb="FF000000"/>
        <rFont val="Calibri"/>
      </rPr>
      <t>11. Under Dictionary, select "Session" in the drop-down menu.</t>
    </r>
    <r>
      <rPr>
        <sz val="11"/>
        <color rgb="FF000000"/>
        <rFont val="Calibri"/>
      </rPr>
      <t xml:space="preserve">
</t>
    </r>
    <r>
      <rPr>
        <sz val="11"/>
        <color rgb="FF000000"/>
        <rFont val="Calibri"/>
      </rPr>
      <t>12. Under Attribute, select "PostureStatus".</t>
    </r>
    <r>
      <rPr>
        <sz val="11"/>
        <color rgb="FF000000"/>
        <rFont val="Calibri"/>
      </rPr>
      <t xml:space="preserve">
</t>
    </r>
    <r>
      <rPr>
        <sz val="11"/>
        <color rgb="FF000000"/>
        <rFont val="Calibri"/>
      </rPr>
      <t xml:space="preserve">13. Ensure "Equals" is selected as the operator. </t>
    </r>
    <r>
      <rPr>
        <sz val="11"/>
        <color rgb="FF000000"/>
        <rFont val="Calibri"/>
      </rPr>
      <t xml:space="preserve">
</t>
    </r>
    <r>
      <rPr>
        <sz val="11"/>
        <color rgb="FF000000"/>
        <rFont val="Calibri"/>
      </rPr>
      <t>14. Select "Compliant" in the drop-down menu.</t>
    </r>
    <r>
      <rPr>
        <sz val="11"/>
        <color rgb="FF000000"/>
        <rFont val="Calibri"/>
      </rPr>
      <t xml:space="preserve">
</t>
    </r>
    <r>
      <rPr>
        <sz val="11"/>
        <color rgb="FF000000"/>
        <rFont val="Calibri"/>
      </rPr>
      <t>15. Choose "New".</t>
    </r>
    <r>
      <rPr>
        <sz val="11"/>
        <color rgb="FF000000"/>
        <rFont val="Calibri"/>
      </rPr>
      <t xml:space="preserve">
</t>
    </r>
    <r>
      <rPr>
        <sz val="11"/>
        <color rgb="FF000000"/>
        <rFont val="Calibri"/>
      </rPr>
      <t>16. Add a condition to flag the device type that should be postured.</t>
    </r>
    <r>
      <rPr>
        <sz val="11"/>
        <color rgb="FF000000"/>
        <rFont val="Calibri"/>
      </rPr>
      <t xml:space="preserve">
</t>
    </r>
    <r>
      <rPr>
        <sz val="11"/>
        <color rgb="FF000000"/>
        <rFont val="Calibri"/>
      </rPr>
      <t>17. Choose "Use".</t>
    </r>
    <r>
      <rPr>
        <sz val="11"/>
        <color rgb="FF000000"/>
        <rFont val="Calibri"/>
      </rPr>
      <t xml:space="preserve">
</t>
    </r>
    <r>
      <rPr>
        <sz val="11"/>
        <color rgb="FF000000"/>
        <rFont val="Calibri"/>
      </rPr>
      <t>18. Name the rule accordingly.</t>
    </r>
    <r>
      <rPr>
        <sz val="11"/>
        <color rgb="FF000000"/>
        <rFont val="Calibri"/>
      </rPr>
      <t xml:space="preserve">
</t>
    </r>
    <r>
      <rPr>
        <sz val="11"/>
        <color rgb="FF000000"/>
        <rFont val="Calibri"/>
      </rPr>
      <t>19. Select the desired result.</t>
    </r>
    <r>
      <rPr>
        <sz val="11"/>
        <color rgb="FF000000"/>
        <rFont val="Calibri"/>
      </rPr>
      <t xml:space="preserve">
</t>
    </r>
    <r>
      <rPr>
        <sz val="11"/>
        <color rgb="FF000000"/>
        <rFont val="Calibri"/>
      </rPr>
      <t>20. Click on Actions Gear on the Authorization Policy just created.</t>
    </r>
    <r>
      <rPr>
        <sz val="11"/>
        <color rgb="FF000000"/>
        <rFont val="Calibri"/>
      </rPr>
      <t xml:space="preserve">
</t>
    </r>
    <r>
      <rPr>
        <sz val="11"/>
        <color rgb="FF000000"/>
        <rFont val="Calibri"/>
      </rPr>
      <t>21. Select Duplicate below in the drop-down.</t>
    </r>
    <r>
      <rPr>
        <sz val="11"/>
        <color rgb="FF000000"/>
        <rFont val="Calibri"/>
      </rPr>
      <t xml:space="preserve">
</t>
    </r>
    <r>
      <rPr>
        <sz val="11"/>
        <color rgb="FF000000"/>
        <rFont val="Calibri"/>
      </rPr>
      <t>22. Click on the conditions of the copy.</t>
    </r>
    <r>
      <rPr>
        <sz val="11"/>
        <color rgb="FF000000"/>
        <rFont val="Calibri"/>
      </rPr>
      <t xml:space="preserve">
</t>
    </r>
    <r>
      <rPr>
        <sz val="11"/>
        <color rgb="FF000000"/>
        <rFont val="Calibri"/>
      </rPr>
      <t>23. Change the PostureStatus variable form "Compliant" to "NonCompliant".</t>
    </r>
    <r>
      <rPr>
        <sz val="11"/>
        <color rgb="FF000000"/>
        <rFont val="Calibri"/>
      </rPr>
      <t xml:space="preserve">
</t>
    </r>
    <r>
      <rPr>
        <sz val="11"/>
        <color rgb="FF000000"/>
        <rFont val="Calibri"/>
      </rPr>
      <t>24. Choose "Use".</t>
    </r>
    <r>
      <rPr>
        <sz val="11"/>
        <color rgb="FF000000"/>
        <rFont val="Calibri"/>
      </rPr>
      <t xml:space="preserve">
</t>
    </r>
    <r>
      <rPr>
        <sz val="11"/>
        <color rgb="FF000000"/>
        <rFont val="Calibri"/>
      </rPr>
      <t>25. Name the rule accordingly.</t>
    </r>
    <r>
      <rPr>
        <sz val="11"/>
        <color rgb="FF000000"/>
        <rFont val="Calibri"/>
      </rPr>
      <t xml:space="preserve">
</t>
    </r>
    <r>
      <rPr>
        <sz val="11"/>
        <color rgb="FF000000"/>
        <rFont val="Calibri"/>
      </rPr>
      <t>26. Select a result that is used for remediation access, which should be a result that is configured for a restricted VLAN, ACL, SGT, or any combination used to restrict the access.</t>
    </r>
    <r>
      <rPr>
        <sz val="11"/>
        <color rgb="FF000000"/>
        <rFont val="Calibri"/>
      </rPr>
      <t xml:space="preserve">
</t>
    </r>
    <r>
      <rPr>
        <sz val="11"/>
        <color rgb="FF000000"/>
        <rFont val="Calibri"/>
      </rPr>
      <t>27. Choose "Save".</t>
    </r>
  </si>
  <si>
    <r>
      <rPr>
        <sz val="11"/>
        <color rgb="FF000000"/>
        <rFont val="Calibri"/>
      </rPr>
      <t>Posture assessments can reduce the risk that clients impose on networks by restricting or preventing access of noncompliant clients. If the posture assessment is not enforced, then access of clients not complying is not restricted allowing the risk of vulnerabilities being exposed.</t>
    </r>
    <r>
      <rPr>
        <sz val="11"/>
        <color rgb="FF000000"/>
        <rFont val="Calibri"/>
      </rPr>
      <t xml:space="preserve">
</t>
    </r>
    <r>
      <rPr>
        <sz val="11"/>
        <color rgb="FF000000"/>
        <rFont val="Calibri"/>
      </rPr>
      <t>Though the configuration is out of scope, one of the ways to allow posturing with Cisco AnyConnect Secure Mobility Client is to enable http redirect on the network switch so that AnyConnect can connect to ISE's Client Provisioning Portal (call home). Every effort must be taken to configure this function without the need to require the command 'ip http server' on the switch (see V-220534 in the Network Infrastructure STIG). If deemed operationally necessary, the site must obtain AO approval and document the variation from V-220534, risk mitigations, and the mission need that makes the service necessary. If the service is operationally necessary to meet C2C compliance for posture assessment and a vendor-provided alternative is not available, then it is, by definition, a necessary service. Thus, V-220534 is not a finding as it states that "If a particular capability is used, then it must be documented and approved."</t>
    </r>
  </si>
  <si>
    <r>
      <rPr>
        <sz val="11"/>
        <color rgb="FF000000"/>
        <rFont val="Calibri"/>
      </rPr>
      <t>If DOD is not at C2C Step 3 or higher, this is not a finding.</t>
    </r>
    <r>
      <rPr>
        <sz val="11"/>
        <color rgb="FF000000"/>
        <rFont val="Calibri"/>
      </rPr>
      <t xml:space="preserve">
</t>
    </r>
    <r>
      <rPr>
        <sz val="11"/>
        <color rgb="FF000000"/>
        <rFont val="Calibri"/>
      </rPr>
      <t>If not required by the NAC SSP, this is not a finding.</t>
    </r>
    <r>
      <rPr>
        <sz val="11"/>
        <color rgb="FF000000"/>
        <rFont val="Calibri"/>
      </rPr>
      <t xml:space="preserve">
</t>
    </r>
    <r>
      <rPr>
        <sz val="11"/>
        <color rgb="FF000000"/>
        <rFont val="Calibri"/>
      </rPr>
      <t>Verify the authorization policy will enforce posture assessment status for posture required clients.</t>
    </r>
    <r>
      <rPr>
        <sz val="11"/>
        <color rgb="FF000000"/>
        <rFont val="Calibri"/>
      </rPr>
      <t xml:space="preserve">
</t>
    </r>
    <r>
      <rPr>
        <sz val="11"/>
        <color rgb="FF000000"/>
        <rFont val="Calibri"/>
      </rPr>
      <t>1. Navigate to Work Centers &gt;&gt; Network Access &gt;&gt; Policy Sets.</t>
    </r>
    <r>
      <rPr>
        <sz val="11"/>
        <color rgb="FF000000"/>
        <rFont val="Calibri"/>
      </rPr>
      <t xml:space="preserve">
</t>
    </r>
    <r>
      <rPr>
        <sz val="11"/>
        <color rgb="FF000000"/>
        <rFont val="Calibri"/>
      </rPr>
      <t>2. Choose "&gt;" on the applicable policy set.</t>
    </r>
    <r>
      <rPr>
        <sz val="11"/>
        <color rgb="FF000000"/>
        <rFont val="Calibri"/>
      </rPr>
      <t xml:space="preserve">
</t>
    </r>
    <r>
      <rPr>
        <sz val="11"/>
        <color rgb="FF000000"/>
        <rFont val="Calibri"/>
      </rPr>
      <t>3. Expand the Authorization Policy.</t>
    </r>
    <r>
      <rPr>
        <sz val="11"/>
        <color rgb="FF000000"/>
        <rFont val="Calibri"/>
      </rPr>
      <t xml:space="preserve">
</t>
    </r>
    <r>
      <rPr>
        <sz val="11"/>
        <color rgb="FF000000"/>
        <rFont val="Calibri"/>
      </rPr>
      <t>4. Verify that a rule with the condition "Session-PostureStatus EQUALS NonCompliant" is present and will apply to posture required devices by analyzing other conditions used on the same policy.</t>
    </r>
    <r>
      <rPr>
        <sz val="11"/>
        <color rgb="FF000000"/>
        <rFont val="Calibri"/>
      </rPr>
      <t xml:space="preserve">
</t>
    </r>
    <r>
      <rPr>
        <sz val="11"/>
        <color rgb="FF000000"/>
        <rFont val="Calibri"/>
      </rPr>
      <t>5. Ensure the result that is used for remediation access is a restricted VLAN, ACL, SGT, or any combination used to restrict the access.</t>
    </r>
    <r>
      <rPr>
        <sz val="11"/>
        <color rgb="FF000000"/>
        <rFont val="Calibri"/>
      </rPr>
      <t xml:space="preserve">
</t>
    </r>
    <r>
      <rPr>
        <sz val="11"/>
        <color rgb="FF000000"/>
        <rFont val="Calibri"/>
      </rPr>
      <t xml:space="preserve">If there is not an authorization policy for NonCompliant clients that are posture required, this is a finding. </t>
    </r>
    <r>
      <rPr>
        <sz val="11"/>
        <color rgb="FF000000"/>
        <rFont val="Calibri"/>
      </rPr>
      <t xml:space="preserve">
</t>
    </r>
    <r>
      <rPr>
        <sz val="11"/>
        <color rgb="FF000000"/>
        <rFont val="Calibri"/>
      </rPr>
      <t>If the authorization policy does not restrict the access of NonCompliant clients that are posture required, this is a finding.</t>
    </r>
  </si>
  <si>
    <t>V-242606</t>
  </si>
  <si>
    <r>
      <rPr>
        <sz val="11"/>
        <rFont val="Calibri"/>
      </rPr>
      <t>The Cisco ISE must have a posture policy for posture required clients defined in the NAC System Security Plan (SSP). This is required for compliance with C2C Step 2.</t>
    </r>
  </si>
  <si>
    <r>
      <rPr>
        <sz val="11"/>
        <color rgb="FF000000"/>
        <rFont val="Calibri"/>
      </rPr>
      <t>If required by the NAC SSP, configure the posture policy for posture required clients.</t>
    </r>
    <r>
      <rPr>
        <sz val="11"/>
        <color rgb="FF000000"/>
        <rFont val="Calibri"/>
      </rPr>
      <t xml:space="preserve">
</t>
    </r>
    <r>
      <rPr>
        <sz val="11"/>
        <color rgb="FF000000"/>
        <rFont val="Calibri"/>
      </rPr>
      <t>1. Navigate to Work Centers &gt;&gt; Posture &gt;&gt; Posture Policy.</t>
    </r>
    <r>
      <rPr>
        <sz val="11"/>
        <color rgb="FF000000"/>
        <rFont val="Calibri"/>
      </rPr>
      <t xml:space="preserve">
</t>
    </r>
    <r>
      <rPr>
        <sz val="11"/>
        <color rgb="FF000000"/>
        <rFont val="Calibri"/>
      </rPr>
      <t>2. Choose the drop-down located next to "Edit" on the right side of the page where you want the new policy inserted.</t>
    </r>
    <r>
      <rPr>
        <sz val="11"/>
        <color rgb="FF000000"/>
        <rFont val="Calibri"/>
      </rPr>
      <t xml:space="preserve">
</t>
    </r>
    <r>
      <rPr>
        <sz val="11"/>
        <color rgb="FF000000"/>
        <rFont val="Calibri"/>
      </rPr>
      <t>3. Choose "Insert new policy".</t>
    </r>
    <r>
      <rPr>
        <sz val="11"/>
        <color rgb="FF000000"/>
        <rFont val="Calibri"/>
      </rPr>
      <t xml:space="preserve">
</t>
    </r>
    <r>
      <rPr>
        <sz val="11"/>
        <color rgb="FF000000"/>
        <rFont val="Calibri"/>
      </rPr>
      <t>4. Define a Name.</t>
    </r>
    <r>
      <rPr>
        <sz val="11"/>
        <color rgb="FF000000"/>
        <rFont val="Calibri"/>
      </rPr>
      <t xml:space="preserve">
</t>
    </r>
    <r>
      <rPr>
        <sz val="11"/>
        <color rgb="FF000000"/>
        <rFont val="Calibri"/>
      </rPr>
      <t xml:space="preserve">5. Select the applicable Identity Groups. </t>
    </r>
    <r>
      <rPr>
        <sz val="11"/>
        <color rgb="FF000000"/>
        <rFont val="Calibri"/>
      </rPr>
      <t xml:space="preserve">
</t>
    </r>
    <r>
      <rPr>
        <sz val="11"/>
        <color rgb="FF000000"/>
        <rFont val="Calibri"/>
      </rPr>
      <t>6. Select the applicable Operating Systems configured in the requirement previously created.</t>
    </r>
    <r>
      <rPr>
        <sz val="11"/>
        <color rgb="FF000000"/>
        <rFont val="Calibri"/>
      </rPr>
      <t xml:space="preserve">
</t>
    </r>
    <r>
      <rPr>
        <sz val="11"/>
        <color rgb="FF000000"/>
        <rFont val="Calibri"/>
      </rPr>
      <t>7. Select the Compliance Module configured in the requirement previously created.</t>
    </r>
    <r>
      <rPr>
        <sz val="11"/>
        <color rgb="FF000000"/>
        <rFont val="Calibri"/>
      </rPr>
      <t xml:space="preserve">
</t>
    </r>
    <r>
      <rPr>
        <sz val="11"/>
        <color rgb="FF000000"/>
        <rFont val="Calibri"/>
      </rPr>
      <t>8. Select the Posture Type configured in the requirement previously created.</t>
    </r>
    <r>
      <rPr>
        <sz val="11"/>
        <color rgb="FF000000"/>
        <rFont val="Calibri"/>
      </rPr>
      <t xml:space="preserve">
</t>
    </r>
    <r>
      <rPr>
        <sz val="11"/>
        <color rgb="FF000000"/>
        <rFont val="Calibri"/>
      </rPr>
      <t>9. Select Other Conditions if used.</t>
    </r>
    <r>
      <rPr>
        <sz val="11"/>
        <color rgb="FF000000"/>
        <rFont val="Calibri"/>
      </rPr>
      <t xml:space="preserve">
</t>
    </r>
    <r>
      <rPr>
        <sz val="11"/>
        <color rgb="FF000000"/>
        <rFont val="Calibri"/>
      </rPr>
      <t>10. Select the applicable Requirement or Requirements, ensuring there is a green check box to the left of the name indicating it is a mandatory requirement.</t>
    </r>
    <r>
      <rPr>
        <sz val="11"/>
        <color rgb="FF000000"/>
        <rFont val="Calibri"/>
      </rPr>
      <t xml:space="preserve">
</t>
    </r>
    <r>
      <rPr>
        <sz val="11"/>
        <color rgb="FF000000"/>
        <rFont val="Calibri"/>
      </rPr>
      <t>11. Choose "Done".</t>
    </r>
    <r>
      <rPr>
        <sz val="11"/>
        <color rgb="FF000000"/>
        <rFont val="Calibri"/>
      </rPr>
      <t xml:space="preserve">
</t>
    </r>
    <r>
      <rPr>
        <sz val="11"/>
        <color rgb="FF000000"/>
        <rFont val="Calibri"/>
      </rPr>
      <t>12. Choose "Save".</t>
    </r>
    <r>
      <rPr>
        <sz val="11"/>
        <color rgb="FF000000"/>
        <rFont val="Calibri"/>
      </rPr>
      <t xml:space="preserve">
</t>
    </r>
    <r>
      <rPr>
        <sz val="11"/>
        <color rgb="FF000000"/>
        <rFont val="Calibri"/>
      </rPr>
      <t>Note: The user can apply multiple requirements to a single policy, or have multiple policies with a single policy with a single requirement as the posture policy operates in a "match-all" fashion.</t>
    </r>
  </si>
  <si>
    <r>
      <rPr>
        <sz val="11"/>
        <color rgb="FF000000"/>
        <rFont val="Calibri"/>
      </rPr>
      <t>Posture assessments can reduce the risk that clients impose on networks. The posture policy is the function that can link requirements to applicable clients. Multiple requirements can be associated with a single policy. However, multiple polices can also be applicable to the same client. The posture policy operates in such a way that all applicable policies are applied, versus the top-down first match approach.</t>
    </r>
  </si>
  <si>
    <r>
      <rPr>
        <sz val="11"/>
        <color rgb="FF000000"/>
        <rFont val="Calibri"/>
      </rPr>
      <t>If DOD is not at C2C Step 2 or higher, this is not a finding.</t>
    </r>
    <r>
      <rPr>
        <sz val="11"/>
        <color rgb="FF000000"/>
        <rFont val="Calibri"/>
      </rPr>
      <t xml:space="preserve">
</t>
    </r>
    <r>
      <rPr>
        <sz val="11"/>
        <color rgb="FF000000"/>
        <rFont val="Calibri"/>
      </rPr>
      <t>If not required by the NAC SSP, this is not a finding.</t>
    </r>
    <r>
      <rPr>
        <sz val="11"/>
        <color rgb="FF000000"/>
        <rFont val="Calibri"/>
      </rPr>
      <t xml:space="preserve">
</t>
    </r>
    <r>
      <rPr>
        <sz val="11"/>
        <color rgb="FF000000"/>
        <rFont val="Calibri"/>
      </rPr>
      <t>Verify the posture policy for posture required clients.</t>
    </r>
    <r>
      <rPr>
        <sz val="11"/>
        <color rgb="FF000000"/>
        <rFont val="Calibri"/>
      </rPr>
      <t xml:space="preserve">
</t>
    </r>
    <r>
      <rPr>
        <sz val="11"/>
        <color rgb="FF000000"/>
        <rFont val="Calibri"/>
      </rPr>
      <t>1. Navigate to Work Centers &gt;&gt; Posture &gt;&gt; Posture Policy.</t>
    </r>
    <r>
      <rPr>
        <sz val="11"/>
        <color rgb="FF000000"/>
        <rFont val="Calibri"/>
      </rPr>
      <t xml:space="preserve">
</t>
    </r>
    <r>
      <rPr>
        <sz val="11"/>
        <color rgb="FF000000"/>
        <rFont val="Calibri"/>
      </rPr>
      <t>2. Review the enabled posture policies to ensure posture required endpoints will process requirements.</t>
    </r>
    <r>
      <rPr>
        <sz val="11"/>
        <color rgb="FF000000"/>
        <rFont val="Calibri"/>
      </rPr>
      <t xml:space="preserve">
</t>
    </r>
    <r>
      <rPr>
        <sz val="11"/>
        <color rgb="FF000000"/>
        <rFont val="Calibri"/>
      </rPr>
      <t>If there is not an enabled policy that will be applied to posture required endpoints, this is a finding.</t>
    </r>
  </si>
  <si>
    <t>V-242607</t>
  </si>
  <si>
    <r>
      <rPr>
        <sz val="11"/>
        <rFont val="Calibri"/>
      </rPr>
      <t>The Cisco ISE must limit the number of CLI and GUI sessions to an organization-defined number.</t>
    </r>
  </si>
  <si>
    <t>NDM</t>
  </si>
  <si>
    <r>
      <rPr>
        <sz val="11"/>
        <color rgb="FF000000"/>
        <rFont val="Calibri"/>
      </rPr>
      <t xml:space="preserve">Configure the concurrent sessions for the CLI and GUI. </t>
    </r>
    <r>
      <rPr>
        <sz val="11"/>
        <color rgb="FF000000"/>
        <rFont val="Calibri"/>
      </rPr>
      <t xml:space="preserve">
</t>
    </r>
    <r>
      <rPr>
        <sz val="11"/>
        <color rgb="FF000000"/>
        <rFont val="Calibri"/>
      </rPr>
      <t>From web admin portal:</t>
    </r>
    <r>
      <rPr>
        <sz val="11"/>
        <color rgb="FF000000"/>
        <rFont val="Calibri"/>
      </rPr>
      <t xml:space="preserve">
</t>
    </r>
    <r>
      <rPr>
        <sz val="11"/>
        <color rgb="FF000000"/>
        <rFont val="Calibri"/>
      </rPr>
      <t>1. Choose Administration &gt;&gt; System &gt;&gt;Admin Access &gt;&gt; Settings &gt;&gt; Access.</t>
    </r>
    <r>
      <rPr>
        <sz val="11"/>
        <color rgb="FF000000"/>
        <rFont val="Calibri"/>
      </rPr>
      <t xml:space="preserve">
</t>
    </r>
    <r>
      <rPr>
        <sz val="11"/>
        <color rgb="FF000000"/>
        <rFont val="Calibri"/>
      </rPr>
      <t>2. Configure the "Maximum Concurrent Sessions" under "GUI" to be the organization-defined number.</t>
    </r>
    <r>
      <rPr>
        <sz val="11"/>
        <color rgb="FF000000"/>
        <rFont val="Calibri"/>
      </rPr>
      <t xml:space="preserve">
</t>
    </r>
    <r>
      <rPr>
        <sz val="11"/>
        <color rgb="FF000000"/>
        <rFont val="Calibri"/>
      </rPr>
      <t>3. Configure the "Maximum Concurrent Sessions" under "CLI" to be one.</t>
    </r>
  </si>
  <si>
    <r>
      <rPr>
        <sz val="11"/>
        <color rgb="FF000000"/>
        <rFont val="Calibri"/>
      </rPr>
      <t>Device management includes the ability to control the number of management sessions that manage a device. Limiting the number of allowed sessions is helpful in limiting risks related to DoS attacks.</t>
    </r>
    <r>
      <rPr>
        <sz val="11"/>
        <color rgb="FF000000"/>
        <rFont val="Calibri"/>
      </rPr>
      <t xml:space="preserve">
</t>
    </r>
    <r>
      <rPr>
        <sz val="11"/>
        <color rgb="FF000000"/>
        <rFont val="Calibri"/>
      </rPr>
      <t>This requirement addresses concurrent sessions for administrative access. The maximum number of concurrent sessions should be defined based upon mission needs and the operational environment for each system. At a minimum, limits must be set for SSH and HTTPS sessions.</t>
    </r>
  </si>
  <si>
    <r>
      <rPr>
        <sz val="11"/>
        <color rgb="FF000000"/>
        <rFont val="Calibri"/>
      </rPr>
      <t>From the web Admin portal:</t>
    </r>
    <r>
      <rPr>
        <sz val="11"/>
        <color rgb="FF000000"/>
        <rFont val="Calibri"/>
      </rPr>
      <t xml:space="preserve">
</t>
    </r>
    <r>
      <rPr>
        <sz val="11"/>
        <color rgb="FF000000"/>
        <rFont val="Calibri"/>
      </rPr>
      <t>1. Choose Administration &gt;&gt; System &gt;&gt;Admin Access &gt;&gt; Settings &gt;&gt; Access.</t>
    </r>
    <r>
      <rPr>
        <sz val="11"/>
        <color rgb="FF000000"/>
        <rFont val="Calibri"/>
      </rPr>
      <t xml:space="preserve">
</t>
    </r>
    <r>
      <rPr>
        <sz val="11"/>
        <color rgb="FF000000"/>
        <rFont val="Calibri"/>
      </rPr>
      <t>2. Verify the "Maximum Concurrent Sessions" under "GUI" Sessions is set to the organization-defined number.</t>
    </r>
    <r>
      <rPr>
        <sz val="11"/>
        <color rgb="FF000000"/>
        <rFont val="Calibri"/>
      </rPr>
      <t xml:space="preserve">
</t>
    </r>
    <r>
      <rPr>
        <sz val="11"/>
        <color rgb="FF000000"/>
        <rFont val="Calibri"/>
      </rPr>
      <t>3. Verify the "Maximum Concurrent Sessions" under "CLI" Sessions is set to one (recommended) or an organization-defined number. It is highly recommended the number be minimized to one or two, but this can be based on operational needs.</t>
    </r>
    <r>
      <rPr>
        <sz val="11"/>
        <color rgb="FF000000"/>
        <rFont val="Calibri"/>
      </rPr>
      <t xml:space="preserve">
</t>
    </r>
    <r>
      <rPr>
        <sz val="11"/>
        <color rgb="FF000000"/>
        <rFont val="Calibri"/>
      </rPr>
      <t>If the CLI and GUI are not set to limit the maximum number of sessions, this is a finding.</t>
    </r>
  </si>
  <si>
    <t>V-242608</t>
  </si>
  <si>
    <r>
      <rPr>
        <sz val="11"/>
        <rFont val="Calibri"/>
      </rPr>
      <t>The Cisco ISE must change the password for the local CLI and web-based account when members who have access to the password leave the role and are no longer authorized access.</t>
    </r>
  </si>
  <si>
    <r>
      <rPr>
        <sz val="11"/>
        <color rgb="FF000000"/>
        <rFont val="Calibri"/>
      </rPr>
      <t xml:space="preserve">Generate Automatic Password for Users and Administrators (or generate using other encryption method). </t>
    </r>
    <r>
      <rPr>
        <sz val="11"/>
        <color rgb="FF000000"/>
        <rFont val="Calibri"/>
      </rPr>
      <t xml:space="preserve">
</t>
    </r>
    <r>
      <rPr>
        <sz val="11"/>
        <color rgb="FF000000"/>
        <rFont val="Calibri"/>
      </rPr>
      <t>Navigate to Administrators—Administration &gt;&gt; System &gt;&gt; Admin Access &gt;&gt; Administrators &gt;&gt; Admin Users.</t>
    </r>
    <r>
      <rPr>
        <sz val="11"/>
        <color rgb="FF000000"/>
        <rFont val="Calibri"/>
      </rPr>
      <t xml:space="preserve">
</t>
    </r>
    <r>
      <rPr>
        <sz val="11"/>
        <color rgb="FF000000"/>
        <rFont val="Calibri"/>
      </rPr>
      <t>Select the CLI and the web Admin users and select the option to generate the password.</t>
    </r>
    <r>
      <rPr>
        <sz val="11"/>
        <color rgb="FF000000"/>
        <rFont val="Calibri"/>
      </rPr>
      <t xml:space="preserve">
</t>
    </r>
    <r>
      <rPr>
        <sz val="11"/>
        <color rgb="FF000000"/>
        <rFont val="Calibri"/>
      </rPr>
      <t>Document the generated password and secure it for emergency use as an Account of Last Resort. Do not share with other Admins unless necessary.</t>
    </r>
  </si>
  <si>
    <r>
      <rPr>
        <sz val="11"/>
        <color rgb="FF000000"/>
        <rFont val="Calibri"/>
      </rPr>
      <t>If shared/group account credentials are not terminated when individuals leave the group, the user that left the group can still gain access even though they are no longer authorized. There may also be instances when specific user actions need to be performed on the network device without unique administrator identification or authentication.</t>
    </r>
    <r>
      <rPr>
        <sz val="11"/>
        <color rgb="FF000000"/>
        <rFont val="Calibri"/>
      </rPr>
      <t xml:space="preserve">
</t>
    </r>
    <r>
      <rPr>
        <sz val="11"/>
        <color rgb="FF000000"/>
        <rFont val="Calibri"/>
      </rPr>
      <t xml:space="preserve">A shared/group account credential is a shared form of authentication that allows multiple individuals to access the network device using a single account. </t>
    </r>
    <r>
      <rPr>
        <sz val="11"/>
        <color rgb="FF000000"/>
        <rFont val="Calibri"/>
      </rPr>
      <t xml:space="preserve">
</t>
    </r>
    <r>
      <rPr>
        <sz val="11"/>
        <color rgb="FF000000"/>
        <rFont val="Calibri"/>
      </rPr>
      <t>Cisco ISE introduces a Generate Password option on the user and administrator creation page to generate instant password adhering to Cisco ISE password policies. This helps the users or administrators to use the password generated by Cisco ISE than spending time in thinking of a safe password to be configured.</t>
    </r>
  </si>
  <si>
    <r>
      <rPr>
        <sz val="11"/>
        <color rgb="FF000000"/>
        <rFont val="Calibri"/>
      </rPr>
      <t>Verify by viewing site SSP to view that there is a procedure that requires password change with administrators leave the group.</t>
    </r>
    <r>
      <rPr>
        <sz val="11"/>
        <color rgb="FF000000"/>
        <rFont val="Calibri"/>
      </rPr>
      <t xml:space="preserve">
</t>
    </r>
    <r>
      <rPr>
        <sz val="11"/>
        <color rgb="FF000000"/>
        <rFont val="Calibri"/>
      </rPr>
      <t>If Cisco ISE does not change the password for the local CLI and web-based account when members who have access to the password leave the role and are no longer authorized access, this is a finding.</t>
    </r>
  </si>
  <si>
    <t>V-242609</t>
  </si>
  <si>
    <r>
      <rPr>
        <sz val="11"/>
        <rFont val="Calibri"/>
      </rPr>
      <t>For the local web-based account of last resort, the Cisco ISE must automatically audit account creation.</t>
    </r>
  </si>
  <si>
    <r>
      <rPr>
        <sz val="11"/>
        <color rgb="FF000000"/>
        <rFont val="Calibri"/>
      </rPr>
      <t>Enable logging categories for Cisco ISE to send auditable events to the syslog target.</t>
    </r>
    <r>
      <rPr>
        <sz val="11"/>
        <color rgb="FF000000"/>
        <rFont val="Calibri"/>
      </rPr>
      <t xml:space="preserve">
</t>
    </r>
    <r>
      <rPr>
        <sz val="11"/>
        <color rgb="FF000000"/>
        <rFont val="Calibri"/>
      </rPr>
      <t>From the Web Admin portal:</t>
    </r>
    <r>
      <rPr>
        <sz val="11"/>
        <color rgb="FF000000"/>
        <rFont val="Calibri"/>
      </rPr>
      <t xml:space="preserve">
</t>
    </r>
    <r>
      <rPr>
        <sz val="11"/>
        <color rgb="FF000000"/>
        <rFont val="Calibri"/>
      </rPr>
      <t>1. Choose Administration &gt;&gt; System &gt;&gt; Logging &gt;&gt; Logging Categories.</t>
    </r>
    <r>
      <rPr>
        <sz val="11"/>
        <color rgb="FF000000"/>
        <rFont val="Calibri"/>
      </rPr>
      <t xml:space="preserve">
</t>
    </r>
    <r>
      <rPr>
        <sz val="11"/>
        <color rgb="FF000000"/>
        <rFont val="Calibri"/>
      </rPr>
      <t>2. Click the radio button next to the Administrative and Operational Audit logging category and then click "Edit".</t>
    </r>
    <r>
      <rPr>
        <sz val="11"/>
        <color rgb="FF000000"/>
        <rFont val="Calibri"/>
      </rPr>
      <t xml:space="preserve">
</t>
    </r>
    <r>
      <rPr>
        <sz val="11"/>
        <color rgb="FF000000"/>
        <rFont val="Calibri"/>
      </rPr>
      <t>3. Choose INFO from the Log Severity Level drop-down list.</t>
    </r>
    <r>
      <rPr>
        <sz val="11"/>
        <color rgb="FF000000"/>
        <rFont val="Calibri"/>
      </rPr>
      <t xml:space="preserve">
</t>
    </r>
    <r>
      <rPr>
        <sz val="11"/>
        <color rgb="FF000000"/>
        <rFont val="Calibri"/>
      </rPr>
      <t>4. In the Targets field, move the syslog target name that is being used to the Selected box.</t>
    </r>
    <r>
      <rPr>
        <sz val="11"/>
        <color rgb="FF000000"/>
        <rFont val="Calibri"/>
      </rPr>
      <t xml:space="preserve">
</t>
    </r>
    <r>
      <rPr>
        <sz val="11"/>
        <color rgb="FF000000"/>
        <rFont val="Calibri"/>
      </rPr>
      <t>5. Click "Save".</t>
    </r>
  </si>
  <si>
    <r>
      <rPr>
        <sz val="11"/>
        <color rgb="FF000000"/>
        <rFont val="Calibri"/>
      </rPr>
      <t>Upon gaining access to a network device, an attacker will often first attempt to create a persistent method of reestablishing access. One way to accomplish this is to create a new account. Notification of account creation helps to mitigate this risk. Auditing account creation provides the necessary reconciliation that account management procedures are being followed. Without this audit trail, personnel without the proper authorization may gain access to critical network nodes.</t>
    </r>
  </si>
  <si>
    <r>
      <rPr>
        <sz val="11"/>
        <color rgb="FF000000"/>
        <rFont val="Calibri"/>
      </rPr>
      <t>Verify logging categories for Administrative and Operational Audit has been configured to send auditable events to the syslog target.</t>
    </r>
    <r>
      <rPr>
        <sz val="11"/>
        <color rgb="FF000000"/>
        <rFont val="Calibri"/>
      </rPr>
      <t xml:space="preserve">
</t>
    </r>
    <r>
      <rPr>
        <sz val="11"/>
        <color rgb="FF000000"/>
        <rFont val="Calibri"/>
      </rPr>
      <t>From the Web Admin portal:</t>
    </r>
    <r>
      <rPr>
        <sz val="11"/>
        <color rgb="FF000000"/>
        <rFont val="Calibri"/>
      </rPr>
      <t xml:space="preserve">
</t>
    </r>
    <r>
      <rPr>
        <sz val="11"/>
        <color rgb="FF000000"/>
        <rFont val="Calibri"/>
      </rPr>
      <t>1. Choose Administration &gt;&gt; System &gt;&gt; Logging &gt;&gt; Logging Categories.</t>
    </r>
    <r>
      <rPr>
        <sz val="11"/>
        <color rgb="FF000000"/>
        <rFont val="Calibri"/>
      </rPr>
      <t xml:space="preserve">
</t>
    </r>
    <r>
      <rPr>
        <sz val="11"/>
        <color rgb="FF000000"/>
        <rFont val="Calibri"/>
      </rPr>
      <t>2. Verify the Administrative and Operational Audit has been set to INFO and the Targets field has been set to the syslog target.</t>
    </r>
    <r>
      <rPr>
        <sz val="11"/>
        <color rgb="FF000000"/>
        <rFont val="Calibri"/>
      </rPr>
      <t xml:space="preserve">
</t>
    </r>
    <r>
      <rPr>
        <sz val="11"/>
        <color rgb="FF000000"/>
        <rFont val="Calibri"/>
      </rPr>
      <t>If the Administrative and Operational Audit logging category is not configured for INFO severity level and send to the central syslog server, this is a finding.</t>
    </r>
  </si>
  <si>
    <t>V-242610</t>
  </si>
  <si>
    <r>
      <rPr>
        <sz val="11"/>
        <rFont val="Calibri"/>
      </rPr>
      <t>For the local web-based account of last resort and the default local CLI account, the Cisco ISE must automatically audit account modification.</t>
    </r>
  </si>
  <si>
    <r>
      <rPr>
        <sz val="11"/>
        <color rgb="FF000000"/>
        <rFont val="Calibri"/>
      </rPr>
      <t>Since the accounts in the network device are privileged or system-level accounts, account management is vital to the security of the network device. Account management by a designated authority ensures access to the network device is being controlled in a secure manner by granting access to only authorized personnel with the appropriate and necessary privileges. Auditing account modification along with an automatic notification to appropriate individuals will provide the necessary reconciliation that account management procedures are being followed. If modifications to management accounts are not audited, reconciliation of account management procedures cannot be tracked.</t>
    </r>
  </si>
  <si>
    <t>V-242611</t>
  </si>
  <si>
    <r>
      <rPr>
        <sz val="11"/>
        <rFont val="Calibri"/>
      </rPr>
      <t>For the local web-based account of last resort, the Cisco ISE must automatically audit account disabling actions.</t>
    </r>
  </si>
  <si>
    <r>
      <rPr>
        <sz val="11"/>
        <color rgb="FF000000"/>
        <rFont val="Calibri"/>
      </rPr>
      <t>Account management, as a whole, ensures access to the network device is being controlled in a secure manner by granting access to only authorized personnel. Auditing account disabling actions will support account management procedures. When device management accounts are disabled, user or service accessibility may be affected. Auditing also ensures authorized active accounts remain enabled and available for use when required.</t>
    </r>
  </si>
  <si>
    <t>V-242612</t>
  </si>
  <si>
    <r>
      <rPr>
        <sz val="11"/>
        <rFont val="Calibri"/>
      </rPr>
      <t>For the local account of last resort, the Cisco ISE must automatically audit account removal actions.</t>
    </r>
  </si>
  <si>
    <r>
      <rPr>
        <sz val="11"/>
        <color rgb="FF000000"/>
        <rFont val="Calibri"/>
      </rPr>
      <t>Account management, as a whole, ensures access to the network device is being controlled in a secure manner by granting access to only authorized personnel. Auditing account removal actions will support account management procedures. When device management accounts are terminated, user or service accessibility may be affected. Auditing also ensures authorized active accounts remain enabled and available for use when required.</t>
    </r>
  </si>
  <si>
    <t>V-242613</t>
  </si>
  <si>
    <r>
      <rPr>
        <sz val="11"/>
        <rFont val="Calibri"/>
      </rPr>
      <t>The Cisco ISE must automatically audit account enabling actions.</t>
    </r>
  </si>
  <si>
    <r>
      <rPr>
        <sz val="11"/>
        <color rgb="FF000000"/>
        <rFont val="Calibri"/>
      </rPr>
      <t>Once an attacker establishes initial access to a system, the attacker often attempts to create a persistent method of reestablishing access. One way to accomplish this is for the attacker to simply enable a new or disabled account. Notification of account enabling is one method for mitigating this risk. A comprehensive account management process will ensure an audit trail which documents the creation of application user accounts and notifies administrators and ISSO. Such a process greatly reduces the risk that accounts will be surreptitiously created and provides logging that can be used for forensic purposes.</t>
    </r>
  </si>
  <si>
    <t>V-242614</t>
  </si>
  <si>
    <r>
      <rPr>
        <sz val="11"/>
        <rFont val="Calibri"/>
      </rPr>
      <t>The Cisco ISE must be configured with only one local web-based account to be used as the account of last resort in the event the authentication server is unavailable.</t>
    </r>
  </si>
  <si>
    <r>
      <rPr>
        <sz val="11"/>
        <color rgb="FF000000"/>
        <rFont val="Calibri"/>
      </rPr>
      <t>Create a local web-based administrator. ONLY one web-based admin account should exist on the local device. The default CLI account is also local and cannot be removed.</t>
    </r>
    <r>
      <rPr>
        <sz val="11"/>
        <color rgb="FF000000"/>
        <rFont val="Calibri"/>
      </rPr>
      <t xml:space="preserve">
</t>
    </r>
    <r>
      <rPr>
        <sz val="11"/>
        <color rgb="FF000000"/>
        <rFont val="Calibri"/>
      </rPr>
      <t>1. Choose Administration &gt;&gt; System &gt;&gt; Admin Access &gt;&gt; Administrators &gt;&gt; Admin Users &gt;&gt; Add.</t>
    </r>
    <r>
      <rPr>
        <sz val="11"/>
        <color rgb="FF000000"/>
        <rFont val="Calibri"/>
      </rPr>
      <t xml:space="preserve">
</t>
    </r>
    <r>
      <rPr>
        <sz val="11"/>
        <color rgb="FF000000"/>
        <rFont val="Calibri"/>
      </rPr>
      <t>2. From the drop-down, choose Create an Admin User.</t>
    </r>
    <r>
      <rPr>
        <sz val="11"/>
        <color rgb="FF000000"/>
        <rFont val="Calibri"/>
      </rPr>
      <t xml:space="preserve">
</t>
    </r>
    <r>
      <rPr>
        <sz val="11"/>
        <color rgb="FF000000"/>
        <rFont val="Calibri"/>
      </rPr>
      <t xml:space="preserve">3. Enter the admin name and other information. </t>
    </r>
    <r>
      <rPr>
        <sz val="11"/>
        <color rgb="FF000000"/>
        <rFont val="Calibri"/>
      </rPr>
      <t xml:space="preserve">
</t>
    </r>
    <r>
      <rPr>
        <sz val="11"/>
        <color rgb="FF000000"/>
        <rFont val="Calibri"/>
      </rPr>
      <t>4. Add the Super User group.</t>
    </r>
    <r>
      <rPr>
        <sz val="11"/>
        <color rgb="FF000000"/>
        <rFont val="Calibri"/>
      </rPr>
      <t xml:space="preserve">
</t>
    </r>
    <r>
      <rPr>
        <sz val="11"/>
        <color rgb="FF000000"/>
        <rFont val="Calibri"/>
      </rPr>
      <t>5. Click "Submit".</t>
    </r>
  </si>
  <si>
    <r>
      <rPr>
        <sz val="11"/>
        <color rgb="FF000000"/>
        <rFont val="Calibri"/>
      </rPr>
      <t>Authentication for administrative (privileged level) access to the device is required at all times. An account can be created on the device's local database for use when the authentication server is down or connectivity between the device and the authentication server is not operable. This account is referred to as the account of last resort since it is intended to be used as a last resort and when immediate administrative access is absolutely necessary.</t>
    </r>
    <r>
      <rPr>
        <sz val="11"/>
        <color rgb="FF000000"/>
        <rFont val="Calibri"/>
      </rPr>
      <t xml:space="preserve">
</t>
    </r>
    <r>
      <rPr>
        <sz val="11"/>
        <color rgb="FF000000"/>
        <rFont val="Calibri"/>
      </rPr>
      <t>The account of last resort logon credentials must be stored in a sealed envelope and kept in a safe. The safe must be periodically audited to verify the envelope remains sealed. The signature of the auditor and the date of the audit should be added to the envelope as a record. Administrators should secure the credentials and disable the root account (if possible) when not needed for system administration functions.</t>
    </r>
    <r>
      <rPr>
        <sz val="11"/>
        <color rgb="FF000000"/>
        <rFont val="Calibri"/>
      </rPr>
      <t xml:space="preserve">
</t>
    </r>
    <r>
      <rPr>
        <sz val="11"/>
        <color rgb="FF000000"/>
        <rFont val="Calibri"/>
      </rPr>
      <t>Accounts necessary for authorized system functions are permitted, but must be secured to prevent use for local login and remote exploitation. These accounts should either be disabled for login for non-system functions and/or use a compliant authenticator (Example RSA SecureID token).</t>
    </r>
  </si>
  <si>
    <r>
      <rPr>
        <sz val="11"/>
        <color rgb="FF000000"/>
        <rFont val="Calibri"/>
      </rPr>
      <t>View the local admin users.</t>
    </r>
    <r>
      <rPr>
        <sz val="11"/>
        <color rgb="FF000000"/>
        <rFont val="Calibri"/>
      </rPr>
      <t xml:space="preserve">
</t>
    </r>
    <r>
      <rPr>
        <sz val="11"/>
        <color rgb="FF000000"/>
        <rFont val="Calibri"/>
      </rPr>
      <t>1. Choose Administration &gt;&gt; System &gt;&gt; Admin Access &gt;&gt; Administrators &gt;&gt; Admin Users &gt;&gt;View.</t>
    </r>
    <r>
      <rPr>
        <sz val="11"/>
        <color rgb="FF000000"/>
        <rFont val="Calibri"/>
      </rPr>
      <t xml:space="preserve">
</t>
    </r>
    <r>
      <rPr>
        <sz val="11"/>
        <color rgb="FF000000"/>
        <rFont val="Calibri"/>
      </rPr>
      <t>2. Verify there are only two local accounts are defined. Both must be in the Super User group. These users must be the web-based Account of Last Resort and the default CLI admin user.</t>
    </r>
    <r>
      <rPr>
        <sz val="11"/>
        <color rgb="FF000000"/>
        <rFont val="Calibri"/>
      </rPr>
      <t xml:space="preserve">
</t>
    </r>
    <r>
      <rPr>
        <sz val="11"/>
        <color rgb="FF000000"/>
        <rFont val="Calibri"/>
      </rPr>
      <t>If the Cisco ISE has unauthorized local users defined, this is a finding.</t>
    </r>
  </si>
  <si>
    <t>V-242615</t>
  </si>
  <si>
    <r>
      <rPr>
        <sz val="11"/>
        <rFont val="Calibri"/>
      </rPr>
      <t>The Cisco ISE must prevent non-privileged users from executing privileged functions to include disabling, circumventing, or altering implemented security safeguards/countermeasures.</t>
    </r>
  </si>
  <si>
    <r>
      <rPr>
        <sz val="11"/>
        <color rgb="FF000000"/>
        <rFont val="Calibri"/>
      </rPr>
      <t xml:space="preserve">Configure Role Based Access Control to ensure only administrator accounts have admin or super admin rights. </t>
    </r>
    <r>
      <rPr>
        <sz val="11"/>
        <color rgb="FF000000"/>
        <rFont val="Calibri"/>
      </rPr>
      <t xml:space="preserve">
</t>
    </r>
    <r>
      <rPr>
        <sz val="11"/>
        <color rgb="FF000000"/>
        <rFont val="Calibri"/>
      </rPr>
      <t xml:space="preserve">From web Admin portal: </t>
    </r>
    <r>
      <rPr>
        <sz val="11"/>
        <color rgb="FF000000"/>
        <rFont val="Calibri"/>
      </rPr>
      <t xml:space="preserve">
</t>
    </r>
    <r>
      <rPr>
        <sz val="11"/>
        <color rgb="FF000000"/>
        <rFont val="Calibri"/>
      </rPr>
      <t>1. Navigate to Administration &gt;&gt; System &gt;&gt; Admin Access &gt;&gt; Authorization &gt;&gt; Permissions &gt; Policy.</t>
    </r>
    <r>
      <rPr>
        <sz val="11"/>
        <color rgb="FF000000"/>
        <rFont val="Calibri"/>
      </rPr>
      <t xml:space="preserve">
</t>
    </r>
    <r>
      <rPr>
        <sz val="11"/>
        <color rgb="FF000000"/>
        <rFont val="Calibri"/>
      </rPr>
      <t>2. Take note of admin account groups.</t>
    </r>
    <r>
      <rPr>
        <sz val="11"/>
        <color rgb="FF000000"/>
        <rFont val="Calibri"/>
      </rPr>
      <t xml:space="preserve">
</t>
    </r>
    <r>
      <rPr>
        <sz val="11"/>
        <color rgb="FF000000"/>
        <rFont val="Calibri"/>
      </rPr>
      <t>3. Navigate to Administration &gt;&gt; System &gt;&gt; Admin Access &gt;&gt; Administrators &gt;&gt; Admin Users.</t>
    </r>
    <r>
      <rPr>
        <sz val="11"/>
        <color rgb="FF000000"/>
        <rFont val="Calibri"/>
      </rPr>
      <t xml:space="preserve">
</t>
    </r>
    <r>
      <rPr>
        <sz val="11"/>
        <color rgb="FF000000"/>
        <rFont val="Calibri"/>
      </rPr>
      <t>4. Ensure only admin accounts are placed within admin groups.</t>
    </r>
    <r>
      <rPr>
        <sz val="11"/>
        <color rgb="FF000000"/>
        <rFont val="Calibri"/>
      </rPr>
      <t xml:space="preserve">
</t>
    </r>
    <r>
      <rPr>
        <sz val="11"/>
        <color rgb="FF000000"/>
        <rFont val="Calibri"/>
      </rPr>
      <t>Note: If Active Directory is in use for external authentication, verify from AD that only administrative users are in the security group used for ISE admins.</t>
    </r>
  </si>
  <si>
    <r>
      <rPr>
        <sz val="11"/>
        <color rgb="FF000000"/>
        <rFont val="Calibri"/>
      </rPr>
      <t xml:space="preserve">Preventing non-privileged users from executing privileged functions mitigates the risk that unauthorized individuals or processes may gain unnecessary access to information or privileges. </t>
    </r>
    <r>
      <rPr>
        <sz val="11"/>
        <color rgb="FF000000"/>
        <rFont val="Calibri"/>
      </rPr>
      <t xml:space="preserve">
</t>
    </r>
    <r>
      <rPr>
        <sz val="11"/>
        <color rgb="FF000000"/>
        <rFont val="Calibri"/>
      </rPr>
      <t>Privileged functions include, for example, establishing accounts, performing system integrity checks, or administering cryptographic key management activities. Non-privileged users are individuals that do not possess appropriate authorizations.</t>
    </r>
  </si>
  <si>
    <r>
      <rPr>
        <sz val="11"/>
        <color rgb="FF000000"/>
        <rFont val="Calibri"/>
      </rPr>
      <t xml:space="preserve">Verify that only administrator accounts are located in administrative groups. </t>
    </r>
    <r>
      <rPr>
        <sz val="11"/>
        <color rgb="FF000000"/>
        <rFont val="Calibri"/>
      </rPr>
      <t xml:space="preserve">
</t>
    </r>
    <r>
      <rPr>
        <sz val="11"/>
        <color rgb="FF000000"/>
        <rFont val="Calibri"/>
      </rPr>
      <t>From the web Admin portal:</t>
    </r>
    <r>
      <rPr>
        <sz val="11"/>
        <color rgb="FF000000"/>
        <rFont val="Calibri"/>
      </rPr>
      <t xml:space="preserve">
</t>
    </r>
    <r>
      <rPr>
        <sz val="11"/>
        <color rgb="FF000000"/>
        <rFont val="Calibri"/>
      </rPr>
      <t>1. Navigate to Administration &gt;&gt; System &gt;&gt; Admin Access &gt;&gt; Authorization &gt;&gt; Permissions &gt;&gt; Policy.</t>
    </r>
    <r>
      <rPr>
        <sz val="11"/>
        <color rgb="FF000000"/>
        <rFont val="Calibri"/>
      </rPr>
      <t xml:space="preserve">
</t>
    </r>
    <r>
      <rPr>
        <sz val="11"/>
        <color rgb="FF000000"/>
        <rFont val="Calibri"/>
      </rPr>
      <t>2. Verify non-administrative users are located in read only or limited access admin groups. If non-adminstrative accounts are in administrative admin groups, this is a finding.</t>
    </r>
  </si>
  <si>
    <t>V-242616</t>
  </si>
  <si>
    <r>
      <rPr>
        <sz val="11"/>
        <rFont val="Calibri"/>
      </rPr>
      <t>The Cisco ISE must audit the execution of privileged functions.</t>
    </r>
  </si>
  <si>
    <r>
      <rPr>
        <sz val="11"/>
        <color rgb="FF000000"/>
        <rFont val="Calibri"/>
      </rPr>
      <t xml:space="preserve">Enable logging categories for Cisco ISE to send auditable events to the syslog target. </t>
    </r>
    <r>
      <rPr>
        <sz val="11"/>
        <color rgb="FF000000"/>
        <rFont val="Calibri"/>
      </rPr>
      <t xml:space="preserve">
</t>
    </r>
    <r>
      <rPr>
        <sz val="11"/>
        <color rgb="FF000000"/>
        <rFont val="Calibri"/>
      </rPr>
      <t>From the Web Admin portal:</t>
    </r>
    <r>
      <rPr>
        <sz val="11"/>
        <color rgb="FF000000"/>
        <rFont val="Calibri"/>
      </rPr>
      <t xml:space="preserve">
</t>
    </r>
    <r>
      <rPr>
        <sz val="11"/>
        <color rgb="FF000000"/>
        <rFont val="Calibri"/>
      </rPr>
      <t>1. Choose Administration &gt;&gt; System &gt;&gt; Logging &gt;&gt; Logging Categories.</t>
    </r>
    <r>
      <rPr>
        <sz val="11"/>
        <color rgb="FF000000"/>
        <rFont val="Calibri"/>
      </rPr>
      <t xml:space="preserve">
</t>
    </r>
    <r>
      <rPr>
        <sz val="11"/>
        <color rgb="FF000000"/>
        <rFont val="Calibri"/>
      </rPr>
      <t>2. Click the radio button next to the Administrative and Operational Audit logging category and then click "Edit".</t>
    </r>
    <r>
      <rPr>
        <sz val="11"/>
        <color rgb="FF000000"/>
        <rFont val="Calibri"/>
      </rPr>
      <t xml:space="preserve">
</t>
    </r>
    <r>
      <rPr>
        <sz val="11"/>
        <color rgb="FF000000"/>
        <rFont val="Calibri"/>
      </rPr>
      <t>3. Choose INFO from the Log Severity Level drop-down list.</t>
    </r>
    <r>
      <rPr>
        <sz val="11"/>
        <color rgb="FF000000"/>
        <rFont val="Calibri"/>
      </rPr>
      <t xml:space="preserve">
</t>
    </r>
    <r>
      <rPr>
        <sz val="11"/>
        <color rgb="FF000000"/>
        <rFont val="Calibri"/>
      </rPr>
      <t>4. In the Targets field, move the syslog target name that is being used to the Selected box.</t>
    </r>
    <r>
      <rPr>
        <sz val="11"/>
        <color rgb="FF000000"/>
        <rFont val="Calibri"/>
      </rPr>
      <t xml:space="preserve">
</t>
    </r>
    <r>
      <rPr>
        <sz val="11"/>
        <color rgb="FF000000"/>
        <rFont val="Calibri"/>
      </rPr>
      <t>5. Repeat the above steps to enable the AAA Audit logging category. However, this logging category has INFO as the default log severity level and cannot be changed.</t>
    </r>
    <r>
      <rPr>
        <sz val="11"/>
        <color rgb="FF000000"/>
        <rFont val="Calibri"/>
      </rPr>
      <t xml:space="preserve">
</t>
    </r>
    <r>
      <rPr>
        <sz val="11"/>
        <color rgb="FF000000"/>
        <rFont val="Calibri"/>
      </rPr>
      <t>5. Click "Save".</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</si>
  <si>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t>
    </r>
  </si>
  <si>
    <r>
      <rPr>
        <sz val="11"/>
        <color rgb="FF000000"/>
        <rFont val="Calibri"/>
      </rPr>
      <t>Verify logging categories have been configured to send auditable events to the syslog target.</t>
    </r>
    <r>
      <rPr>
        <sz val="11"/>
        <color rgb="FF000000"/>
        <rFont val="Calibri"/>
      </rPr>
      <t xml:space="preserve">
</t>
    </r>
    <r>
      <rPr>
        <sz val="11"/>
        <color rgb="FF000000"/>
        <rFont val="Calibri"/>
      </rPr>
      <t>From the Web Admin portal:</t>
    </r>
    <r>
      <rPr>
        <sz val="11"/>
        <color rgb="FF000000"/>
        <rFont val="Calibri"/>
      </rPr>
      <t xml:space="preserve">
</t>
    </r>
    <r>
      <rPr>
        <sz val="11"/>
        <color rgb="FF000000"/>
        <rFont val="Calibri"/>
      </rPr>
      <t>1. Choose Administration &gt;&gt; System &gt;&gt; Logging &gt;&gt; Logging Categories.</t>
    </r>
    <r>
      <rPr>
        <sz val="11"/>
        <color rgb="FF000000"/>
        <rFont val="Calibri"/>
      </rPr>
      <t xml:space="preserve">
</t>
    </r>
    <r>
      <rPr>
        <sz val="11"/>
        <color rgb="FF000000"/>
        <rFont val="Calibri"/>
      </rPr>
      <t>2. Verify the Administrative and Operational Audit is configured for the INFO log severity level.</t>
    </r>
    <r>
      <rPr>
        <sz val="11"/>
        <color rgb="FF000000"/>
        <rFont val="Calibri"/>
      </rPr>
      <t xml:space="preserve">
</t>
    </r>
    <r>
      <rPr>
        <sz val="11"/>
        <color rgb="FF000000"/>
        <rFont val="Calibri"/>
      </rPr>
      <t>3. Verify both the Administrative and Operational Audit  and the AAA Audit logging categories have been set to the syslog target.</t>
    </r>
    <r>
      <rPr>
        <sz val="11"/>
        <color rgb="FF000000"/>
        <rFont val="Calibri"/>
      </rPr>
      <t xml:space="preserve">
</t>
    </r>
    <r>
      <rPr>
        <sz val="11"/>
        <color rgb="FF000000"/>
        <rFont val="Calibri"/>
      </rPr>
      <t>If the Administrative and Operational Audit (INFO severity) and the AAA Audit logging category is not configured to send to the central syslog server, this is a finding.</t>
    </r>
  </si>
  <si>
    <t>V-242617</t>
  </si>
  <si>
    <r>
      <rPr>
        <sz val="11"/>
        <rFont val="Calibri"/>
      </rPr>
      <t>The Cisco ISE must be configured to enforce the limit of three consecutive invalid logon attempts, after which time it must lock out the user account from accessing the device for 15 minutes.</t>
    </r>
  </si>
  <si>
    <r>
      <rPr>
        <sz val="11"/>
        <color rgb="FF000000"/>
        <rFont val="Calibri"/>
      </rPr>
      <t xml:space="preserve">Configure ISE to disable accounts  for at least 15 minutes after a maximum of three consecutive invalid logon attempts. </t>
    </r>
    <r>
      <rPr>
        <sz val="11"/>
        <color rgb="FF000000"/>
        <rFont val="Calibri"/>
      </rPr>
      <t xml:space="preserve">
</t>
    </r>
    <r>
      <rPr>
        <sz val="11"/>
        <color rgb="FF000000"/>
        <rFont val="Calibri"/>
      </rPr>
      <t>From web admin portal:</t>
    </r>
    <r>
      <rPr>
        <sz val="11"/>
        <color rgb="FF000000"/>
        <rFont val="Calibri"/>
      </rPr>
      <t xml:space="preserve">
</t>
    </r>
    <r>
      <rPr>
        <sz val="11"/>
        <color rgb="FF000000"/>
        <rFont val="Calibri"/>
      </rPr>
      <t>1. Choose Administration &gt;&gt; System &gt;&gt; Admin Access &gt;&gt; Authentication &gt;&gt; Lock/Suspend Settings.</t>
    </r>
    <r>
      <rPr>
        <sz val="11"/>
        <color rgb="FF000000"/>
        <rFont val="Calibri"/>
      </rPr>
      <t xml:space="preserve">
</t>
    </r>
    <r>
      <rPr>
        <sz val="11"/>
        <color rgb="FF000000"/>
        <rFont val="Calibri"/>
      </rPr>
      <t>2. Configure the "Take action after [ ] failed attempts" setting to be set to a value of 3 or lower.</t>
    </r>
    <r>
      <rPr>
        <sz val="11"/>
        <color rgb="FF000000"/>
        <rFont val="Calibri"/>
      </rPr>
      <t xml:space="preserve">
</t>
    </r>
    <r>
      <rPr>
        <sz val="11"/>
        <color rgb="FF000000"/>
        <rFont val="Calibri"/>
      </rPr>
      <t>3. Check the "Suspend account for [ ] minutes" setting and set to be 15 minutes or higher.</t>
    </r>
    <r>
      <rPr>
        <sz val="11"/>
        <color rgb="FF000000"/>
        <rFont val="Calibri"/>
      </rPr>
      <t xml:space="preserve">
</t>
    </r>
    <r>
      <rPr>
        <sz val="11"/>
        <color rgb="FF000000"/>
        <rFont val="Calibri"/>
      </rPr>
      <t>4. Click Save.</t>
    </r>
    <r>
      <rPr>
        <sz val="11"/>
        <color rgb="FF000000"/>
        <rFont val="Calibri"/>
      </rPr>
      <t xml:space="preserve">
</t>
    </r>
    <r>
      <rPr>
        <sz val="11"/>
        <color rgb="FF000000"/>
        <rFont val="Calibri"/>
      </rPr>
      <t>Note: This setting will propagate to the ADE-OS applying the settings for the CLI accounts as well.</t>
    </r>
  </si>
  <si>
    <r>
      <rPr>
        <sz val="11"/>
        <color rgb="FF000000"/>
        <rFont val="Calibri"/>
      </rPr>
      <t>By limiting the number of failed login attempts, the risk of unauthorized system access via user password guessing, otherwise known as brute-forcing, is reduced.</t>
    </r>
    <r>
      <rPr>
        <sz val="11"/>
        <color rgb="FF000000"/>
        <rFont val="Calibri"/>
      </rPr>
      <t xml:space="preserve">
</t>
    </r>
    <r>
      <rPr>
        <sz val="11"/>
        <color rgb="FF000000"/>
        <rFont val="Calibri"/>
      </rPr>
      <t>If the administrator enters an incorrect password three times, the Admin portal locks the account, adds a log entry in the Server Administrator Logins report, and suspends the credentials until it is reset.</t>
    </r>
  </si>
  <si>
    <r>
      <rPr>
        <sz val="11"/>
        <color rgb="FF000000"/>
        <rFont val="Calibri"/>
      </rPr>
      <t xml:space="preserve">Verify ISE will disable accounts for at least 15 minutes after a maximum of three consecutive invalid logon attempts. </t>
    </r>
    <r>
      <rPr>
        <sz val="11"/>
        <color rgb="FF000000"/>
        <rFont val="Calibri"/>
      </rPr>
      <t xml:space="preserve">
</t>
    </r>
    <r>
      <rPr>
        <sz val="11"/>
        <color rgb="FF000000"/>
        <rFont val="Calibri"/>
      </rPr>
      <t>From web admin portal:</t>
    </r>
    <r>
      <rPr>
        <sz val="11"/>
        <color rgb="FF000000"/>
        <rFont val="Calibri"/>
      </rPr>
      <t xml:space="preserve">
</t>
    </r>
    <r>
      <rPr>
        <sz val="11"/>
        <color rgb="FF000000"/>
        <rFont val="Calibri"/>
      </rPr>
      <t>1. Choose Administration &gt;&gt; System &gt;&gt; Admin Access &gt;&gt; Authentication &gt;&gt; Lock/Suspend Settings.</t>
    </r>
    <r>
      <rPr>
        <sz val="11"/>
        <color rgb="FF000000"/>
        <rFont val="Calibri"/>
      </rPr>
      <t xml:space="preserve">
</t>
    </r>
    <r>
      <rPr>
        <sz val="11"/>
        <color rgb="FF000000"/>
        <rFont val="Calibri"/>
      </rPr>
      <t>2. Verify the "Take action after [ ] failed attempts" setting is set to a value of 3 or lower.</t>
    </r>
    <r>
      <rPr>
        <sz val="11"/>
        <color rgb="FF000000"/>
        <rFont val="Calibri"/>
      </rPr>
      <t xml:space="preserve">
</t>
    </r>
    <r>
      <rPr>
        <sz val="11"/>
        <color rgb="FF000000"/>
        <rFont val="Calibri"/>
      </rPr>
      <t xml:space="preserve">3. Verify the "Suspend account for [ ] minutes" setting is selected and set to be 15 minutes or higher </t>
    </r>
    <r>
      <rPr>
        <sz val="11"/>
        <color rgb="FF000000"/>
        <rFont val="Calibri"/>
      </rPr>
      <t xml:space="preserve">
</t>
    </r>
    <r>
      <rPr>
        <sz val="11"/>
        <color rgb="FF000000"/>
        <rFont val="Calibri"/>
      </rPr>
      <t>If the lockout for admin accounts is not configured to lock the account after a maximum of three incorrect passwords are attempted, this is a finding.</t>
    </r>
    <r>
      <rPr>
        <sz val="11"/>
        <color rgb="FF000000"/>
        <rFont val="Calibri"/>
      </rPr>
      <t xml:space="preserve">
</t>
    </r>
    <r>
      <rPr>
        <sz val="11"/>
        <color rgb="FF000000"/>
        <rFont val="Calibri"/>
      </rPr>
      <t>If the lockout for admin accounts is not configured to lock the account for a minimum of 15 minutes, this is a finding.</t>
    </r>
  </si>
  <si>
    <t>V-242618</t>
  </si>
  <si>
    <r>
      <rPr>
        <sz val="11"/>
        <rFont val="Calibri"/>
      </rPr>
      <t>For the local account of last resort, the Cisco ISE must display the Standard Mandatory DoD Notice and Consent Banner before granting access to the device.</t>
    </r>
  </si>
  <si>
    <r>
      <rPr>
        <sz val="11"/>
        <color rgb="FF000000"/>
        <rFont val="Calibri"/>
      </rPr>
      <t>Configure the administrative sessions login banner to display when users access the web or CLI interface that appears before and after an administrator logs in. By default, these login banners are disabled.</t>
    </r>
    <r>
      <rPr>
        <sz val="11"/>
        <color rgb="FF000000"/>
        <rFont val="Calibri"/>
      </rPr>
      <t xml:space="preserve">
</t>
    </r>
    <r>
      <rPr>
        <sz val="11"/>
        <color rgb="FF000000"/>
        <rFont val="Calibri"/>
      </rPr>
      <t>1. From the web management tool, click on Administration &gt;&gt; System &gt;&gt; Admin Access &gt;&gt; Settings &gt;&gt; Access &gt;&gt; Session.</t>
    </r>
    <r>
      <rPr>
        <sz val="11"/>
        <color rgb="FF000000"/>
        <rFont val="Calibri"/>
      </rPr>
      <t xml:space="preserve">
</t>
    </r>
    <r>
      <rPr>
        <sz val="11"/>
        <color rgb="FF000000"/>
        <rFont val="Calibri"/>
      </rPr>
      <t>2. To display the banner message before an administrator logs in, check the Pre-login banner check box and enter the message in the text box.</t>
    </r>
    <r>
      <rPr>
        <sz val="11"/>
        <color rgb="FF000000"/>
        <rFont val="Calibri"/>
      </rPr>
      <t xml:space="preserve">
</t>
    </r>
    <r>
      <rPr>
        <sz val="11"/>
        <color rgb="FF000000"/>
        <rFont val="Calibri"/>
      </rPr>
      <t>3. To display the banner message after an administrator logs in, check the Post-login banner check box and enter your message in the text box.</t>
    </r>
    <r>
      <rPr>
        <sz val="11"/>
        <color rgb="FF000000"/>
        <rFont val="Calibri"/>
      </rPr>
      <t xml:space="preserve">
</t>
    </r>
    <r>
      <rPr>
        <sz val="11"/>
        <color rgb="FF000000"/>
        <rFont val="Calibri"/>
      </rPr>
      <t>4. Click "Save".</t>
    </r>
  </si>
  <si>
    <r>
      <rPr>
        <sz val="11"/>
        <color rgb="FF000000"/>
        <rFont val="Calibri"/>
      </rPr>
      <t>Display of the DoD-approved use notification before granting access to the network device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such as when directly logging in to the device.</t>
    </r>
  </si>
  <si>
    <r>
      <rPr>
        <sz val="11"/>
        <color rgb="FF000000"/>
        <rFont val="Calibri"/>
      </rPr>
      <t>Determine if the network device is configured to present a DoD-approved banner that is formatted in accordance with DTM-08-060.</t>
    </r>
    <r>
      <rPr>
        <sz val="11"/>
        <color rgb="FF000000"/>
        <rFont val="Calibri"/>
      </rPr>
      <t xml:space="preserve">
</t>
    </r>
    <r>
      <rPr>
        <sz val="11"/>
        <color rgb="FF000000"/>
        <rFont val="Calibri"/>
      </rPr>
      <t>In the configuration, view the "banner login" configuration.</t>
    </r>
    <r>
      <rPr>
        <sz val="11"/>
        <color rgb="FF000000"/>
        <rFont val="Calibri"/>
      </rPr>
      <t xml:space="preserve">
</t>
    </r>
    <r>
      <rPr>
        <sz val="11"/>
        <color rgb="FF000000"/>
        <rFont val="Calibri"/>
      </rPr>
      <t>If such a banner is not presented, this is a finding.</t>
    </r>
  </si>
  <si>
    <t>V-242619</t>
  </si>
  <si>
    <r>
      <rPr>
        <sz val="11"/>
        <rFont val="Calibri"/>
      </rPr>
      <t>The Cisco ISE must protect against an individual (or process acting on behalf of an individual) falsely denying having performed organization-defined actions to be covered by non-repudiation.</t>
    </r>
  </si>
  <si>
    <r>
      <rPr>
        <sz val="11"/>
        <color rgb="FF000000"/>
        <rFont val="Calibri"/>
      </rPr>
      <t>Create a secure syslog remote logging target and direct logging to that site's central syslog or events server. To create an external logging target, complete the following steps:</t>
    </r>
    <r>
      <rPr>
        <sz val="11"/>
        <color rgb="FF000000"/>
        <rFont val="Calibri"/>
      </rPr>
      <t xml:space="preserve">
</t>
    </r>
    <r>
      <rPr>
        <sz val="11"/>
        <color rgb="FF000000"/>
        <rFont val="Calibri"/>
      </rPr>
      <t>1. Choose Administration &gt;&gt; System &gt;&gt; Logging &gt;&gt; Remote Logging Targets.</t>
    </r>
    <r>
      <rPr>
        <sz val="11"/>
        <color rgb="FF000000"/>
        <rFont val="Calibri"/>
      </rPr>
      <t xml:space="preserve">
</t>
    </r>
    <r>
      <rPr>
        <sz val="11"/>
        <color rgb="FF000000"/>
        <rFont val="Calibri"/>
      </rPr>
      <t>2. Click "Add".</t>
    </r>
    <r>
      <rPr>
        <sz val="11"/>
        <color rgb="FF000000"/>
        <rFont val="Calibri"/>
      </rPr>
      <t xml:space="preserve">
</t>
    </r>
    <r>
      <rPr>
        <sz val="11"/>
        <color rgb="FF000000"/>
        <rFont val="Calibri"/>
      </rPr>
      <t>3. Configure the following fields:</t>
    </r>
    <r>
      <rPr>
        <sz val="11"/>
        <color rgb="FF000000"/>
        <rFont val="Calibri"/>
      </rPr>
      <t xml:space="preserve">
</t>
    </r>
    <r>
      <rPr>
        <sz val="11"/>
        <color rgb="FF000000"/>
        <rFont val="Calibri"/>
      </rPr>
      <t>- Name - Enter the name of the new target.</t>
    </r>
    <r>
      <rPr>
        <sz val="11"/>
        <color rgb="FF000000"/>
        <rFont val="Calibri"/>
      </rPr>
      <t xml:space="preserve">
</t>
    </r>
    <r>
      <rPr>
        <sz val="11"/>
        <color rgb="FF000000"/>
        <rFont val="Calibri"/>
      </rPr>
      <t>- Target Type - By default it is set to Syslog. The value of this field cannot be changed.</t>
    </r>
    <r>
      <rPr>
        <sz val="11"/>
        <color rgb="FF000000"/>
        <rFont val="Calibri"/>
      </rPr>
      <t xml:space="preserve">
</t>
    </r>
    <r>
      <rPr>
        <sz val="11"/>
        <color rgb="FF000000"/>
        <rFont val="Calibri"/>
      </rPr>
      <t>- Description - Enter a brief description of the new target.</t>
    </r>
    <r>
      <rPr>
        <sz val="11"/>
        <color rgb="FF000000"/>
        <rFont val="Calibri"/>
      </rPr>
      <t xml:space="preserve">
</t>
    </r>
    <r>
      <rPr>
        <sz val="11"/>
        <color rgb="FF000000"/>
        <rFont val="Calibri"/>
      </rPr>
      <t>- IP Address - Enter the IP address of the destination machine where you want to store the logs.</t>
    </r>
    <r>
      <rPr>
        <sz val="11"/>
        <color rgb="FF000000"/>
        <rFont val="Calibri"/>
      </rPr>
      <t xml:space="preserve">
</t>
    </r>
    <r>
      <rPr>
        <sz val="11"/>
        <color rgb="FF000000"/>
        <rFont val="Calibri"/>
      </rPr>
      <t>- Port - Enter the port number of the destination machine.</t>
    </r>
    <r>
      <rPr>
        <sz val="11"/>
        <color rgb="FF000000"/>
        <rFont val="Calibri"/>
      </rPr>
      <t xml:space="preserve">
</t>
    </r>
    <r>
      <rPr>
        <sz val="11"/>
        <color rgb="FF000000"/>
        <rFont val="Calibri"/>
      </rPr>
      <t>- Facility Code - Choose the syslog facility code to be used for logging. Valid options are Local0 through Local7.</t>
    </r>
    <r>
      <rPr>
        <sz val="11"/>
        <color rgb="FF000000"/>
        <rFont val="Calibri"/>
      </rPr>
      <t xml:space="preserve">
</t>
    </r>
    <r>
      <rPr>
        <sz val="11"/>
        <color rgb="FF000000"/>
        <rFont val="Calibri"/>
      </rPr>
      <t>- Maximum Length - Enter the maximum length of the remote log target messages. Valid options are from 200 to 1024 bytes.</t>
    </r>
    <r>
      <rPr>
        <sz val="11"/>
        <color rgb="FF000000"/>
        <rFont val="Calibri"/>
      </rPr>
      <t xml:space="preserve">
</t>
    </r>
    <r>
      <rPr>
        <sz val="11"/>
        <color rgb="FF000000"/>
        <rFont val="Calibri"/>
      </rPr>
      <t>4. Click "Save".</t>
    </r>
    <r>
      <rPr>
        <sz val="11"/>
        <color rgb="FF000000"/>
        <rFont val="Calibri"/>
      </rPr>
      <t xml:space="preserve">
</t>
    </r>
    <r>
      <rPr>
        <sz val="11"/>
        <color rgb="FF000000"/>
        <rFont val="Calibri"/>
      </rPr>
      <t>Go to the Logging Targets page and verify the creation of the new target. To edit a remote logging target, complete the following steps:</t>
    </r>
    <r>
      <rPr>
        <sz val="11"/>
        <color rgb="FF000000"/>
        <rFont val="Calibri"/>
      </rPr>
      <t xml:space="preserve">
</t>
    </r>
    <r>
      <rPr>
        <sz val="11"/>
        <color rgb="FF000000"/>
        <rFont val="Calibri"/>
      </rPr>
      <t>1. Choose Administration &gt;&gt; System &gt;&gt; Logging &gt;&gt; Remote Logging Targets.</t>
    </r>
    <r>
      <rPr>
        <sz val="11"/>
        <color rgb="FF000000"/>
        <rFont val="Calibri"/>
      </rPr>
      <t xml:space="preserve">
</t>
    </r>
    <r>
      <rPr>
        <sz val="11"/>
        <color rgb="FF000000"/>
        <rFont val="Calibri"/>
      </rPr>
      <t>2. Click the radio button next to the logging target name that you want to edit and click "Edit".</t>
    </r>
    <r>
      <rPr>
        <sz val="11"/>
        <color rgb="FF000000"/>
        <rFont val="Calibri"/>
      </rPr>
      <t xml:space="preserve">
</t>
    </r>
    <r>
      <rPr>
        <sz val="11"/>
        <color rgb="FF000000"/>
        <rFont val="Calibri"/>
      </rPr>
      <t>3. Modify the following field values on the Log Collection page as needed:</t>
    </r>
    <r>
      <rPr>
        <sz val="11"/>
        <color rgb="FF000000"/>
        <rFont val="Calibri"/>
      </rPr>
      <t xml:space="preserve">
</t>
    </r>
    <r>
      <rPr>
        <sz val="11"/>
        <color rgb="FF000000"/>
        <rFont val="Calibri"/>
      </rPr>
      <t>- Name</t>
    </r>
    <r>
      <rPr>
        <sz val="11"/>
        <color rgb="FF000000"/>
        <rFont val="Calibri"/>
      </rPr>
      <t xml:space="preserve">
</t>
    </r>
    <r>
      <rPr>
        <sz val="11"/>
        <color rgb="FF000000"/>
        <rFont val="Calibri"/>
      </rPr>
      <t>- Target Type</t>
    </r>
    <r>
      <rPr>
        <sz val="11"/>
        <color rgb="FF000000"/>
        <rFont val="Calibri"/>
      </rPr>
      <t xml:space="preserve">
</t>
    </r>
    <r>
      <rPr>
        <sz val="11"/>
        <color rgb="FF000000"/>
        <rFont val="Calibri"/>
      </rPr>
      <t>- Description</t>
    </r>
    <r>
      <rPr>
        <sz val="11"/>
        <color rgb="FF000000"/>
        <rFont val="Calibri"/>
      </rPr>
      <t xml:space="preserve">
</t>
    </r>
    <r>
      <rPr>
        <sz val="11"/>
        <color rgb="FF000000"/>
        <rFont val="Calibri"/>
      </rPr>
      <t>- IP Address</t>
    </r>
    <r>
      <rPr>
        <sz val="11"/>
        <color rgb="FF000000"/>
        <rFont val="Calibri"/>
      </rPr>
      <t xml:space="preserve">
</t>
    </r>
    <r>
      <rPr>
        <sz val="11"/>
        <color rgb="FF000000"/>
        <rFont val="Calibri"/>
      </rPr>
      <t>- Port</t>
    </r>
    <r>
      <rPr>
        <sz val="11"/>
        <color rgb="FF000000"/>
        <rFont val="Calibri"/>
      </rPr>
      <t xml:space="preserve">
</t>
    </r>
    <r>
      <rPr>
        <sz val="11"/>
        <color rgb="FF000000"/>
        <rFont val="Calibri"/>
      </rPr>
      <t>- Facility Code</t>
    </r>
    <r>
      <rPr>
        <sz val="11"/>
        <color rgb="FF000000"/>
        <rFont val="Calibri"/>
      </rPr>
      <t xml:space="preserve">
</t>
    </r>
    <r>
      <rPr>
        <sz val="11"/>
        <color rgb="FF000000"/>
        <rFont val="Calibri"/>
      </rPr>
      <t>- Maximum Length</t>
    </r>
    <r>
      <rPr>
        <sz val="11"/>
        <color rgb="FF000000"/>
        <rFont val="Calibri"/>
      </rPr>
      <t xml:space="preserve">
</t>
    </r>
    <r>
      <rPr>
        <sz val="11"/>
        <color rgb="FF000000"/>
        <rFont val="Calibri"/>
      </rPr>
      <t>4. Click "Save".</t>
    </r>
    <r>
      <rPr>
        <sz val="11"/>
        <color rgb="FF000000"/>
        <rFont val="Calibri"/>
      </rPr>
      <t xml:space="preserve">
</t>
    </r>
    <r>
      <rPr>
        <sz val="11"/>
        <color rgb="FF000000"/>
        <rFont val="Calibri"/>
      </rPr>
      <t>The updating of the selected Log Collector is completed.</t>
    </r>
  </si>
  <si>
    <r>
      <rPr>
        <sz val="11"/>
        <color rgb="FF000000"/>
        <rFont val="Calibri"/>
      </rPr>
      <t>This requirement supports non-repudiation of actions taken by an administrator and is required in order to maintain the integrity of the configuration management process. All configuration changes to the network device are logged, and administrators authenticate with two-factor authentication before gaining administrative access. Together, these processes will ensure the administrators can be held accountable for the configuration changes they implement.</t>
    </r>
    <r>
      <rPr>
        <sz val="11"/>
        <color rgb="FF000000"/>
        <rFont val="Calibri"/>
      </rPr>
      <t xml:space="preserve">
</t>
    </r>
    <r>
      <rPr>
        <sz val="11"/>
        <color rgb="FF000000"/>
        <rFont val="Calibri"/>
      </rPr>
      <t>To meet this requirement, the network device must log administrator access and activity.</t>
    </r>
  </si>
  <si>
    <r>
      <rPr>
        <sz val="11"/>
        <color rgb="FF000000"/>
        <rFont val="Calibri"/>
      </rPr>
      <t>To view remote logging targets, complete the following steps:</t>
    </r>
    <r>
      <rPr>
        <sz val="11"/>
        <color rgb="FF000000"/>
        <rFont val="Calibri"/>
      </rPr>
      <t xml:space="preserve">
</t>
    </r>
    <r>
      <rPr>
        <sz val="11"/>
        <color rgb="FF000000"/>
        <rFont val="Calibri"/>
      </rPr>
      <t>1. From the ISE Administration Interface, choose Administration &gt;&gt; System &gt;&gt; Logging &gt;&gt; Remote Logging Targets.</t>
    </r>
    <r>
      <rPr>
        <sz val="11"/>
        <color rgb="FF000000"/>
        <rFont val="Calibri"/>
      </rPr>
      <t xml:space="preserve">
</t>
    </r>
    <r>
      <rPr>
        <sz val="11"/>
        <color rgb="FF000000"/>
        <rFont val="Calibri"/>
      </rPr>
      <t>2. The Remote Logging Targets page appears with a list of existing logging targets.</t>
    </r>
    <r>
      <rPr>
        <sz val="11"/>
        <color rgb="FF000000"/>
        <rFont val="Calibri"/>
      </rPr>
      <t xml:space="preserve">
</t>
    </r>
    <r>
      <rPr>
        <sz val="11"/>
        <color rgb="FF000000"/>
        <rFont val="Calibri"/>
      </rPr>
      <t>If a remote logging target is not configured, this is a finding.</t>
    </r>
  </si>
  <si>
    <t>V-242620</t>
  </si>
  <si>
    <r>
      <rPr>
        <sz val="11"/>
        <rFont val="Calibri"/>
      </rPr>
      <t>The Cisco ISE must generate audit records when successful attempts to access privileges occur.</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</si>
  <si>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information system (e.g., module or policy filter).</t>
    </r>
  </si>
  <si>
    <t>V-242621</t>
  </si>
  <si>
    <r>
      <rPr>
        <sz val="11"/>
        <rFont val="Calibri"/>
      </rPr>
      <t>The Cisco ISE must generate audit records when successful attempts to modify administrator privileges occur.</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</si>
  <si>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network device (e.g., module or policy filter).</t>
    </r>
  </si>
  <si>
    <t>V-242622</t>
  </si>
  <si>
    <r>
      <rPr>
        <sz val="11"/>
        <rFont val="Calibri"/>
      </rPr>
      <t>The Cisco ISE must generate audit records when successful attempts to delete administrator privileges occur.</t>
    </r>
  </si>
  <si>
    <t>V-242623</t>
  </si>
  <si>
    <r>
      <rPr>
        <sz val="11"/>
        <rFont val="Calibri"/>
      </rPr>
      <t>The Cisco ISE must generate audit records when successful logon attempts occur.</t>
    </r>
  </si>
  <si>
    <t>V-242624</t>
  </si>
  <si>
    <r>
      <rPr>
        <sz val="11"/>
        <rFont val="Calibri"/>
      </rPr>
      <t>The Cisco ISE must generate audit records for privileged activities or other system-level access.</t>
    </r>
  </si>
  <si>
    <t>V-242625</t>
  </si>
  <si>
    <r>
      <rPr>
        <sz val="11"/>
        <rFont val="Calibri"/>
      </rPr>
      <t>The Cisco ISE must generate audit records when concurrent logons from different workstations occur.</t>
    </r>
  </si>
  <si>
    <r>
      <rPr>
        <sz val="11"/>
        <color rgb="FF000000"/>
        <rFont val="Calibri"/>
      </rPr>
      <t>Enable logging categories for Cisco ISE.</t>
    </r>
    <r>
      <rPr>
        <sz val="11"/>
        <color rgb="FF000000"/>
        <rFont val="Calibri"/>
      </rPr>
      <t xml:space="preserve">
</t>
    </r>
    <r>
      <rPr>
        <sz val="11"/>
        <color rgb="FF000000"/>
        <rFont val="Calibri"/>
      </rPr>
      <t>From the Web Admin portal:</t>
    </r>
    <r>
      <rPr>
        <sz val="11"/>
        <color rgb="FF000000"/>
        <rFont val="Calibri"/>
      </rPr>
      <t xml:space="preserve">
</t>
    </r>
    <r>
      <rPr>
        <sz val="11"/>
        <color rgb="FF000000"/>
        <rFont val="Calibri"/>
      </rPr>
      <t>1. Choose Administration &gt;&gt; System &gt;&gt; Logging &gt;&gt; Logging Categories.</t>
    </r>
    <r>
      <rPr>
        <sz val="11"/>
        <color rgb="FF000000"/>
        <rFont val="Calibri"/>
      </rPr>
      <t xml:space="preserve">
</t>
    </r>
    <r>
      <rPr>
        <sz val="11"/>
        <color rgb="FF000000"/>
        <rFont val="Calibri"/>
      </rPr>
      <t>2. Click the radio button next to the Administrative and Operational Audit logging category and then click "Edit".</t>
    </r>
    <r>
      <rPr>
        <sz val="11"/>
        <color rgb="FF000000"/>
        <rFont val="Calibri"/>
      </rPr>
      <t xml:space="preserve">
</t>
    </r>
    <r>
      <rPr>
        <sz val="11"/>
        <color rgb="FF000000"/>
        <rFont val="Calibri"/>
      </rPr>
      <t>3. Choose INFO from the Log Severity Level drop-down list.</t>
    </r>
    <r>
      <rPr>
        <sz val="11"/>
        <color rgb="FF000000"/>
        <rFont val="Calibri"/>
      </rPr>
      <t xml:space="preserve">
</t>
    </r>
    <r>
      <rPr>
        <sz val="11"/>
        <color rgb="FF000000"/>
        <rFont val="Calibri"/>
      </rPr>
      <t>4. In the Targets field, move the syslog target name that is being used to the Selected box.</t>
    </r>
    <r>
      <rPr>
        <sz val="11"/>
        <color rgb="FF000000"/>
        <rFont val="Calibri"/>
      </rPr>
      <t xml:space="preserve">
</t>
    </r>
    <r>
      <rPr>
        <sz val="11"/>
        <color rgb="FF000000"/>
        <rFont val="Calibri"/>
      </rPr>
      <t>5. Click "Save".</t>
    </r>
  </si>
  <si>
    <r>
      <rPr>
        <sz val="11"/>
        <color rgb="FF000000"/>
        <rFont val="Calibri"/>
      </rPr>
      <t>Verify logging categories have been configured.</t>
    </r>
    <r>
      <rPr>
        <sz val="11"/>
        <color rgb="FF000000"/>
        <rFont val="Calibri"/>
      </rPr>
      <t xml:space="preserve">
</t>
    </r>
    <r>
      <rPr>
        <sz val="11"/>
        <color rgb="FF000000"/>
        <rFont val="Calibri"/>
      </rPr>
      <t>From the Web Admin portal:</t>
    </r>
    <r>
      <rPr>
        <sz val="11"/>
        <color rgb="FF000000"/>
        <rFont val="Calibri"/>
      </rPr>
      <t xml:space="preserve">
</t>
    </r>
    <r>
      <rPr>
        <sz val="11"/>
        <color rgb="FF000000"/>
        <rFont val="Calibri"/>
      </rPr>
      <t>1. Choose Administration &gt;&gt; System &gt;&gt; Logging &gt;&gt; Logging Categories.</t>
    </r>
    <r>
      <rPr>
        <sz val="11"/>
        <color rgb="FF000000"/>
        <rFont val="Calibri"/>
      </rPr>
      <t xml:space="preserve">
</t>
    </r>
    <r>
      <rPr>
        <sz val="11"/>
        <color rgb="FF000000"/>
        <rFont val="Calibri"/>
      </rPr>
      <t>2. Verify the Administrative and Operational Audit logs are set to INFO severity category.</t>
    </r>
    <r>
      <rPr>
        <sz val="11"/>
        <color rgb="FF000000"/>
        <rFont val="Calibri"/>
      </rPr>
      <t xml:space="preserve">
</t>
    </r>
    <r>
      <rPr>
        <sz val="11"/>
        <color rgb="FF000000"/>
        <rFont val="Calibri"/>
      </rPr>
      <t>If the Administrative and Operational Audit are not set to the INFO severity category, this is a finding.</t>
    </r>
  </si>
  <si>
    <t>V-242626</t>
  </si>
  <si>
    <r>
      <rPr>
        <sz val="11"/>
        <rFont val="Calibri"/>
      </rPr>
      <t>The Cisco ISE must limit audit record storage capacity for all locally stored logs.</t>
    </r>
  </si>
  <si>
    <r>
      <rPr>
        <sz val="11"/>
        <color rgb="FF000000"/>
        <rFont val="Calibri"/>
      </rPr>
      <t xml:space="preserve">Configure syslog purge settings. Use the following process to delete local logs after a certain period of time. This is set based on the local environment and size of the implementation. </t>
    </r>
    <r>
      <rPr>
        <sz val="11"/>
        <color rgb="FF000000"/>
        <rFont val="Calibri"/>
      </rPr>
      <t xml:space="preserve">
</t>
    </r>
    <r>
      <rPr>
        <sz val="11"/>
        <color rgb="FF000000"/>
        <rFont val="Calibri"/>
      </rPr>
      <t>1. Choose Administration &gt;&gt; System &gt;&gt; Logging &gt;&gt; Local Log Settings.</t>
    </r>
    <r>
      <rPr>
        <sz val="11"/>
        <color rgb="FF000000"/>
        <rFont val="Calibri"/>
      </rPr>
      <t xml:space="preserve">
</t>
    </r>
    <r>
      <rPr>
        <sz val="11"/>
        <color rgb="FF000000"/>
        <rFont val="Calibri"/>
      </rPr>
      <t>2. In the Local Log Storage Period field, enter the maximum number of days to keep the log entries in the configuration source.</t>
    </r>
    <r>
      <rPr>
        <sz val="11"/>
        <color rgb="FF000000"/>
        <rFont val="Calibri"/>
      </rPr>
      <t xml:space="preserve">
</t>
    </r>
    <r>
      <rPr>
        <sz val="11"/>
        <color rgb="FF000000"/>
        <rFont val="Calibri"/>
      </rPr>
      <t>3. Click "Delete Logs Now" to delete the existing log files at any time before the expiration of the storage period.</t>
    </r>
    <r>
      <rPr>
        <sz val="11"/>
        <color rgb="FF000000"/>
        <rFont val="Calibri"/>
      </rPr>
      <t xml:space="preserve">
</t>
    </r>
    <r>
      <rPr>
        <sz val="11"/>
        <color rgb="FF000000"/>
        <rFont val="Calibri"/>
      </rPr>
      <t>4. Click "Save".</t>
    </r>
    <r>
      <rPr>
        <sz val="11"/>
        <color rgb="FF000000"/>
        <rFont val="Calibri"/>
      </rPr>
      <t xml:space="preserve">
</t>
    </r>
    <r>
      <rPr>
        <sz val="11"/>
        <color rgb="FF000000"/>
        <rFont val="Calibri"/>
      </rPr>
      <t>Note: The system is designed to delete logs if the size of the localStore folder reaches 97 GB, regardless of the configured Local Log Storage Period.</t>
    </r>
  </si>
  <si>
    <r>
      <rPr>
        <sz val="11"/>
        <color rgb="FF000000"/>
        <rFont val="Calibri"/>
      </rPr>
      <t xml:space="preserve">In order to ensure network devices have a sufficient storage capacity in which to write the audit logs, they need to be able to allocate audit record storage capacity. The task of allocating audit record storage capacity is usually performed during initial device setup if it is modifiable. </t>
    </r>
    <r>
      <rPr>
        <sz val="11"/>
        <color rgb="FF000000"/>
        <rFont val="Calibri"/>
      </rPr>
      <t xml:space="preserve">
</t>
    </r>
    <r>
      <rPr>
        <sz val="11"/>
        <color rgb="FF000000"/>
        <rFont val="Calibri"/>
      </rPr>
      <t>The value for the organization-defined audit record storage requirement will depend on the amount of storage available on the network device, the anticipated volume of logs, the frequency of transfer from the network device to centralized log servers, and other factors.</t>
    </r>
  </si>
  <si>
    <r>
      <rPr>
        <sz val="11"/>
        <color rgb="FF000000"/>
        <rFont val="Calibri"/>
      </rPr>
      <t>Examine the local log purge setting.</t>
    </r>
    <r>
      <rPr>
        <sz val="11"/>
        <color rgb="FF000000"/>
        <rFont val="Calibri"/>
      </rPr>
      <t xml:space="preserve">
</t>
    </r>
    <r>
      <rPr>
        <sz val="11"/>
        <color rgb="FF000000"/>
        <rFont val="Calibri"/>
      </rPr>
      <t>show logging internal</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Choose Administration &gt;&gt; System &gt;&gt; Logging &gt;&gt; Local Log Settings &gt;&gt; Local Log Storage Period.</t>
    </r>
    <r>
      <rPr>
        <sz val="11"/>
        <color rgb="FF000000"/>
        <rFont val="Calibri"/>
      </rPr>
      <t xml:space="preserve">
</t>
    </r>
    <r>
      <rPr>
        <sz val="11"/>
        <color rgb="FF000000"/>
        <rFont val="Calibri"/>
      </rPr>
      <t>If local logs are set to purge after a locally established period, this is not a finding.</t>
    </r>
  </si>
  <si>
    <t>V-242627</t>
  </si>
  <si>
    <r>
      <rPr>
        <sz val="11"/>
        <rFont val="Calibri"/>
      </rPr>
      <t>The Cisco ISE must configure a remote syslog where audit records are stored on a centralized logging target that is different from the system being audited.</t>
    </r>
  </si>
  <si>
    <r>
      <rPr>
        <sz val="11"/>
        <color rgb="FF000000"/>
        <rFont val="Calibri"/>
      </rPr>
      <t>Create a Remote Logging Target and direct logging to that target. To create an external logging target, complete the following steps:</t>
    </r>
    <r>
      <rPr>
        <sz val="11"/>
        <color rgb="FF000000"/>
        <rFont val="Calibri"/>
      </rPr>
      <t xml:space="preserve">
</t>
    </r>
    <r>
      <rPr>
        <sz val="11"/>
        <color rgb="FF000000"/>
        <rFont val="Calibri"/>
      </rPr>
      <t>1. Choose Administration &gt;&gt; System &gt;&gt; Logging &gt;&gt; Remote Logging Targets.</t>
    </r>
    <r>
      <rPr>
        <sz val="11"/>
        <color rgb="FF000000"/>
        <rFont val="Calibri"/>
      </rPr>
      <t xml:space="preserve">
</t>
    </r>
    <r>
      <rPr>
        <sz val="11"/>
        <color rgb="FF000000"/>
        <rFont val="Calibri"/>
      </rPr>
      <t>2. Click "Add".</t>
    </r>
    <r>
      <rPr>
        <sz val="11"/>
        <color rgb="FF000000"/>
        <rFont val="Calibri"/>
      </rPr>
      <t xml:space="preserve">
</t>
    </r>
    <r>
      <rPr>
        <sz val="11"/>
        <color rgb="FF000000"/>
        <rFont val="Calibri"/>
      </rPr>
      <t>3. Configure the following fields.</t>
    </r>
    <r>
      <rPr>
        <sz val="11"/>
        <color rgb="FF000000"/>
        <rFont val="Calibri"/>
      </rPr>
      <t xml:space="preserve">
</t>
    </r>
    <r>
      <rPr>
        <sz val="11"/>
        <color rgb="FF000000"/>
        <rFont val="Calibri"/>
      </rPr>
      <t>- Name - Enter the name of the new target</t>
    </r>
    <r>
      <rPr>
        <sz val="11"/>
        <color rgb="FF000000"/>
        <rFont val="Calibri"/>
      </rPr>
      <t xml:space="preserve">
</t>
    </r>
    <r>
      <rPr>
        <sz val="11"/>
        <color rgb="FF000000"/>
        <rFont val="Calibri"/>
      </rPr>
      <t>- Target Type - By default it is set to Syslog. The value of this field cannot be changed.</t>
    </r>
    <r>
      <rPr>
        <sz val="11"/>
        <color rgb="FF000000"/>
        <rFont val="Calibri"/>
      </rPr>
      <t xml:space="preserve">
</t>
    </r>
    <r>
      <rPr>
        <sz val="11"/>
        <color rgb="FF000000"/>
        <rFont val="Calibri"/>
      </rPr>
      <t>- Description - Enter a brief description of the new target.</t>
    </r>
    <r>
      <rPr>
        <sz val="11"/>
        <color rgb="FF000000"/>
        <rFont val="Calibri"/>
      </rPr>
      <t xml:space="preserve">
</t>
    </r>
    <r>
      <rPr>
        <sz val="11"/>
        <color rgb="FF000000"/>
        <rFont val="Calibri"/>
      </rPr>
      <t>- IP Address - Enter the IP address of the destination machine where you want to store the logs.</t>
    </r>
    <r>
      <rPr>
        <sz val="11"/>
        <color rgb="FF000000"/>
        <rFont val="Calibri"/>
      </rPr>
      <t xml:space="preserve">
</t>
    </r>
    <r>
      <rPr>
        <sz val="11"/>
        <color rgb="FF000000"/>
        <rFont val="Calibri"/>
      </rPr>
      <t>- Port - Enter the port number of the destination machine.</t>
    </r>
    <r>
      <rPr>
        <sz val="11"/>
        <color rgb="FF000000"/>
        <rFont val="Calibri"/>
      </rPr>
      <t xml:space="preserve">
</t>
    </r>
    <r>
      <rPr>
        <sz val="11"/>
        <color rgb="FF000000"/>
        <rFont val="Calibri"/>
      </rPr>
      <t>- Facility Code - Choose the syslog facility code to be used for logging. Valid options are Local0 through Local7.</t>
    </r>
    <r>
      <rPr>
        <sz val="11"/>
        <color rgb="FF000000"/>
        <rFont val="Calibri"/>
      </rPr>
      <t xml:space="preserve">
</t>
    </r>
    <r>
      <rPr>
        <sz val="11"/>
        <color rgb="FF000000"/>
        <rFont val="Calibri"/>
      </rPr>
      <t>- Maximum Length - Enter the maximum length of the remote log target messages. Valid options are from 200 to 1024 bytes.</t>
    </r>
    <r>
      <rPr>
        <sz val="11"/>
        <color rgb="FF000000"/>
        <rFont val="Calibri"/>
      </rPr>
      <t xml:space="preserve">
</t>
    </r>
    <r>
      <rPr>
        <sz val="11"/>
        <color rgb="FF000000"/>
        <rFont val="Calibri"/>
      </rPr>
      <t>4. Click "Save".</t>
    </r>
    <r>
      <rPr>
        <sz val="11"/>
        <color rgb="FF000000"/>
        <rFont val="Calibri"/>
      </rPr>
      <t xml:space="preserve">
</t>
    </r>
    <r>
      <rPr>
        <sz val="11"/>
        <color rgb="FF000000"/>
        <rFont val="Calibri"/>
      </rPr>
      <t>Go to the Logging Targets page and verify the creation of the new target. To edit a remote logging target, complete the following steps:</t>
    </r>
    <r>
      <rPr>
        <sz val="11"/>
        <color rgb="FF000000"/>
        <rFont val="Calibri"/>
      </rPr>
      <t xml:space="preserve">
</t>
    </r>
    <r>
      <rPr>
        <sz val="11"/>
        <color rgb="FF000000"/>
        <rFont val="Calibri"/>
      </rPr>
      <t>1. Choose Administration &gt;&gt; System &gt;&gt; Logging &gt;&gt; Remote Logging Targets.</t>
    </r>
    <r>
      <rPr>
        <sz val="11"/>
        <color rgb="FF000000"/>
        <rFont val="Calibri"/>
      </rPr>
      <t xml:space="preserve">
</t>
    </r>
    <r>
      <rPr>
        <sz val="11"/>
        <color rgb="FF000000"/>
        <rFont val="Calibri"/>
      </rPr>
      <t>2. Click the radio button next to the logging target name that you want to edit and click "Edit".</t>
    </r>
    <r>
      <rPr>
        <sz val="11"/>
        <color rgb="FF000000"/>
        <rFont val="Calibri"/>
      </rPr>
      <t xml:space="preserve">
</t>
    </r>
    <r>
      <rPr>
        <sz val="11"/>
        <color rgb="FF000000"/>
        <rFont val="Calibri"/>
      </rPr>
      <t>3. Modify the following field values on the Log Collection page as needed.</t>
    </r>
    <r>
      <rPr>
        <sz val="11"/>
        <color rgb="FF000000"/>
        <rFont val="Calibri"/>
      </rPr>
      <t xml:space="preserve">
</t>
    </r>
    <r>
      <rPr>
        <sz val="11"/>
        <color rgb="FF000000"/>
        <rFont val="Calibri"/>
      </rPr>
      <t>- Name</t>
    </r>
    <r>
      <rPr>
        <sz val="11"/>
        <color rgb="FF000000"/>
        <rFont val="Calibri"/>
      </rPr>
      <t xml:space="preserve">
</t>
    </r>
    <r>
      <rPr>
        <sz val="11"/>
        <color rgb="FF000000"/>
        <rFont val="Calibri"/>
      </rPr>
      <t>- Target Type</t>
    </r>
    <r>
      <rPr>
        <sz val="11"/>
        <color rgb="FF000000"/>
        <rFont val="Calibri"/>
      </rPr>
      <t xml:space="preserve">
</t>
    </r>
    <r>
      <rPr>
        <sz val="11"/>
        <color rgb="FF000000"/>
        <rFont val="Calibri"/>
      </rPr>
      <t>- Description</t>
    </r>
    <r>
      <rPr>
        <sz val="11"/>
        <color rgb="FF000000"/>
        <rFont val="Calibri"/>
      </rPr>
      <t xml:space="preserve">
</t>
    </r>
    <r>
      <rPr>
        <sz val="11"/>
        <color rgb="FF000000"/>
        <rFont val="Calibri"/>
      </rPr>
      <t>- IP Address</t>
    </r>
    <r>
      <rPr>
        <sz val="11"/>
        <color rgb="FF000000"/>
        <rFont val="Calibri"/>
      </rPr>
      <t xml:space="preserve">
</t>
    </r>
    <r>
      <rPr>
        <sz val="11"/>
        <color rgb="FF000000"/>
        <rFont val="Calibri"/>
      </rPr>
      <t>- Port</t>
    </r>
    <r>
      <rPr>
        <sz val="11"/>
        <color rgb="FF000000"/>
        <rFont val="Calibri"/>
      </rPr>
      <t xml:space="preserve">
</t>
    </r>
    <r>
      <rPr>
        <sz val="11"/>
        <color rgb="FF000000"/>
        <rFont val="Calibri"/>
      </rPr>
      <t>- Facility Code</t>
    </r>
    <r>
      <rPr>
        <sz val="11"/>
        <color rgb="FF000000"/>
        <rFont val="Calibri"/>
      </rPr>
      <t xml:space="preserve">
</t>
    </r>
    <r>
      <rPr>
        <sz val="11"/>
        <color rgb="FF000000"/>
        <rFont val="Calibri"/>
      </rPr>
      <t>- Maximum Length</t>
    </r>
    <r>
      <rPr>
        <sz val="11"/>
        <color rgb="FF000000"/>
        <rFont val="Calibri"/>
      </rPr>
      <t xml:space="preserve">
</t>
    </r>
    <r>
      <rPr>
        <sz val="11"/>
        <color rgb="FF000000"/>
        <rFont val="Calibri"/>
      </rPr>
      <t>4. Click "Save".</t>
    </r>
    <r>
      <rPr>
        <sz val="11"/>
        <color rgb="FF000000"/>
        <rFont val="Calibri"/>
      </rPr>
      <t xml:space="preserve">
</t>
    </r>
    <r>
      <rPr>
        <sz val="11"/>
        <color rgb="FF000000"/>
        <rFont val="Calibri"/>
      </rPr>
      <t>The updating of the selected Log Collector is completed.</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</si>
  <si>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Storing audit logs to a different system than that being audited is a common process in information systems with limited audit storage capacity.</t>
    </r>
  </si>
  <si>
    <t>V-242628</t>
  </si>
  <si>
    <r>
      <rPr>
        <sz val="11"/>
        <rFont val="Calibri"/>
      </rPr>
      <t>The Cisco ISE must send an alarm to one or more individuals when the monitoring collector process has an error or failure.</t>
    </r>
  </si>
  <si>
    <r>
      <rPr>
        <sz val="11"/>
        <color rgb="FF000000"/>
        <rFont val="Calibri"/>
      </rPr>
      <t>Configure Cisco ISE to notify one or more individuals when the monitoring collector process is unable to persist the audit logs generated from the policy service nodes.</t>
    </r>
    <r>
      <rPr>
        <sz val="11"/>
        <color rgb="FF000000"/>
        <rFont val="Calibri"/>
      </rPr>
      <t xml:space="preserve">
</t>
    </r>
    <r>
      <rPr>
        <sz val="11"/>
        <color rgb="FF000000"/>
        <rFont val="Calibri"/>
      </rPr>
      <t>1. Choose Administration &gt;&gt; System &gt;&gt; Settings &gt;&gt; Alarm Settings.</t>
    </r>
    <r>
      <rPr>
        <sz val="11"/>
        <color rgb="FF000000"/>
        <rFont val="Calibri"/>
      </rPr>
      <t xml:space="preserve">
</t>
    </r>
    <r>
      <rPr>
        <sz val="11"/>
        <color rgb="FF000000"/>
        <rFont val="Calibri"/>
      </rPr>
      <t>2. Select "Log Collector Error" from the list of default alarms and click "Edit".</t>
    </r>
    <r>
      <rPr>
        <sz val="11"/>
        <color rgb="FF000000"/>
        <rFont val="Calibri"/>
      </rPr>
      <t xml:space="preserve">
</t>
    </r>
    <r>
      <rPr>
        <sz val="11"/>
        <color rgb="FF000000"/>
        <rFont val="Calibri"/>
      </rPr>
      <t>3. Select "Enable".</t>
    </r>
    <r>
      <rPr>
        <sz val="11"/>
        <color rgb="FF000000"/>
        <rFont val="Calibri"/>
      </rPr>
      <t xml:space="preserve">
</t>
    </r>
    <r>
      <rPr>
        <sz val="11"/>
        <color rgb="FF000000"/>
        <rFont val="Calibri"/>
      </rPr>
      <t>4. Select "Enter Multiple Emails Separated with Comma".</t>
    </r>
    <r>
      <rPr>
        <sz val="11"/>
        <color rgb="FF000000"/>
        <rFont val="Calibri"/>
      </rPr>
      <t xml:space="preserve">
</t>
    </r>
    <r>
      <rPr>
        <sz val="11"/>
        <color rgb="FF000000"/>
        <rFont val="Calibri"/>
      </rPr>
      <t>5. Configure email addresses of individuals to be notified.</t>
    </r>
    <r>
      <rPr>
        <sz val="11"/>
        <color rgb="FF000000"/>
        <rFont val="Calibri"/>
      </rPr>
      <t xml:space="preserve">
</t>
    </r>
    <r>
      <rPr>
        <sz val="11"/>
        <color rgb="FF000000"/>
        <rFont val="Calibri"/>
      </rPr>
      <t>6. Click "Submit".</t>
    </r>
  </si>
  <si>
    <r>
      <rPr>
        <sz val="11"/>
        <color rgb="FF000000"/>
        <rFont val="Calibri"/>
      </rPr>
      <t xml:space="preserve">It is critical for the appropriate personnel to be aware if a system is at risk of failing to process audit logs as required. Without an alert, security personnel may be unaware of an impending failure of the audit capability and system operation may be adversely affected. </t>
    </r>
    <r>
      <rPr>
        <sz val="11"/>
        <color rgb="FF000000"/>
        <rFont val="Calibri"/>
      </rPr>
      <t xml:space="preserve">
</t>
    </r>
    <r>
      <rPr>
        <sz val="11"/>
        <color rgb="FF000000"/>
        <rFont val="Calibri"/>
      </rPr>
      <t>Cisco ISE provides system alarms which notify the administrator when critical system condition occurs. Alarms are displayed in the Alarm dashlet. Administrators can configured the dashlet to receive notification of alarms through e-mail and/or syslog messages.</t>
    </r>
    <r>
      <rPr>
        <sz val="11"/>
        <color rgb="FF000000"/>
        <rFont val="Calibri"/>
      </rPr>
      <t xml:space="preserve">
</t>
    </r>
    <r>
      <rPr>
        <sz val="11"/>
        <color rgb="FF000000"/>
        <rFont val="Calibri"/>
      </rPr>
      <t>SNMP alerts may also be used to fulfill this requirement.</t>
    </r>
  </si>
  <si>
    <r>
      <rPr>
        <sz val="11"/>
        <color rgb="FF000000"/>
        <rFont val="Calibri"/>
      </rPr>
      <t>Verify the Cisco ISE notifies one or more individuals when the monitoring collector process is unable to persist the audit logs generated from the policy service nodes.</t>
    </r>
    <r>
      <rPr>
        <sz val="11"/>
        <color rgb="FF000000"/>
        <rFont val="Calibri"/>
      </rPr>
      <t xml:space="preserve">
</t>
    </r>
    <r>
      <rPr>
        <sz val="11"/>
        <color rgb="FF000000"/>
        <rFont val="Calibri"/>
      </rPr>
      <t>1. Choose Administration &gt;&gt; System &gt;&gt; Settings &gt;&gt; Alarm Settings.</t>
    </r>
    <r>
      <rPr>
        <sz val="11"/>
        <color rgb="FF000000"/>
        <rFont val="Calibri"/>
      </rPr>
      <t xml:space="preserve">
</t>
    </r>
    <r>
      <rPr>
        <sz val="11"/>
        <color rgb="FF000000"/>
        <rFont val="Calibri"/>
      </rPr>
      <t>2. Select "Log Collector Error" from the list of default alarms and click "Edit".</t>
    </r>
    <r>
      <rPr>
        <sz val="11"/>
        <color rgb="FF000000"/>
        <rFont val="Calibri"/>
      </rPr>
      <t xml:space="preserve">
</t>
    </r>
    <r>
      <rPr>
        <sz val="11"/>
        <color rgb="FF000000"/>
        <rFont val="Calibri"/>
      </rPr>
      <t>3. Verify that "Enable" is selected.</t>
    </r>
    <r>
      <rPr>
        <sz val="11"/>
        <color rgb="FF000000"/>
        <rFont val="Calibri"/>
      </rPr>
      <t xml:space="preserve">
</t>
    </r>
    <r>
      <rPr>
        <sz val="11"/>
        <color rgb="FF000000"/>
        <rFont val="Calibri"/>
      </rPr>
      <t>4. Select "Enter Multiple Emails Separated with Comma".</t>
    </r>
    <r>
      <rPr>
        <sz val="11"/>
        <color rgb="FF000000"/>
        <rFont val="Calibri"/>
      </rPr>
      <t xml:space="preserve">
</t>
    </r>
    <r>
      <rPr>
        <sz val="11"/>
        <color rgb="FF000000"/>
        <rFont val="Calibri"/>
      </rPr>
      <t>5. Verify one or more email addresses are configured.</t>
    </r>
    <r>
      <rPr>
        <sz val="11"/>
        <color rgb="FF000000"/>
        <rFont val="Calibri"/>
      </rPr>
      <t xml:space="preserve">
</t>
    </r>
    <r>
      <rPr>
        <sz val="11"/>
        <color rgb="FF000000"/>
        <rFont val="Calibri"/>
      </rPr>
      <t>If "Log Collector Error" alarm type is not enabled or email addresses are not configured to receive the alert, this is a finding.</t>
    </r>
  </si>
  <si>
    <t>V-242629</t>
  </si>
  <si>
    <r>
      <rPr>
        <sz val="11"/>
        <rFont val="Calibri"/>
      </rPr>
      <t>The Cisco ISE must be configured to synchronize internal information system clocks using redundant authoritative time sources.</t>
    </r>
  </si>
  <si>
    <r>
      <rPr>
        <sz val="11"/>
        <color rgb="FF000000"/>
        <rFont val="Calibri"/>
      </rPr>
      <t>1. Choose Administration &gt;&gt; System &gt;&gt; Settings &gt;&gt; System Time.</t>
    </r>
    <r>
      <rPr>
        <sz val="11"/>
        <color rgb="FF000000"/>
        <rFont val="Calibri"/>
      </rPr>
      <t xml:space="preserve">
</t>
    </r>
    <r>
      <rPr>
        <sz val="11"/>
        <color rgb="FF000000"/>
        <rFont val="Calibri"/>
      </rPr>
      <t>2. Enter unique IP addresses (IPv4/IPv6/FQDN) for the NTP servers.</t>
    </r>
    <r>
      <rPr>
        <sz val="11"/>
        <color rgb="FF000000"/>
        <rFont val="Calibri"/>
      </rPr>
      <t xml:space="preserve">
</t>
    </r>
    <r>
      <rPr>
        <sz val="11"/>
        <color rgb="FF000000"/>
        <rFont val="Calibri"/>
      </rPr>
      <t>3. Configure redundant NTP server addresses.</t>
    </r>
    <r>
      <rPr>
        <sz val="11"/>
        <color rgb="FF000000"/>
        <rFont val="Calibri"/>
      </rPr>
      <t xml:space="preserve">
</t>
    </r>
    <r>
      <rPr>
        <sz val="11"/>
        <color rgb="FF000000"/>
        <rFont val="Calibri"/>
      </rPr>
      <t>Note: If authentication settings are no longer available, then a DOD-approved solution must be used. Use of MD5 results in a CAT 2 (CSCO-NM-000390) finding since NTP authentication is required. DOD-approved solutions consist of a combination of a primary and secondary time source using a combination or multiple instances of the following: a time server designated for the appropriate DOD network (NIPRNet/SIPRNet); United States Naval Observatory (USNO) time servers; and/or the Global Positioning System (GPS). The secondary time source must be located in a different geographic region than the primary time source.</t>
    </r>
  </si>
  <si>
    <r>
      <rPr>
        <sz val="11"/>
        <color rgb="FF000000"/>
        <rFont val="Calibri"/>
      </rPr>
      <t xml:space="preserve">The loss of connectivity to a particular authoritative time source will result in the loss of time synchronization (free-run mode) and increasingly inaccurate time stamps on audit events and other functions. </t>
    </r>
    <r>
      <rPr>
        <sz val="11"/>
        <color rgb="FF000000"/>
        <rFont val="Calibri"/>
      </rPr>
      <t xml:space="preserve">
</t>
    </r>
    <r>
      <rPr>
        <sz val="11"/>
        <color rgb="FF000000"/>
        <rFont val="Calibri"/>
      </rPr>
      <t>Multiple time sources provide redundancy by including a secondary source. Time synchronization is usually a hierarchy; clients synchronize time to a local source while that source synchronizes its time to a more accurate source. The network device must utilize an authoritative time server and/or be configured to use redundant authoritative time sources. This requirement is related to the comparison done in CCI-001891.</t>
    </r>
    <r>
      <rPr>
        <sz val="11"/>
        <color rgb="FF000000"/>
        <rFont val="Calibri"/>
      </rPr>
      <t xml:space="preserve">
</t>
    </r>
    <r>
      <rPr>
        <sz val="11"/>
        <color rgb="FF000000"/>
        <rFont val="Calibri"/>
      </rPr>
      <t>DOD-approved solutions consist of a combination of a primary and secondary time source using a combination or multiple instances of the following: a time server designated for the appropriate DOD network (NIPRNet/SIPRNet); United States Naval Observatory (USNO) time servers; and/or the Global Positioning System (GPS). The secondary time source must be located in a different geographic region than the primary time source.</t>
    </r>
  </si>
  <si>
    <r>
      <rPr>
        <sz val="11"/>
        <color rgb="FF000000"/>
        <rFont val="Calibri"/>
      </rPr>
      <t>1. View the status of the Network Translation Protocol (NTP) associations.</t>
    </r>
    <r>
      <rPr>
        <sz val="11"/>
        <color rgb="FF000000"/>
        <rFont val="Calibri"/>
      </rPr>
      <t xml:space="preserve">
</t>
    </r>
    <r>
      <rPr>
        <sz val="11"/>
        <color rgb="FF000000"/>
        <rFont val="Calibri"/>
      </rPr>
      <t>show ntp</t>
    </r>
    <r>
      <rPr>
        <sz val="11"/>
        <color rgb="FF000000"/>
        <rFont val="Calibri"/>
      </rPr>
      <t xml:space="preserve">
</t>
    </r>
    <r>
      <rPr>
        <sz val="11"/>
        <color rgb="FF000000"/>
        <rFont val="Calibri"/>
      </rPr>
      <t>2. Verify a primary and secondary ntp server address is configured.</t>
    </r>
    <r>
      <rPr>
        <sz val="11"/>
        <color rgb="FF000000"/>
        <rFont val="Calibri"/>
      </rPr>
      <t xml:space="preserve">
</t>
    </r>
    <r>
      <rPr>
        <sz val="11"/>
        <color rgb="FF000000"/>
        <rFont val="Calibri"/>
      </rPr>
      <t>If the Cisco ISE is not configured to synchronize internal information system clocks using redundant authoritative time sources, this is a finding.</t>
    </r>
  </si>
  <si>
    <t>V-242630</t>
  </si>
  <si>
    <r>
      <rPr>
        <sz val="11"/>
        <rFont val="Calibri"/>
      </rPr>
      <t>The Cisco ISE must record time stamps for audit records that can be mapped to Coordinated Universal Time (UTC).</t>
    </r>
  </si>
  <si>
    <r>
      <rPr>
        <sz val="11"/>
        <color rgb="FF000000"/>
        <rFont val="Calibri"/>
      </rPr>
      <t>Change the clock to UTC using the CLI:</t>
    </r>
    <r>
      <rPr>
        <sz val="11"/>
        <color rgb="FF000000"/>
        <rFont val="Calibri"/>
      </rPr>
      <t xml:space="preserve">
</t>
    </r>
    <r>
      <rPr>
        <sz val="11"/>
        <color rgb="FF000000"/>
        <rFont val="Calibri"/>
      </rPr>
      <t>clock timezone UTC</t>
    </r>
    <r>
      <rPr>
        <sz val="11"/>
        <color rgb="FF000000"/>
        <rFont val="Calibri"/>
      </rPr>
      <t xml:space="preserve">
</t>
    </r>
    <r>
      <rPr>
        <sz val="11"/>
        <color rgb="FF000000"/>
        <rFont val="Calibri"/>
      </rPr>
      <t>Note: Sites may set the time zone to record time stamps in the local time zone (EDT) and then map to UTC.</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</si>
  <si>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Time stamps generated by the application include date and time. Time is commonly expressed in Coordinated Universal Time (UTC), a modern continuation of Greenwich Mean Time (GMT).</t>
    </r>
  </si>
  <si>
    <r>
      <rPr>
        <sz val="11"/>
        <color rgb="FF000000"/>
        <rFont val="Calibri"/>
      </rPr>
      <t>1. View the clock setting:</t>
    </r>
    <r>
      <rPr>
        <sz val="11"/>
        <color rgb="FF000000"/>
        <rFont val="Calibri"/>
      </rPr>
      <t xml:space="preserve">
</t>
    </r>
    <r>
      <rPr>
        <sz val="11"/>
        <color rgb="FF000000"/>
        <rFont val="Calibri"/>
      </rPr>
      <t>show clock</t>
    </r>
    <r>
      <rPr>
        <sz val="11"/>
        <color rgb="FF000000"/>
        <rFont val="Calibri"/>
      </rPr>
      <t xml:space="preserve">
</t>
    </r>
    <r>
      <rPr>
        <sz val="11"/>
        <color rgb="FF000000"/>
        <rFont val="Calibri"/>
      </rPr>
      <t>2. Verify the clock is set to use UTC.</t>
    </r>
    <r>
      <rPr>
        <sz val="11"/>
        <color rgb="FF000000"/>
        <rFont val="Calibri"/>
      </rPr>
      <t xml:space="preserve">
</t>
    </r>
    <r>
      <rPr>
        <sz val="11"/>
        <color rgb="FF000000"/>
        <rFont val="Calibri"/>
      </rPr>
      <t>If the Cisco ISE does not use UTC, this is a finding.</t>
    </r>
  </si>
  <si>
    <t>V-242632</t>
  </si>
  <si>
    <r>
      <rPr>
        <sz val="11"/>
        <rFont val="Calibri"/>
      </rPr>
      <t>The Cisco ISE must enforce access restrictions associated with changes to the firmware, OS, and hardware components.</t>
    </r>
  </si>
  <si>
    <r>
      <rPr>
        <sz val="11"/>
        <color rgb="FF000000"/>
        <rFont val="Calibri"/>
      </rPr>
      <t>1. Choose Administration &gt;&gt; System &gt;&gt; Admin Access &gt;&gt; Administrators &gt;&gt; Admin Groups.</t>
    </r>
    <r>
      <rPr>
        <sz val="11"/>
        <color rgb="FF000000"/>
        <rFont val="Calibri"/>
      </rPr>
      <t xml:space="preserve">
</t>
    </r>
    <r>
      <rPr>
        <sz val="11"/>
        <color rgb="FF000000"/>
        <rFont val="Calibri"/>
      </rPr>
      <t>2. Review the users for the groups with edit access such as Helpdesk Admin, Network Device Admin, SuperAdmin, and System Admin at a minimum.</t>
    </r>
    <r>
      <rPr>
        <sz val="11"/>
        <color rgb="FF000000"/>
        <rFont val="Calibri"/>
      </rPr>
      <t xml:space="preserve">
</t>
    </r>
    <r>
      <rPr>
        <sz val="11"/>
        <color rgb="FF000000"/>
        <rFont val="Calibri"/>
      </rPr>
      <t>3. To delete users from the admin group, check the check box corresponding to the user that you want to delete, and click "Remove".</t>
    </r>
    <r>
      <rPr>
        <sz val="11"/>
        <color rgb="FF000000"/>
        <rFont val="Calibri"/>
      </rPr>
      <t xml:space="preserve">
</t>
    </r>
    <r>
      <rPr>
        <sz val="11"/>
        <color rgb="FF000000"/>
        <rFont val="Calibri"/>
      </rPr>
      <t>4. Click "Submit".</t>
    </r>
  </si>
  <si>
    <r>
      <rPr>
        <sz val="11"/>
        <color rgb="FF000000"/>
        <rFont val="Calibri"/>
      </rPr>
      <t>Changes to the hardware or software components of the network device can have significant effects on the overall security of the network. Therefore, only qualified and authorized individuals should be allowed administrative access to the network device for implementing any changes or upgrades. This requirement applies to updates of the application files, configuration, ACLs, and policy filters.</t>
    </r>
    <r>
      <rPr>
        <sz val="11"/>
        <color rgb="FF000000"/>
        <rFont val="Calibri"/>
      </rPr>
      <t xml:space="preserve">
</t>
    </r>
    <r>
      <rPr>
        <sz val="11"/>
        <color rgb="FF000000"/>
        <rFont val="Calibri"/>
      </rPr>
      <t>RBAC policies determine if an administrator can be granted a specific type of access to a menu item or other identity group data elements. You can grant or deny access to a menu item or identity group data element to an administrator based on the admin group, by using RBAC policies. When administrators log in to the Admin portal, they can access menus and data that are based on the policies and permissions defined for the admin groups with which they are associated.</t>
    </r>
    <r>
      <rPr>
        <sz val="11"/>
        <color rgb="FF000000"/>
        <rFont val="Calibri"/>
      </rPr>
      <t xml:space="preserve">
</t>
    </r>
    <r>
      <rPr>
        <sz val="11"/>
        <color rgb="FF000000"/>
        <rFont val="Calibri"/>
      </rPr>
      <t>RBAC policies map admin groups to menu access and data access permissions. For example, you can prevent Access operations menu and the policy data elements. This can be achieved by creating a custom RBAC policy for the admin group with which that network administrator is associated.</t>
    </r>
  </si>
  <si>
    <r>
      <rPr>
        <sz val="11"/>
        <color rgb="FF000000"/>
        <rFont val="Calibri"/>
      </rPr>
      <t>Determine if groups with access such as Helpdesk Admin, Network Device Admin, SuperAdmin, and System Admin (at a minimum) are assigned unauthorized users.</t>
    </r>
    <r>
      <rPr>
        <sz val="11"/>
        <color rgb="FF000000"/>
        <rFont val="Calibri"/>
      </rPr>
      <t xml:space="preserve">
</t>
    </r>
    <r>
      <rPr>
        <sz val="11"/>
        <color rgb="FF000000"/>
        <rFont val="Calibri"/>
      </rPr>
      <t>1. Choose Administration &gt;&gt; System &gt;&gt; Admin Access &gt;&gt; Administrators &gt;&gt; Admin Groups.</t>
    </r>
    <r>
      <rPr>
        <sz val="11"/>
        <color rgb="FF000000"/>
        <rFont val="Calibri"/>
      </rPr>
      <t xml:space="preserve">
</t>
    </r>
    <r>
      <rPr>
        <sz val="11"/>
        <color rgb="FF000000"/>
        <rFont val="Calibri"/>
      </rPr>
      <t>2. Review the users for the groups with edit access such as Helpdesk Admin, Network Device Admin, SuperAdmin, and System Admin at a minimum.</t>
    </r>
    <r>
      <rPr>
        <sz val="11"/>
        <color rgb="FF000000"/>
        <rFont val="Calibri"/>
      </rPr>
      <t xml:space="preserve">
</t>
    </r>
    <r>
      <rPr>
        <sz val="11"/>
        <color rgb="FF000000"/>
        <rFont val="Calibri"/>
      </rPr>
      <t>If the Cisco ISE does not enforce access restrictions associated with changes to the firmware, OS, and hardware components, this is a finding.</t>
    </r>
  </si>
  <si>
    <t>V-242633</t>
  </si>
  <si>
    <r>
      <rPr>
        <sz val="11"/>
        <rFont val="Calibri"/>
      </rPr>
      <t>The Cisco ISE must be configured to use an external authentication server to authenticate administrators prior to granting administrative access.</t>
    </r>
  </si>
  <si>
    <r>
      <rPr>
        <sz val="11"/>
        <color rgb="FF000000"/>
        <rFont val="Calibri"/>
      </rPr>
      <t xml:space="preserve">Configure external authentication to a central AAA identity source. </t>
    </r>
    <r>
      <rPr>
        <sz val="11"/>
        <color rgb="FF000000"/>
        <rFont val="Calibri"/>
      </rPr>
      <t xml:space="preserve">
</t>
    </r>
    <r>
      <rPr>
        <sz val="11"/>
        <color rgb="FF000000"/>
        <rFont val="Calibri"/>
      </rPr>
      <t>Configure password-based authentication for administrators who authenticate using an external identity store such as Active Directory or LDAP.</t>
    </r>
    <r>
      <rPr>
        <sz val="11"/>
        <color rgb="FF000000"/>
        <rFont val="Calibri"/>
      </rPr>
      <t xml:space="preserve">
</t>
    </r>
    <r>
      <rPr>
        <sz val="11"/>
        <color rgb="FF000000"/>
        <rFont val="Calibri"/>
      </rPr>
      <t>1. Choose Administration &gt;&gt; System &gt;&gt; Admin Access &gt;&gt; Authentication.</t>
    </r>
    <r>
      <rPr>
        <sz val="11"/>
        <color rgb="FF000000"/>
        <rFont val="Calibri"/>
      </rPr>
      <t xml:space="preserve">
</t>
    </r>
    <r>
      <rPr>
        <sz val="11"/>
        <color rgb="FF000000"/>
        <rFont val="Calibri"/>
      </rPr>
      <t>2. On the Authentication Method tab, select Password Based and choose one of the external identity sources that was previously configured (for example, the Active Directory instance that was created).</t>
    </r>
    <r>
      <rPr>
        <sz val="11"/>
        <color rgb="FF000000"/>
        <rFont val="Calibri"/>
      </rPr>
      <t xml:space="preserve">
</t>
    </r>
    <r>
      <rPr>
        <sz val="11"/>
        <color rgb="FF000000"/>
        <rFont val="Calibri"/>
      </rPr>
      <t>3. Configure any other specific password policy settings for administrators who authenticate using an external identity store.</t>
    </r>
    <r>
      <rPr>
        <sz val="11"/>
        <color rgb="FF000000"/>
        <rFont val="Calibri"/>
      </rPr>
      <t xml:space="preserve">
</t>
    </r>
    <r>
      <rPr>
        <sz val="11"/>
        <color rgb="FF000000"/>
        <rFont val="Calibri"/>
      </rPr>
      <t>4. Click "Save".</t>
    </r>
    <r>
      <rPr>
        <sz val="11"/>
        <color rgb="FF000000"/>
        <rFont val="Calibri"/>
      </rPr>
      <t xml:space="preserve">
</t>
    </r>
    <r>
      <rPr>
        <sz val="11"/>
        <color rgb="FF000000"/>
        <rFont val="Calibri"/>
      </rPr>
      <t>Create an external Active Directory or LDAP administrator group. This ensures that Cisco ISE uses the username that is defined in the external Active Directory or LDAP identity store to validate the administrator username and password that was entered upon login.</t>
    </r>
    <r>
      <rPr>
        <sz val="11"/>
        <color rgb="FF000000"/>
        <rFont val="Calibri"/>
      </rPr>
      <t xml:space="preserve">
</t>
    </r>
    <r>
      <rPr>
        <sz val="11"/>
        <color rgb="FF000000"/>
        <rFont val="Calibri"/>
      </rPr>
      <t>Cisco ISE imports the Active Directory or LDAP group information from the external resource and stores it as a dictionary attribute. Specify that attribute as one of the policy elements when it is time to configure the RBAC policy for this external administrator authentication method.</t>
    </r>
    <r>
      <rPr>
        <sz val="11"/>
        <color rgb="FF000000"/>
        <rFont val="Calibri"/>
      </rPr>
      <t xml:space="preserve">
</t>
    </r>
    <r>
      <rPr>
        <sz val="11"/>
        <color rgb="FF000000"/>
        <rFont val="Calibri"/>
      </rPr>
      <t>1. Choose Administration &gt;&gt; System &gt;&gt; Admin Access &gt;&gt; Administrators &gt;&gt; Admin Groups.</t>
    </r>
    <r>
      <rPr>
        <sz val="11"/>
        <color rgb="FF000000"/>
        <rFont val="Calibri"/>
      </rPr>
      <t xml:space="preserve">
</t>
    </r>
    <r>
      <rPr>
        <sz val="11"/>
        <color rgb="FF000000"/>
        <rFont val="Calibri"/>
      </rPr>
      <t>2. Click "Add".</t>
    </r>
    <r>
      <rPr>
        <sz val="11"/>
        <color rgb="FF000000"/>
        <rFont val="Calibri"/>
      </rPr>
      <t xml:space="preserve">
</t>
    </r>
    <r>
      <rPr>
        <sz val="11"/>
        <color rgb="FF000000"/>
        <rFont val="Calibri"/>
      </rPr>
      <t>3. Enter a name and optional description.</t>
    </r>
    <r>
      <rPr>
        <sz val="11"/>
        <color rgb="FF000000"/>
        <rFont val="Calibri"/>
      </rPr>
      <t xml:space="preserve">
</t>
    </r>
    <r>
      <rPr>
        <sz val="11"/>
        <color rgb="FF000000"/>
        <rFont val="Calibri"/>
      </rPr>
      <t>4. Choose the "External" radio button.</t>
    </r>
    <r>
      <rPr>
        <sz val="11"/>
        <color rgb="FF000000"/>
        <rFont val="Calibri"/>
      </rPr>
      <t xml:space="preserve">
</t>
    </r>
    <r>
      <rPr>
        <sz val="11"/>
        <color rgb="FF000000"/>
        <rFont val="Calibri"/>
      </rPr>
      <t>5. From the External Groups drop-down list box, choose the Active Directory group to map for this external administrator group. Click the "+" sign to map additional Active Directory groups to this external administrator group.</t>
    </r>
    <r>
      <rPr>
        <sz val="11"/>
        <color rgb="FF000000"/>
        <rFont val="Calibri"/>
      </rPr>
      <t xml:space="preserve">
</t>
    </r>
    <r>
      <rPr>
        <sz val="11"/>
        <color rgb="FF000000"/>
        <rFont val="Calibri"/>
      </rPr>
      <t>6. Click "Save".</t>
    </r>
    <r>
      <rPr>
        <sz val="11"/>
        <color rgb="FF000000"/>
        <rFont val="Calibri"/>
      </rPr>
      <t xml:space="preserve">
</t>
    </r>
    <r>
      <rPr>
        <sz val="11"/>
        <color rgb="FF000000"/>
        <rFont val="Calibri"/>
      </rPr>
      <t>Configure menu access and data access permissions that can be assigned to the external administrator group.</t>
    </r>
    <r>
      <rPr>
        <sz val="11"/>
        <color rgb="FF000000"/>
        <rFont val="Calibri"/>
      </rPr>
      <t xml:space="preserve">
</t>
    </r>
    <r>
      <rPr>
        <sz val="11"/>
        <color rgb="FF000000"/>
        <rFont val="Calibri"/>
      </rPr>
      <t>1. Choose Administration &gt;&gt; System &gt;&gt; Admin Access &gt;&gt; Permissions.</t>
    </r>
    <r>
      <rPr>
        <sz val="11"/>
        <color rgb="FF000000"/>
        <rFont val="Calibri"/>
      </rPr>
      <t xml:space="preserve">
</t>
    </r>
    <r>
      <rPr>
        <sz val="11"/>
        <color rgb="FF000000"/>
        <rFont val="Calibri"/>
      </rPr>
      <t>2. Click one of the following:</t>
    </r>
    <r>
      <rPr>
        <sz val="11"/>
        <color rgb="FF000000"/>
        <rFont val="Calibri"/>
      </rPr>
      <t xml:space="preserve">
</t>
    </r>
    <r>
      <rPr>
        <sz val="11"/>
        <color rgb="FF000000"/>
        <rFont val="Calibri"/>
      </rPr>
      <t>- Menu Access - All administrators who belong to the external administrator group can be granted permission at the menu or submenu level. The menu access permission determines the menus or submenus that they can access.</t>
    </r>
    <r>
      <rPr>
        <sz val="11"/>
        <color rgb="FF000000"/>
        <rFont val="Calibri"/>
      </rPr>
      <t xml:space="preserve">
</t>
    </r>
    <r>
      <rPr>
        <sz val="11"/>
        <color rgb="FF000000"/>
        <rFont val="Calibri"/>
      </rPr>
      <t>- Data Access - All administrators who belong to the external administrator group can be granted permission at the data level. The data access permission determines the data that they can access.</t>
    </r>
    <r>
      <rPr>
        <sz val="11"/>
        <color rgb="FF000000"/>
        <rFont val="Calibri"/>
      </rPr>
      <t xml:space="preserve">
</t>
    </r>
    <r>
      <rPr>
        <sz val="11"/>
        <color rgb="FF000000"/>
        <rFont val="Calibri"/>
      </rPr>
      <t>3. Specify menu access or data access permissions for the external administrator group.</t>
    </r>
    <r>
      <rPr>
        <sz val="11"/>
        <color rgb="FF000000"/>
        <rFont val="Calibri"/>
      </rPr>
      <t xml:space="preserve">
</t>
    </r>
    <r>
      <rPr>
        <sz val="11"/>
        <color rgb="FF000000"/>
        <rFont val="Calibri"/>
      </rPr>
      <t>4. Click "Save".</t>
    </r>
    <r>
      <rPr>
        <sz val="11"/>
        <color rgb="FF000000"/>
        <rFont val="Calibri"/>
      </rPr>
      <t xml:space="preserve">
</t>
    </r>
    <r>
      <rPr>
        <sz val="11"/>
        <color rgb="FF000000"/>
        <rFont val="Calibri"/>
      </rPr>
      <t>In order to configure Cisco ISE to authenticate the administrator using an external identity store and to specify custom menu and data access permissions at the same time, configure a new RBAC policy. This policy must have the external administrator group for authentication and the Cisco ISE menu and data access permissions to manage the external authentication and authorization.</t>
    </r>
    <r>
      <rPr>
        <sz val="11"/>
        <color rgb="FF000000"/>
        <rFont val="Calibri"/>
      </rPr>
      <t xml:space="preserve">
</t>
    </r>
    <r>
      <rPr>
        <sz val="11"/>
        <color rgb="FF000000"/>
        <rFont val="Calibri"/>
      </rPr>
      <t>1. Choose Administration &gt;&gt; System &gt;&gt; Admin Access &gt;&gt; Authorization &gt;&gt; Policy.</t>
    </r>
    <r>
      <rPr>
        <sz val="11"/>
        <color rgb="FF000000"/>
        <rFont val="Calibri"/>
      </rPr>
      <t xml:space="preserve">
</t>
    </r>
    <r>
      <rPr>
        <sz val="11"/>
        <color rgb="FF000000"/>
        <rFont val="Calibri"/>
      </rPr>
      <t>2. Specify the rule name, external administrator group, and permissions. Remember that the appropriate external administrator group must be assigned to the correct administrator user IDs. Ensure the administrator in question is associated with the correct external administrator group.</t>
    </r>
    <r>
      <rPr>
        <sz val="11"/>
        <color rgb="FF000000"/>
        <rFont val="Calibri"/>
      </rPr>
      <t xml:space="preserve">
</t>
    </r>
    <r>
      <rPr>
        <sz val="11"/>
        <color rgb="FF000000"/>
        <rFont val="Calibri"/>
      </rPr>
      <t>3. Click "Save".</t>
    </r>
  </si>
  <si>
    <r>
      <rPr>
        <sz val="11"/>
        <color rgb="FF000000"/>
        <rFont val="Calibri"/>
      </rPr>
      <t>Centralized management of authentication settings increases the security of remote and nonlocal access methods. This control is particularly important protection against the insider threat. With robust centralized management, audit records for administrator account access to the organization's network devices can be more readily analyzed for trends and anomalies. The alternative method of defining administrator accounts on each device exposes the device configuration to remote access authentication attacks and system administrators with multiple authenticators for each network device.</t>
    </r>
    <r>
      <rPr>
        <sz val="11"/>
        <color rgb="FF000000"/>
        <rFont val="Calibri"/>
      </rPr>
      <t xml:space="preserve">
</t>
    </r>
    <r>
      <rPr>
        <sz val="11"/>
        <color rgb="FF000000"/>
        <rFont val="Calibri"/>
      </rPr>
      <t>Cisco ISE can connect with external identity sources such as Active Directory, LDAP, RADIUS Token, and RSA SecurID servers to obtain user information for authentication and authorization. External identity sources also include certificate authentication profiles needed for certificate-based authentications.</t>
    </r>
    <r>
      <rPr>
        <sz val="11"/>
        <color rgb="FF000000"/>
        <rFont val="Calibri"/>
      </rPr>
      <t xml:space="preserve">
</t>
    </r>
    <r>
      <rPr>
        <sz val="11"/>
        <color rgb="FF000000"/>
        <rFont val="Calibri"/>
      </rPr>
      <t>Configure external authentication to a central AAA identity source.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accounts defined in the external identity, create a password policy for the external administrator account stores. Then apply this policy to the external administrator groups that eventually become a part of the external administrator RBAC policy. In addition to providing authentication via an external identity store, the network may also require the use of a Common Access Card (CAC) authentication device.</t>
    </r>
    <r>
      <rPr>
        <sz val="11"/>
        <color rgb="FF000000"/>
        <rFont val="Calibri"/>
      </rPr>
      <t xml:space="preserve">
</t>
    </r>
    <r>
      <rPr>
        <sz val="11"/>
        <color rgb="FF000000"/>
        <rFont val="Calibri"/>
      </rPr>
      <t>To configure external authentication:</t>
    </r>
    <r>
      <rPr>
        <sz val="11"/>
        <color rgb="FF000000"/>
        <rFont val="Calibri"/>
      </rPr>
      <t xml:space="preserve">
</t>
    </r>
    <r>
      <rPr>
        <sz val="11"/>
        <color rgb="FF000000"/>
        <rFont val="Calibri"/>
      </rPr>
      <t>- Configure password-based authentication using an external identity store.</t>
    </r>
    <r>
      <rPr>
        <sz val="11"/>
        <color rgb="FF000000"/>
        <rFont val="Calibri"/>
      </rPr>
      <t xml:space="preserve">
</t>
    </r>
    <r>
      <rPr>
        <sz val="11"/>
        <color rgb="FF000000"/>
        <rFont val="Calibri"/>
      </rPr>
      <t>- Create an external administrator group.</t>
    </r>
    <r>
      <rPr>
        <sz val="11"/>
        <color rgb="FF000000"/>
        <rFont val="Calibri"/>
      </rPr>
      <t xml:space="preserve">
</t>
    </r>
    <r>
      <rPr>
        <sz val="11"/>
        <color rgb="FF000000"/>
        <rFont val="Calibri"/>
      </rPr>
      <t>- Configure menu access and data access permissions for the external administrator group.</t>
    </r>
    <r>
      <rPr>
        <sz val="11"/>
        <color rgb="FF000000"/>
        <rFont val="Calibri"/>
      </rPr>
      <t xml:space="preserve">
</t>
    </r>
    <r>
      <rPr>
        <sz val="11"/>
        <color rgb="FF000000"/>
        <rFont val="Calibri"/>
      </rPr>
      <t>- Create an RBAC policy for external administrator authentication.</t>
    </r>
  </si>
  <si>
    <r>
      <rPr>
        <sz val="11"/>
        <color rgb="FF000000"/>
        <rFont val="Calibri"/>
      </rPr>
      <t>Verify an external authentication identity source is configured.</t>
    </r>
    <r>
      <rPr>
        <sz val="11"/>
        <color rgb="FF000000"/>
        <rFont val="Calibri"/>
      </rPr>
      <t xml:space="preserve">
</t>
    </r>
    <r>
      <rPr>
        <sz val="11"/>
        <color rgb="FF000000"/>
        <rFont val="Calibri"/>
      </rPr>
      <t>1. Choose Administration &gt;&gt; System &gt;&gt; Admin Access &gt;&gt; Administrators &gt;&gt; Admin Groups.</t>
    </r>
    <r>
      <rPr>
        <sz val="11"/>
        <color rgb="FF000000"/>
        <rFont val="Calibri"/>
      </rPr>
      <t xml:space="preserve">
</t>
    </r>
    <r>
      <rPr>
        <sz val="11"/>
        <color rgb="FF000000"/>
        <rFont val="Calibri"/>
      </rPr>
      <t>2. View the External Group configuration.</t>
    </r>
    <r>
      <rPr>
        <sz val="11"/>
        <color rgb="FF000000"/>
        <rFont val="Calibri"/>
      </rPr>
      <t xml:space="preserve">
</t>
    </r>
    <r>
      <rPr>
        <sz val="11"/>
        <color rgb="FF000000"/>
        <rFont val="Calibri"/>
      </rPr>
      <t>If the Cisco ISE is not configured to use an external authentication server to authenticate administrators prior to granting administrative access, this is a finding.</t>
    </r>
  </si>
  <si>
    <t>V-242634</t>
  </si>
  <si>
    <r>
      <rPr>
        <sz val="11"/>
        <rFont val="Calibri"/>
      </rPr>
      <t>The Cisco ISE must be running an operating system release that is currently supported by the vendor.</t>
    </r>
  </si>
  <si>
    <r>
      <rPr>
        <sz val="11"/>
        <color rgb="FF000000"/>
        <rFont val="Calibri"/>
      </rPr>
      <t>Install the latest approved update of the CISCO ADE-OS software.</t>
    </r>
    <r>
      <rPr>
        <sz val="11"/>
        <color rgb="FF000000"/>
        <rFont val="Calibri"/>
      </rPr>
      <t xml:space="preserve">
</t>
    </r>
    <r>
      <rPr>
        <sz val="11"/>
        <color rgb="FF000000"/>
        <rFont val="Calibri"/>
      </rPr>
      <t>1. Click the "Upgrade" tab in the Admin portal.</t>
    </r>
    <r>
      <rPr>
        <sz val="11"/>
        <color rgb="FF000000"/>
        <rFont val="Calibri"/>
      </rPr>
      <t xml:space="preserve">
</t>
    </r>
    <r>
      <rPr>
        <sz val="11"/>
        <color rgb="FF000000"/>
        <rFont val="Calibri"/>
      </rPr>
      <t>2. Click "Proceed". The Review Checklist window appears. Read the instructions carefully.</t>
    </r>
    <r>
      <rPr>
        <sz val="11"/>
        <color rgb="FF000000"/>
        <rFont val="Calibri"/>
      </rPr>
      <t xml:space="preserve">
</t>
    </r>
    <r>
      <rPr>
        <sz val="11"/>
        <color rgb="FF000000"/>
        <rFont val="Calibri"/>
      </rPr>
      <t>3. Check the "I have reviewed the checklist" check box, and click "Continue".</t>
    </r>
  </si>
  <si>
    <r>
      <rPr>
        <sz val="11"/>
        <color rgb="FF000000"/>
        <rFont val="Calibri"/>
      </rPr>
      <t>Network devices running an unsupported operating system lack current security fixes required to mitigate the risks associated with recent vulnerabilities.</t>
    </r>
    <r>
      <rPr>
        <sz val="11"/>
        <color rgb="FF000000"/>
        <rFont val="Calibri"/>
      </rPr>
      <t xml:space="preserve">
</t>
    </r>
    <r>
      <rPr>
        <sz val="11"/>
        <color rgb="FF000000"/>
        <rFont val="Calibri"/>
      </rPr>
      <t>The recommended best practice is for the organization to implement a patch management process for Junos OS. The process should involve testing and verification of the authenticity of vendor-provided updated. These files are then placed into a repository which is protected by access, confidentiality, and integrity control. System administrators can then initiate firmware/software updates by pointing the device to this repository. There is no need for the device to perform additional certificate verification.</t>
    </r>
  </si>
  <si>
    <r>
      <rPr>
        <sz val="11"/>
        <color rgb="FF000000"/>
        <rFont val="Calibri"/>
      </rPr>
      <t>To display information about the software version, type the following at the CLI:</t>
    </r>
    <r>
      <rPr>
        <sz val="11"/>
        <color rgb="FF000000"/>
        <rFont val="Calibri"/>
      </rPr>
      <t xml:space="preserve">
</t>
    </r>
    <r>
      <rPr>
        <sz val="11"/>
        <color rgb="FF000000"/>
        <rFont val="Calibri"/>
      </rPr>
      <t>show version</t>
    </r>
    <r>
      <rPr>
        <sz val="11"/>
        <color rgb="FF000000"/>
        <rFont val="Calibri"/>
      </rPr>
      <t xml:space="preserve">
</t>
    </r>
    <r>
      <rPr>
        <sz val="11"/>
        <color rgb="FF000000"/>
        <rFont val="Calibri"/>
      </rPr>
      <t>View details about the installed version of Cisco ADE-OS software running in the Cisco ISE server and also the Cisco ISE version.</t>
    </r>
    <r>
      <rPr>
        <sz val="11"/>
        <color rgb="FF000000"/>
        <rFont val="Calibri"/>
      </rPr>
      <t xml:space="preserve">
</t>
    </r>
    <r>
      <rPr>
        <sz val="11"/>
        <color rgb="FF000000"/>
        <rFont val="Calibri"/>
      </rPr>
      <t>If the Cisco ISE is not running an operating system release that is currently supported by the vendor, this is a finding.</t>
    </r>
  </si>
  <si>
    <t>V-242636</t>
  </si>
  <si>
    <r>
      <rPr>
        <sz val="11"/>
        <rFont val="Calibri"/>
      </rPr>
      <t>The Cisco ISE must generate log records for a locally developed list of auditable events.</t>
    </r>
  </si>
  <si>
    <r>
      <rPr>
        <sz val="11"/>
        <color rgb="FF000000"/>
        <rFont val="Calibri"/>
      </rPr>
      <t>Enable logging categories for Cisco ISE to send auditable events to the remote syslog target.</t>
    </r>
    <r>
      <rPr>
        <sz val="11"/>
        <color rgb="FF000000"/>
        <rFont val="Calibri"/>
      </rPr>
      <t xml:space="preserve">
</t>
    </r>
    <r>
      <rPr>
        <sz val="11"/>
        <color rgb="FF000000"/>
        <rFont val="Calibri"/>
      </rPr>
      <t>1. Log in to the Admin portal.</t>
    </r>
    <r>
      <rPr>
        <sz val="11"/>
        <color rgb="FF000000"/>
        <rFont val="Calibri"/>
      </rPr>
      <t xml:space="preserve">
</t>
    </r>
    <r>
      <rPr>
        <sz val="11"/>
        <color rgb="FF000000"/>
        <rFont val="Calibri"/>
      </rPr>
      <t>2. Choose Administration &gt;&gt; System &gt;&gt; Logging &gt;&gt; Logging Categories.</t>
    </r>
    <r>
      <rPr>
        <sz val="11"/>
        <color rgb="FF000000"/>
        <rFont val="Calibri"/>
      </rPr>
      <t xml:space="preserve">
</t>
    </r>
    <r>
      <rPr>
        <sz val="11"/>
        <color rgb="FF000000"/>
        <rFont val="Calibri"/>
      </rPr>
      <t>3. Click the radio button next to the desired logging category that pertains to the local list of auditable events and then click "Edit".</t>
    </r>
    <r>
      <rPr>
        <sz val="11"/>
        <color rgb="FF000000"/>
        <rFont val="Calibri"/>
      </rPr>
      <t xml:space="preserve">
</t>
    </r>
    <r>
      <rPr>
        <sz val="11"/>
        <color rgb="FF000000"/>
        <rFont val="Calibri"/>
      </rPr>
      <t>4. Choose the Log Severity Level drop-down list.</t>
    </r>
    <r>
      <rPr>
        <sz val="11"/>
        <color rgb="FF000000"/>
        <rFont val="Calibri"/>
      </rPr>
      <t xml:space="preserve">
</t>
    </r>
    <r>
      <rPr>
        <sz val="11"/>
        <color rgb="FF000000"/>
        <rFont val="Calibri"/>
      </rPr>
      <t>5. In the Targets field, move the syslog remote logging target to the Selected box.</t>
    </r>
    <r>
      <rPr>
        <sz val="11"/>
        <color rgb="FF000000"/>
        <rFont val="Calibri"/>
      </rPr>
      <t xml:space="preserve">
</t>
    </r>
    <r>
      <rPr>
        <sz val="11"/>
        <color rgb="FF000000"/>
        <rFont val="Calibri"/>
      </rPr>
      <t>6. Click "Save".</t>
    </r>
    <r>
      <rPr>
        <sz val="11"/>
        <color rgb="FF000000"/>
        <rFont val="Calibri"/>
      </rPr>
      <t xml:space="preserve">
</t>
    </r>
    <r>
      <rPr>
        <sz val="11"/>
        <color rgb="FF000000"/>
        <rFont val="Calibri"/>
      </rPr>
      <t>7. Repeat this procedure to enable all locally logging categories that pertain to the local list of auditable events.</t>
    </r>
  </si>
  <si>
    <r>
      <rPr>
        <sz val="11"/>
        <color rgb="FF000000"/>
        <rFont val="Calibri"/>
      </rPr>
      <t>Logging the actions of specific events provides a means to investigate an attack; to recognize resource utilization or capacity thresholds; or to identify an improperly configured network device. If auditing is not comprehensive, it will not be useful for intrusion monitoring, security investigations, and forensic analysis.</t>
    </r>
    <r>
      <rPr>
        <sz val="11"/>
        <color rgb="FF000000"/>
        <rFont val="Calibri"/>
      </rPr>
      <t xml:space="preserve">
</t>
    </r>
    <r>
      <rPr>
        <sz val="11"/>
        <color rgb="FF000000"/>
        <rFont val="Calibri"/>
      </rPr>
      <t>In Cisco ISE a logging category is a bundle of message codes that describe a function, a flow, or a use case. In Cisco ISE, each log is associated with a message code that is bundled with the logging categories according to the log message content. Logging categories help describe the content of the messages that they contain.</t>
    </r>
    <r>
      <rPr>
        <sz val="11"/>
        <color rgb="FF000000"/>
        <rFont val="Calibri"/>
      </rPr>
      <t xml:space="preserve">
</t>
    </r>
    <r>
      <rPr>
        <sz val="11"/>
        <color rgb="FF000000"/>
        <rFont val="Calibri"/>
      </rPr>
      <t>Logging categories promote logging configuration. Each category has a name, target, and severity level that you can set, as per your application requirement.</t>
    </r>
    <r>
      <rPr>
        <sz val="11"/>
        <color rgb="FF000000"/>
        <rFont val="Calibri"/>
      </rPr>
      <t xml:space="preserve">
</t>
    </r>
    <r>
      <rPr>
        <sz val="11"/>
        <color rgb="FF000000"/>
        <rFont val="Calibri"/>
      </rPr>
      <t>Cisco ISE provides predefined logging categories for services, such as Posture, Profiler, Guest, AAA (authentication, authorization, and accounting), and so on, to which you can assign log targets.</t>
    </r>
  </si>
  <si>
    <r>
      <rPr>
        <sz val="11"/>
        <color rgb="FF000000"/>
        <rFont val="Calibri"/>
      </rPr>
      <t>View the SSP syslog requirements. View the logging categories for Cisco ISE to verify the logging categories that pertain to the corresponding locally developed list of auditable events are enabled, configured, and being sent to the remote syslog target.</t>
    </r>
    <r>
      <rPr>
        <sz val="11"/>
        <color rgb="FF000000"/>
        <rFont val="Calibri"/>
      </rPr>
      <t xml:space="preserve">
</t>
    </r>
    <r>
      <rPr>
        <sz val="11"/>
        <color rgb="FF000000"/>
        <rFont val="Calibri"/>
      </rPr>
      <t>1. Log in to the Admin portal.</t>
    </r>
    <r>
      <rPr>
        <sz val="11"/>
        <color rgb="FF000000"/>
        <rFont val="Calibri"/>
      </rPr>
      <t xml:space="preserve">
</t>
    </r>
    <r>
      <rPr>
        <sz val="11"/>
        <color rgb="FF000000"/>
        <rFont val="Calibri"/>
      </rPr>
      <t>2. Choose Administration &gt;&gt; System &gt;&gt; Logging &gt;&gt; Logging Categories.</t>
    </r>
    <r>
      <rPr>
        <sz val="11"/>
        <color rgb="FF000000"/>
        <rFont val="Calibri"/>
      </rPr>
      <t xml:space="preserve">
</t>
    </r>
    <r>
      <rPr>
        <sz val="11"/>
        <color rgb="FF000000"/>
        <rFont val="Calibri"/>
      </rPr>
      <t>3. Click the radio button next to the desired logging category that pertains to the local list of auditable events and then click "Edit".</t>
    </r>
    <r>
      <rPr>
        <sz val="11"/>
        <color rgb="FF000000"/>
        <rFont val="Calibri"/>
      </rPr>
      <t xml:space="preserve">
</t>
    </r>
    <r>
      <rPr>
        <sz val="11"/>
        <color rgb="FF000000"/>
        <rFont val="Calibri"/>
      </rPr>
      <t>4. Choose the Log Severity Level drop-down list.</t>
    </r>
    <r>
      <rPr>
        <sz val="11"/>
        <color rgb="FF000000"/>
        <rFont val="Calibri"/>
      </rPr>
      <t xml:space="preserve">
</t>
    </r>
    <r>
      <rPr>
        <sz val="11"/>
        <color rgb="FF000000"/>
        <rFont val="Calibri"/>
      </rPr>
      <t>5. In the Targets field, move the secure syslog remote logging target to the Selected box.</t>
    </r>
    <r>
      <rPr>
        <sz val="11"/>
        <color rgb="FF000000"/>
        <rFont val="Calibri"/>
      </rPr>
      <t xml:space="preserve">
</t>
    </r>
    <r>
      <rPr>
        <sz val="11"/>
        <color rgb="FF000000"/>
        <rFont val="Calibri"/>
      </rPr>
      <t>6. Click "Save".</t>
    </r>
    <r>
      <rPr>
        <sz val="11"/>
        <color rgb="FF000000"/>
        <rFont val="Calibri"/>
      </rPr>
      <t xml:space="preserve">
</t>
    </r>
    <r>
      <rPr>
        <sz val="11"/>
        <color rgb="FF000000"/>
        <rFont val="Calibri"/>
      </rPr>
      <t>7. Repeat this procedure to enable all locally logging categories that pertain to the local list of auditable events.</t>
    </r>
    <r>
      <rPr>
        <sz val="11"/>
        <color rgb="FF000000"/>
        <rFont val="Calibri"/>
      </rPr>
      <t xml:space="preserve">
</t>
    </r>
    <r>
      <rPr>
        <sz val="11"/>
        <color rgb="FF000000"/>
        <rFont val="Calibri"/>
      </rPr>
      <t>If the Cisco ISE does not generate log records for a locally developed list of auditable events, this is a finding.</t>
    </r>
  </si>
  <si>
    <t>V-242638</t>
  </si>
  <si>
    <r>
      <rPr>
        <sz val="11"/>
        <rFont val="Calibri"/>
      </rPr>
      <t>The Cisco ISE must conduct configuration and operational backups when changes are made or must schedule backups weekly, at a minimum.</t>
    </r>
  </si>
  <si>
    <r>
      <rPr>
        <sz val="11"/>
        <color rgb="FF000000"/>
        <rFont val="Calibri"/>
      </rPr>
      <t xml:space="preserve">1. To configure a repository, navigate to Administration &gt;&gt; System &gt;&gt; Maintenance &gt; Repository. </t>
    </r>
    <r>
      <rPr>
        <sz val="11"/>
        <color rgb="FF000000"/>
        <rFont val="Calibri"/>
      </rPr>
      <t xml:space="preserve">
</t>
    </r>
    <r>
      <rPr>
        <sz val="11"/>
        <color rgb="FF000000"/>
        <rFont val="Calibri"/>
      </rPr>
      <t>2. Click "Add".</t>
    </r>
    <r>
      <rPr>
        <sz val="11"/>
        <color rgb="FF000000"/>
        <rFont val="Calibri"/>
      </rPr>
      <t xml:space="preserve">
</t>
    </r>
    <r>
      <rPr>
        <sz val="11"/>
        <color rgb="FF000000"/>
        <rFont val="Calibri"/>
      </rPr>
      <t>3. Provide a Repository Name and choose SFTP (recommended) or a secure protocol. Then enter Server Name, Path, User Name, and Password, and click "Submit". The repository must be on another device such as the syslog or SFTP server.</t>
    </r>
    <r>
      <rPr>
        <sz val="11"/>
        <color rgb="FF000000"/>
        <rFont val="Calibri"/>
      </rPr>
      <t xml:space="preserve">
</t>
    </r>
    <r>
      <rPr>
        <sz val="11"/>
        <color rgb="FF000000"/>
        <rFont val="Calibri"/>
      </rPr>
      <t>On-demand and/or scheduled configuration and operational data backups are as follows:</t>
    </r>
    <r>
      <rPr>
        <sz val="11"/>
        <color rgb="FF000000"/>
        <rFont val="Calibri"/>
      </rPr>
      <t xml:space="preserve">
</t>
    </r>
    <r>
      <rPr>
        <sz val="11"/>
        <color rgb="FF000000"/>
        <rFont val="Calibri"/>
      </rPr>
      <t>1. Navigate to Administration &gt;&gt; System &gt;&gt; Backup &amp; Restore.</t>
    </r>
    <r>
      <rPr>
        <sz val="11"/>
        <color rgb="FF000000"/>
        <rFont val="Calibri"/>
      </rPr>
      <t xml:space="preserve">
</t>
    </r>
    <r>
      <rPr>
        <sz val="11"/>
        <color rgb="FF000000"/>
        <rFont val="Calibri"/>
      </rPr>
      <t>2. Select "Configuration Data Backup".</t>
    </r>
    <r>
      <rPr>
        <sz val="11"/>
        <color rgb="FF000000"/>
        <rFont val="Calibri"/>
      </rPr>
      <t xml:space="preserve">
</t>
    </r>
    <r>
      <rPr>
        <sz val="11"/>
        <color rgb="FF000000"/>
        <rFont val="Calibri"/>
      </rPr>
      <t>3. Provide a Backup Repository Name, Encryption Key, and scheduling information in compliance with SSP.</t>
    </r>
    <r>
      <rPr>
        <sz val="11"/>
        <color rgb="FF000000"/>
        <rFont val="Calibri"/>
      </rPr>
      <t xml:space="preserve">
</t>
    </r>
    <r>
      <rPr>
        <sz val="11"/>
        <color rgb="FF000000"/>
        <rFont val="Calibri"/>
      </rPr>
      <t>4. Click "Backup".</t>
    </r>
    <r>
      <rPr>
        <sz val="11"/>
        <color rgb="FF000000"/>
        <rFont val="Calibri"/>
      </rPr>
      <t xml:space="preserve">
</t>
    </r>
    <r>
      <rPr>
        <sz val="11"/>
        <color rgb="FF000000"/>
        <rFont val="Calibri"/>
      </rPr>
      <t>5. Repeat steps with Step 2 being the Operational Data Backup option.</t>
    </r>
  </si>
  <si>
    <r>
      <rPr>
        <sz val="11"/>
        <color rgb="FF000000"/>
        <rFont val="Calibri"/>
      </rPr>
      <t>If this information is not backed up and a system failure was to occur, the security settings would be difficult to reconfigure quickly and accurately, thus increasing adverse impact of the outage. There are two types of ISE backups: Configuration backup and operational backup. This requirement pertains to the configuration. Since the administrator may forget to immediately backup each time changes are made, a scheduled weekly backup is a best practice and preferred. However, there may be operational impacts for the scheduling option that necessitate immediate backup after configuration changes method be used.</t>
    </r>
  </si>
  <si>
    <r>
      <rPr>
        <sz val="11"/>
        <color rgb="FF000000"/>
        <rFont val="Calibri"/>
      </rPr>
      <t xml:space="preserve">Review the SSP to see the site's network device backup policy. </t>
    </r>
    <r>
      <rPr>
        <sz val="11"/>
        <color rgb="FF000000"/>
        <rFont val="Calibri"/>
      </rPr>
      <t xml:space="preserve">
</t>
    </r>
    <r>
      <rPr>
        <sz val="11"/>
        <color rgb="FF000000"/>
        <rFont val="Calibri"/>
      </rPr>
      <t>1. Navigate to Administration &gt;&gt; System &gt;&gt; Backup and Restore.</t>
    </r>
    <r>
      <rPr>
        <sz val="11"/>
        <color rgb="FF000000"/>
        <rFont val="Calibri"/>
      </rPr>
      <t xml:space="preserve">
</t>
    </r>
    <r>
      <rPr>
        <sz val="11"/>
        <color rgb="FF000000"/>
        <rFont val="Calibri"/>
      </rPr>
      <t>2. Check the Cisco ISE backup log to verify regular backups are being performed.</t>
    </r>
    <r>
      <rPr>
        <sz val="11"/>
        <color rgb="FF000000"/>
        <rFont val="Calibri"/>
      </rPr>
      <t xml:space="preserve">
</t>
    </r>
    <r>
      <rPr>
        <sz val="11"/>
        <color rgb="FF000000"/>
        <rFont val="Calibri"/>
      </rPr>
      <t>If configuration and operational backups are not being performed when changes are made and/or scheduled weekly (at a minimum), this is a finding.</t>
    </r>
  </si>
  <si>
    <t>V-242639</t>
  </si>
  <si>
    <r>
      <rPr>
        <sz val="11"/>
        <rFont val="Calibri"/>
      </rPr>
      <t>The Cisco ISE must use DoD-approved PKI rather than proprietary or self-signed device certificates.</t>
    </r>
  </si>
  <si>
    <r>
      <rPr>
        <sz val="11"/>
        <color rgb="FF000000"/>
        <rFont val="Calibri"/>
      </rPr>
      <t>Replace the self-signed certificate with a CA-signed certificates for greater security. To obtain a CA-signed certificate:</t>
    </r>
    <r>
      <rPr>
        <sz val="11"/>
        <color rgb="FF000000"/>
        <rFont val="Calibri"/>
      </rPr>
      <t xml:space="preserve">
</t>
    </r>
    <r>
      <rPr>
        <sz val="11"/>
        <color rgb="FF000000"/>
        <rFont val="Calibri"/>
      </rPr>
      <t>A. Generate a certificate signing request (CSR) to obtain a CA-signed certificate for the nodes in your deployment.</t>
    </r>
    <r>
      <rPr>
        <sz val="11"/>
        <color rgb="FF000000"/>
        <rFont val="Calibri"/>
      </rPr>
      <t xml:space="preserve">
</t>
    </r>
    <r>
      <rPr>
        <sz val="11"/>
        <color rgb="FF000000"/>
        <rFont val="Calibri"/>
      </rPr>
      <t>1. Choose Administration &gt;&gt; System &gt;&gt; Certificates &gt;&gt; Certificate Signing Requests.</t>
    </r>
    <r>
      <rPr>
        <sz val="11"/>
        <color rgb="FF000000"/>
        <rFont val="Calibri"/>
      </rPr>
      <t xml:space="preserve">
</t>
    </r>
    <r>
      <rPr>
        <sz val="11"/>
        <color rgb="FF000000"/>
        <rFont val="Calibri"/>
      </rPr>
      <t>2. Enter the values for generating a CSR.</t>
    </r>
    <r>
      <rPr>
        <sz val="11"/>
        <color rgb="FF000000"/>
        <rFont val="Calibri"/>
      </rPr>
      <t xml:space="preserve">
</t>
    </r>
    <r>
      <rPr>
        <sz val="11"/>
        <color rgb="FF000000"/>
        <rFont val="Calibri"/>
      </rPr>
      <t>Examples:</t>
    </r>
    <r>
      <rPr>
        <sz val="11"/>
        <color rgb="FF000000"/>
        <rFont val="Calibri"/>
      </rPr>
      <t xml:space="preserve">
</t>
    </r>
    <r>
      <rPr>
        <sz val="11"/>
        <color rgb="FF000000"/>
        <rFont val="Calibri"/>
      </rPr>
      <t>RSA:</t>
    </r>
    <r>
      <rPr>
        <sz val="11"/>
        <color rgb="FF000000"/>
        <rFont val="Calibri"/>
      </rPr>
      <t xml:space="preserve">
</t>
    </r>
    <r>
      <rPr>
        <sz val="11"/>
        <color rgb="FF000000"/>
        <rFont val="Calibri"/>
      </rPr>
      <t>Request security pki generate-key-pair certificate-id &lt;cert name&gt;&gt; type rsa size &lt;512 | 1024 | 2048 | 4096&gt;&gt;</t>
    </r>
    <r>
      <rPr>
        <sz val="11"/>
        <color rgb="FF000000"/>
        <rFont val="Calibri"/>
      </rPr>
      <t xml:space="preserve">
</t>
    </r>
    <r>
      <rPr>
        <sz val="11"/>
        <color rgb="FF000000"/>
        <rFont val="Calibri"/>
      </rPr>
      <t>ECDSA:</t>
    </r>
    <r>
      <rPr>
        <sz val="11"/>
        <color rgb="FF000000"/>
        <rFont val="Calibri"/>
      </rPr>
      <t xml:space="preserve">
</t>
    </r>
    <r>
      <rPr>
        <sz val="11"/>
        <color rgb="FF000000"/>
        <rFont val="Calibri"/>
      </rPr>
      <t>Request security pki generate-key-pair certificate-id &lt;cert_name&gt;&gt; type ecdsa size &lt;256 | 384&gt;&gt;</t>
    </r>
    <r>
      <rPr>
        <sz val="11"/>
        <color rgb="FF000000"/>
        <rFont val="Calibri"/>
      </rPr>
      <t xml:space="preserve">
</t>
    </r>
    <r>
      <rPr>
        <sz val="11"/>
        <color rgb="FF000000"/>
        <rFont val="Calibri"/>
      </rPr>
      <t>3. Click "Generate" to generate the CSR.</t>
    </r>
    <r>
      <rPr>
        <sz val="11"/>
        <color rgb="FF000000"/>
        <rFont val="Calibri"/>
      </rPr>
      <t xml:space="preserve">
</t>
    </r>
    <r>
      <rPr>
        <sz val="11"/>
        <color rgb="FF000000"/>
        <rFont val="Calibri"/>
      </rPr>
      <t>4. Click "Export" to open the CSR in a Notepad.</t>
    </r>
    <r>
      <rPr>
        <sz val="11"/>
        <color rgb="FF000000"/>
        <rFont val="Calibri"/>
      </rPr>
      <t xml:space="preserve">
</t>
    </r>
    <r>
      <rPr>
        <sz val="11"/>
        <color rgb="FF000000"/>
        <rFont val="Calibri"/>
      </rPr>
      <t>5. Copy all the text from "-----BEGIN CERTIFICATE REQUEST-----" through "-----END CERTIFICATE REQUEST-----."</t>
    </r>
    <r>
      <rPr>
        <sz val="11"/>
        <color rgb="FF000000"/>
        <rFont val="Calibri"/>
      </rPr>
      <t xml:space="preserve">
</t>
    </r>
    <r>
      <rPr>
        <sz val="11"/>
        <color rgb="FF000000"/>
        <rFont val="Calibri"/>
      </rPr>
      <t>6. Paste the contents of the CSR into the certificate request. Generate a new key-pair from a DoD-approved certificate issuer. Sites must consult the PKI/PKI pages on the https://cyber.mil/ website for procedures for NIPRNet and SIPRNet.</t>
    </r>
    <r>
      <rPr>
        <sz val="11"/>
        <color rgb="FF000000"/>
        <rFont val="Calibri"/>
      </rPr>
      <t xml:space="preserve">
</t>
    </r>
    <r>
      <rPr>
        <sz val="11"/>
        <color rgb="FF000000"/>
        <rFont val="Calibri"/>
      </rPr>
      <t>7. Download the signed certificate.</t>
    </r>
    <r>
      <rPr>
        <sz val="11"/>
        <color rgb="FF000000"/>
        <rFont val="Calibri"/>
      </rPr>
      <t xml:space="preserve">
</t>
    </r>
    <r>
      <rPr>
        <sz val="11"/>
        <color rgb="FF000000"/>
        <rFont val="Calibri"/>
      </rPr>
      <t>B. Import the Root Certificates to the Trusted Certificate Store:</t>
    </r>
    <r>
      <rPr>
        <sz val="11"/>
        <color rgb="FF000000"/>
        <rFont val="Calibri"/>
      </rPr>
      <t xml:space="preserve">
</t>
    </r>
    <r>
      <rPr>
        <sz val="11"/>
        <color rgb="FF000000"/>
        <rFont val="Calibri"/>
      </rPr>
      <t>Administration &gt;&gt; System &gt;&gt; Certificates &gt;&gt; Trusted Certificates</t>
    </r>
    <r>
      <rPr>
        <sz val="11"/>
        <color rgb="FF000000"/>
        <rFont val="Calibri"/>
      </rPr>
      <t xml:space="preserve">
</t>
    </r>
    <r>
      <rPr>
        <sz val="11"/>
        <color rgb="FF000000"/>
        <rFont val="Calibri"/>
      </rPr>
      <t>C. Bind the CA-Signed Certificate to the CSR.</t>
    </r>
    <r>
      <rPr>
        <sz val="11"/>
        <color rgb="FF000000"/>
        <rFont val="Calibri"/>
      </rPr>
      <t xml:space="preserve">
</t>
    </r>
    <r>
      <rPr>
        <sz val="11"/>
        <color rgb="FF000000"/>
        <rFont val="Calibri"/>
      </rPr>
      <t>1. Choose Administration &gt;&gt; System &gt;&gt; Certificates &gt;&gt; Certificate Signing Requests. Check the check box next to the node for which you are binding the CSR with the CA-signed certificate.</t>
    </r>
    <r>
      <rPr>
        <sz val="11"/>
        <color rgb="FF000000"/>
        <rFont val="Calibri"/>
      </rPr>
      <t xml:space="preserve">
</t>
    </r>
    <r>
      <rPr>
        <sz val="11"/>
        <color rgb="FF000000"/>
        <rFont val="Calibri"/>
      </rPr>
      <t>2.  Click "Bind".</t>
    </r>
    <r>
      <rPr>
        <sz val="11"/>
        <color rgb="FF000000"/>
        <rFont val="Calibri"/>
      </rPr>
      <t xml:space="preserve">
</t>
    </r>
    <r>
      <rPr>
        <sz val="11"/>
        <color rgb="FF000000"/>
        <rFont val="Calibri"/>
      </rPr>
      <t>3.  Click "Browse" to choose the CA-signed certificate.</t>
    </r>
    <r>
      <rPr>
        <sz val="11"/>
        <color rgb="FF000000"/>
        <rFont val="Calibri"/>
      </rPr>
      <t xml:space="preserve">
</t>
    </r>
    <r>
      <rPr>
        <sz val="11"/>
        <color rgb="FF000000"/>
        <rFont val="Calibri"/>
      </rPr>
      <t>4.  Specify a Friendly Name for the certificate.</t>
    </r>
    <r>
      <rPr>
        <sz val="11"/>
        <color rgb="FF000000"/>
        <rFont val="Calibri"/>
      </rPr>
      <t xml:space="preserve">
</t>
    </r>
    <r>
      <rPr>
        <sz val="11"/>
        <color rgb="FF000000"/>
        <rFont val="Calibri"/>
      </rPr>
      <t>5.  Check the "Validate Certificate Extensions" check box if you want Cisco ISE to validate certificate extensions.</t>
    </r>
    <r>
      <rPr>
        <sz val="11"/>
        <color rgb="FF000000"/>
        <rFont val="Calibri"/>
      </rPr>
      <t xml:space="preserve">
</t>
    </r>
    <r>
      <rPr>
        <sz val="11"/>
        <color rgb="FF000000"/>
        <rFont val="Calibri"/>
      </rPr>
      <t>6. Check the service for which this certificate will be used in the Usage area.</t>
    </r>
    <r>
      <rPr>
        <sz val="11"/>
        <color rgb="FF000000"/>
        <rFont val="Calibri"/>
      </rPr>
      <t xml:space="preserve">
</t>
    </r>
    <r>
      <rPr>
        <sz val="11"/>
        <color rgb="FF000000"/>
        <rFont val="Calibri"/>
      </rPr>
      <t>This information is auto populated if you have enabled the Usage option while generating the CSR. If you do not want to specify the usage at the time of binding the certificate, uncheck the Usage option. You can edit the certificate later and specify the usage.</t>
    </r>
    <r>
      <rPr>
        <sz val="11"/>
        <color rgb="FF000000"/>
        <rFont val="Calibri"/>
      </rPr>
      <t xml:space="preserve">
</t>
    </r>
    <r>
      <rPr>
        <sz val="11"/>
        <color rgb="FF000000"/>
        <rFont val="Calibri"/>
      </rPr>
      <t>7. Click "Submit". If you have chosen to use this certificate for Cisco ISE internode communication, the application server on the Cisco ISE node is restarted.</t>
    </r>
  </si>
  <si>
    <r>
      <rPr>
        <sz val="11"/>
        <color rgb="FF000000"/>
        <rFont val="Calibri"/>
      </rPr>
      <t>To mitigate the risk of unauthorized access to sensitive information by entities that have been issued certificates by DoD-approved PKIs.</t>
    </r>
    <r>
      <rPr>
        <sz val="11"/>
        <color rgb="FF000000"/>
        <rFont val="Calibri"/>
      </rPr>
      <t xml:space="preserve">
</t>
    </r>
    <r>
      <rPr>
        <sz val="11"/>
        <color rgb="FF000000"/>
        <rFont val="Calibri"/>
      </rPr>
      <t xml:space="preserve">The Cisco ISE generates a key-pair and a CSR. The CSR is sent to the approved CA, who signs it and returns it as a certificate. That certificate is then installed. </t>
    </r>
    <r>
      <rPr>
        <sz val="11"/>
        <color rgb="FF000000"/>
        <rFont val="Calibri"/>
      </rPr>
      <t xml:space="preserve">
</t>
    </r>
    <r>
      <rPr>
        <sz val="11"/>
        <color rgb="FF000000"/>
        <rFont val="Calibri"/>
      </rPr>
      <t>The process to obtain a device PKI certificate requires the generation of a Certificate Signing Request (CSR), submission of the CSR to a CA, approval of the request by an RA, and retrieval of the issued certificate from the CA.</t>
    </r>
  </si>
  <si>
    <r>
      <rPr>
        <sz val="11"/>
        <color rgb="FF000000"/>
        <rFont val="Calibri"/>
      </rPr>
      <t>Choose Administration &gt;&gt; System &gt;&gt; Certificates &gt;&gt; System Certificates.</t>
    </r>
    <r>
      <rPr>
        <sz val="11"/>
        <color rgb="FF000000"/>
        <rFont val="Calibri"/>
      </rPr>
      <t xml:space="preserve">
</t>
    </r>
    <r>
      <rPr>
        <sz val="11"/>
        <color rgb="FF000000"/>
        <rFont val="Calibri"/>
      </rPr>
      <t>1. The System Certificates page appears and provides information for the local certificates.</t>
    </r>
    <r>
      <rPr>
        <sz val="11"/>
        <color rgb="FF000000"/>
        <rFont val="Calibri"/>
      </rPr>
      <t xml:space="preserve">
</t>
    </r>
    <r>
      <rPr>
        <sz val="11"/>
        <color rgb="FF000000"/>
        <rFont val="Calibri"/>
      </rPr>
      <t>2. Select a certificate and choose "View" to display the certificate details.</t>
    </r>
    <r>
      <rPr>
        <sz val="11"/>
        <color rgb="FF000000"/>
        <rFont val="Calibri"/>
      </rPr>
      <t xml:space="preserve">
</t>
    </r>
    <r>
      <rPr>
        <sz val="11"/>
        <color rgb="FF000000"/>
        <rFont val="Calibri"/>
      </rPr>
      <t>If the Cisco ISE does not obtain its public key certificates from an appropriate certificate policy through an approved service provider, this is a finding.</t>
    </r>
  </si>
  <si>
    <t>V-242640</t>
  </si>
  <si>
    <r>
      <rPr>
        <sz val="11"/>
        <rFont val="Calibri"/>
      </rPr>
      <t>The Cisco ISE must be configured to prohibit the use of all unnecessary and/or nonsecure functions, ports, protocols, and/or services.</t>
    </r>
  </si>
  <si>
    <r>
      <rPr>
        <sz val="11"/>
        <color rgb="FF000000"/>
        <rFont val="Calibri"/>
      </rPr>
      <t>If SNMP is used by the organization, then SNMP is configured at the command line interface.</t>
    </r>
    <r>
      <rPr>
        <sz val="11"/>
        <color rgb="FF000000"/>
        <rFont val="Calibri"/>
      </rPr>
      <t xml:space="preserve">
</t>
    </r>
    <r>
      <rPr>
        <sz val="11"/>
        <color rgb="FF000000"/>
        <rFont val="Calibri"/>
      </rPr>
      <t>To disable SNMPv1 and SNMPv2c if enabled type the remove the group with the following command.</t>
    </r>
    <r>
      <rPr>
        <sz val="11"/>
        <color rgb="FF000000"/>
        <rFont val="Calibri"/>
      </rPr>
      <t xml:space="preserve">
</t>
    </r>
    <r>
      <rPr>
        <sz val="11"/>
        <color rgb="FF000000"/>
        <rFont val="Calibri"/>
      </rPr>
      <t>no snmp-server group &lt;community&gt; v1</t>
    </r>
    <r>
      <rPr>
        <sz val="11"/>
        <color rgb="FF000000"/>
        <rFont val="Calibri"/>
      </rPr>
      <t xml:space="preserve">
</t>
    </r>
    <r>
      <rPr>
        <sz val="11"/>
        <color rgb="FF000000"/>
        <rFont val="Calibri"/>
      </rPr>
      <t>To enable the SNMPv3 server on Cisco ISE, use the snmp-server enable command in global configuration mode.</t>
    </r>
    <r>
      <rPr>
        <sz val="11"/>
        <color rgb="FF000000"/>
        <rFont val="Calibri"/>
      </rPr>
      <t xml:space="preserve">
</t>
    </r>
    <r>
      <rPr>
        <sz val="11"/>
        <color rgb="FF000000"/>
        <rFont val="Calibri"/>
      </rPr>
      <t>1. snmp-server enable</t>
    </r>
    <r>
      <rPr>
        <sz val="11"/>
        <color rgb="FF000000"/>
        <rFont val="Calibri"/>
      </rPr>
      <t xml:space="preserve">
</t>
    </r>
    <r>
      <rPr>
        <sz val="11"/>
        <color rgb="FF000000"/>
        <rFont val="Calibri"/>
      </rPr>
      <t>2. snmp-server user &lt;username&gt; v3 hash &lt;auth-password&gt;  &lt;priv-password&gt;</t>
    </r>
    <r>
      <rPr>
        <sz val="11"/>
        <color rgb="FF000000"/>
        <rFont val="Calibri"/>
      </rPr>
      <t xml:space="preserve">
</t>
    </r>
    <r>
      <rPr>
        <sz val="11"/>
        <color rgb="FF000000"/>
        <rFont val="Calibri"/>
      </rPr>
      <t>3. snmp-server host {ip-address | hostname} trap version 3 username engine_ID hash &lt;auth-password&gt; &lt;priv-password&gt;</t>
    </r>
  </si>
  <si>
    <r>
      <rPr>
        <sz val="11"/>
        <color rgb="FF000000"/>
        <rFont val="Calibri"/>
      </rPr>
      <t>Changes to any software components of the network device can have significant effects on the overall security of the network. Therefore, only qualified and authorized individuals should be allowed administrative access to the network device for implementing any changes or upgrades. If the network device were to enable non-authorized users to make changes to software libraries, those changes could be implemented without undergoing testing, validation, and approval.</t>
    </r>
  </si>
  <si>
    <r>
      <rPr>
        <sz val="11"/>
        <color rgb="FF000000"/>
        <rFont val="Calibri"/>
      </rPr>
      <t>If an SNMP stanza does not exist, this is not a finding.</t>
    </r>
    <r>
      <rPr>
        <sz val="11"/>
        <color rgb="FF000000"/>
        <rFont val="Calibri"/>
      </rPr>
      <t xml:space="preserve">
</t>
    </r>
    <r>
      <rPr>
        <sz val="11"/>
        <color rgb="FF000000"/>
        <rFont val="Calibri"/>
      </rPr>
      <t>1. Use the command line interface to view the current SNMP configuration.</t>
    </r>
    <r>
      <rPr>
        <sz val="11"/>
        <color rgb="FF000000"/>
        <rFont val="Calibri"/>
      </rPr>
      <t xml:space="preserve">
</t>
    </r>
    <r>
      <rPr>
        <sz val="11"/>
        <color rgb="FF000000"/>
        <rFont val="Calibri"/>
      </rPr>
      <t>show startup-config</t>
    </r>
    <r>
      <rPr>
        <sz val="11"/>
        <color rgb="FF000000"/>
        <rFont val="Calibri"/>
      </rPr>
      <t xml:space="preserve">
</t>
    </r>
    <r>
      <rPr>
        <sz val="11"/>
        <color rgb="FF000000"/>
        <rFont val="Calibri"/>
      </rPr>
      <t>2. Search for the keyword SNMP.</t>
    </r>
    <r>
      <rPr>
        <sz val="11"/>
        <color rgb="FF000000"/>
        <rFont val="Calibri"/>
      </rPr>
      <t xml:space="preserve">
</t>
    </r>
    <r>
      <rPr>
        <sz val="11"/>
        <color rgb="FF000000"/>
        <rFont val="Calibri"/>
      </rPr>
      <t>If versions earlier than SNMPv3 are enabled, this is a finding.</t>
    </r>
    <r>
      <rPr>
        <sz val="11"/>
        <color rgb="FF000000"/>
        <rFont val="Calibri"/>
      </rPr>
      <t xml:space="preserve">
</t>
    </r>
    <r>
      <rPr>
        <sz val="11"/>
        <color rgb="FF000000"/>
        <rFont val="Calibri"/>
      </rPr>
      <t>If SNMPv3 is not configured to meet DoD requirements, this is a finding.</t>
    </r>
  </si>
  <si>
    <t>V-242641</t>
  </si>
  <si>
    <r>
      <rPr>
        <sz val="11"/>
        <rFont val="Calibri"/>
      </rPr>
      <t>The Cisco ISE must be configured to disable Wireless Setup for production systems.</t>
    </r>
  </si>
  <si>
    <r>
      <rPr>
        <sz val="11"/>
        <color rgb="FF000000"/>
        <rFont val="Calibri"/>
      </rPr>
      <t>Use the application configure command in EXEC mode to disable wireless setup.</t>
    </r>
    <r>
      <rPr>
        <sz val="11"/>
        <color rgb="FF000000"/>
        <rFont val="Calibri"/>
      </rPr>
      <t xml:space="preserve">
</t>
    </r>
    <r>
      <rPr>
        <sz val="11"/>
        <color rgb="FF000000"/>
        <rFont val="Calibri"/>
      </rPr>
      <t>application configure disable Wi-Fi setup</t>
    </r>
  </si>
  <si>
    <r>
      <rPr>
        <sz val="11"/>
        <color rgb="FF000000"/>
        <rFont val="Calibri"/>
      </rPr>
      <t>ISE Wireless Setup is beta software so is not authorized for use in DoD.</t>
    </r>
    <r>
      <rPr>
        <sz val="11"/>
        <color rgb="FF000000"/>
        <rFont val="Calibri"/>
      </rPr>
      <t xml:space="preserve">
</t>
    </r>
    <r>
      <rPr>
        <sz val="11"/>
        <color rgb="FF000000"/>
        <rFont val="Calibri"/>
      </rPr>
      <t>Wireless Setup is disabled by default after fresh installation of Cisco ISE. If you upgrade ISE from a previous version, the Wireless Setup menu does not appear. Wireless Setup requires ports 9103 and 9104 to be open. To close those ports, use the CLI to disable Wireless Setup.</t>
    </r>
    <r>
      <rPr>
        <sz val="11"/>
        <color rgb="FF000000"/>
        <rFont val="Calibri"/>
      </rPr>
      <t xml:space="preserve">
</t>
    </r>
    <r>
      <rPr>
        <sz val="11"/>
        <color rgb="FF000000"/>
        <rFont val="Calibri"/>
      </rPr>
      <t>You can enable Wireless Setup in the ISE CLI with the command application configure ise, picking the option to enable Wireless Setup.</t>
    </r>
  </si>
  <si>
    <r>
      <rPr>
        <sz val="11"/>
        <color rgb="FF000000"/>
        <rFont val="Calibri"/>
      </rPr>
      <t>If wireless setup is not availabe in this version of the product, this is not applicable.</t>
    </r>
    <r>
      <rPr>
        <sz val="11"/>
        <color rgb="FF000000"/>
        <rFont val="Calibri"/>
      </rPr>
      <t xml:space="preserve">
</t>
    </r>
    <r>
      <rPr>
        <sz val="11"/>
        <color rgb="FF000000"/>
        <rFont val="Calibri"/>
      </rPr>
      <t>Verify Wi-Fi setup has been disabled on a device after initial setup and the device has been placed on the production network.</t>
    </r>
    <r>
      <rPr>
        <sz val="11"/>
        <color rgb="FF000000"/>
        <rFont val="Calibri"/>
      </rPr>
      <t xml:space="preserve">
</t>
    </r>
    <r>
      <rPr>
        <sz val="11"/>
        <color rgb="FF000000"/>
        <rFont val="Calibri"/>
      </rPr>
      <t>Show application status Wi-Fi setup.</t>
    </r>
    <r>
      <rPr>
        <sz val="11"/>
        <color rgb="FF000000"/>
        <rFont val="Calibri"/>
      </rPr>
      <t xml:space="preserve">
</t>
    </r>
    <r>
      <rPr>
        <sz val="11"/>
        <color rgb="FF000000"/>
        <rFont val="Calibri"/>
      </rPr>
      <t>If wireless setup is not disabled, this is a finding.</t>
    </r>
  </si>
  <si>
    <t>V-242642</t>
  </si>
  <si>
    <r>
      <rPr>
        <sz val="11"/>
        <rFont val="Calibri"/>
      </rPr>
      <t>For accounts using password authentication, the Cisco ISE must implement replay-resistant authentication mechanisms for network access to privileged accounts.</t>
    </r>
  </si>
  <si>
    <r>
      <rPr>
        <sz val="11"/>
        <color rgb="FF000000"/>
        <rFont val="Calibri"/>
      </rPr>
      <t>Enable FIPS Mode in Cisco ISE to ensure FIPS 140-2/3 algorithms are used in all security functions requiring cryptographic functions.</t>
    </r>
    <r>
      <rPr>
        <sz val="11"/>
        <color rgb="FF000000"/>
        <rFont val="Calibri"/>
      </rPr>
      <t xml:space="preserve">
</t>
    </r>
    <r>
      <rPr>
        <sz val="11"/>
        <color rgb="FF000000"/>
        <rFont val="Calibri"/>
      </rPr>
      <t>1. Choose Administration &gt;&gt; System &gt;&gt; Settings &gt;&gt; FIPS Mode.</t>
    </r>
    <r>
      <rPr>
        <sz val="11"/>
        <color rgb="FF000000"/>
        <rFont val="Calibri"/>
      </rPr>
      <t xml:space="preserve">
</t>
    </r>
    <r>
      <rPr>
        <sz val="11"/>
        <color rgb="FF000000"/>
        <rFont val="Calibri"/>
      </rPr>
      <t>2. Choose the "Enabled" option from the FIPS Mode drop-down list.</t>
    </r>
    <r>
      <rPr>
        <sz val="11"/>
        <color rgb="FF000000"/>
        <rFont val="Calibri"/>
      </rPr>
      <t xml:space="preserve">
</t>
    </r>
    <r>
      <rPr>
        <sz val="11"/>
        <color rgb="FF000000"/>
        <rFont val="Calibri"/>
      </rPr>
      <t>3. Click "Save" and restart the node.</t>
    </r>
    <r>
      <rPr>
        <sz val="11"/>
        <color rgb="FF000000"/>
        <rFont val="Calibri"/>
      </rPr>
      <t xml:space="preserve">
</t>
    </r>
    <r>
      <rPr>
        <sz val="11"/>
        <color rgb="FF000000"/>
        <rFont val="Calibri"/>
      </rPr>
      <t>NOTE: Configuring FIPS mode is the required DoD configuration. However, this requirement can be lowered to a CAT 3 if the alternative manual configuration is used to configure individual protocols.</t>
    </r>
  </si>
  <si>
    <r>
      <rPr>
        <sz val="11"/>
        <color rgb="FF000000"/>
        <rFont val="Calibri"/>
      </rPr>
      <t>A replay attack may enable an unauthorized user to gain access to the application. Authentication sessions between the authenticator and the application validating the user credentials must not be vulnerable to a replay attack.</t>
    </r>
    <r>
      <rPr>
        <sz val="11"/>
        <color rgb="FF000000"/>
        <rFont val="Calibri"/>
      </rPr>
      <t xml:space="preserve">
</t>
    </r>
    <r>
      <rPr>
        <sz val="11"/>
        <color rgb="FF000000"/>
        <rFont val="Calibri"/>
      </rPr>
      <t xml:space="preserve">An authentication process resists replay attacks if it is impractical to achieve a successful authentication by recording and replaying a previous authentication message. </t>
    </r>
    <r>
      <rPr>
        <sz val="11"/>
        <color rgb="FF000000"/>
        <rFont val="Calibri"/>
      </rPr>
      <t xml:space="preserve">
</t>
    </r>
    <r>
      <rPr>
        <sz val="11"/>
        <color rgb="FF000000"/>
        <rFont val="Calibri"/>
      </rPr>
      <t>Techniques used to address this include protocols using nonces (e.g., numbers generated for a specific one-time use) or challenges (e.g., TLS, WS_Security). Additional techniques include time-synchronous or challenge-response one-time authenticators.</t>
    </r>
  </si>
  <si>
    <r>
      <rPr>
        <sz val="11"/>
        <color rgb="FF000000"/>
        <rFont val="Calibri"/>
      </rPr>
      <t>Navigate to Administration &gt;&gt; System &gt;&gt; Settings &gt;&gt; FIPS Mode.</t>
    </r>
    <r>
      <rPr>
        <sz val="11"/>
        <color rgb="FF000000"/>
        <rFont val="Calibri"/>
      </rPr>
      <t xml:space="preserve">
</t>
    </r>
    <r>
      <rPr>
        <sz val="11"/>
        <color rgb="FF000000"/>
        <rFont val="Calibri"/>
      </rPr>
      <t>Verify FIPS Mode is enabled.</t>
    </r>
    <r>
      <rPr>
        <sz val="11"/>
        <color rgb="FF000000"/>
        <rFont val="Calibri"/>
      </rPr>
      <t xml:space="preserve">
</t>
    </r>
    <r>
      <rPr>
        <sz val="11"/>
        <color rgb="FF000000"/>
        <rFont val="Calibri"/>
      </rPr>
      <t>If FIPS Mode is enabled, this is not a finding.</t>
    </r>
    <r>
      <rPr>
        <sz val="11"/>
        <color rgb="FF000000"/>
        <rFont val="Calibri"/>
      </rPr>
      <t xml:space="preserve">
</t>
    </r>
    <r>
      <rPr>
        <sz val="11"/>
        <color rgb="FF000000"/>
        <rFont val="Calibri"/>
      </rPr>
      <t>If FIPS mode is not configured, but password authentication is configured to use FIPS 140-2/3 validated replay-resistant authentication mechanism for network access to privileged accounts , this can be lowered to a CAT 3 finding.</t>
    </r>
  </si>
  <si>
    <t>V-242643</t>
  </si>
  <si>
    <r>
      <rPr>
        <sz val="11"/>
        <rFont val="Calibri"/>
      </rPr>
      <t>The Cisco ISE must be configured to authenticate SNMP messages using a FIPS-validated Keyed-Hash Message Authentication Code (HMAC).</t>
    </r>
  </si>
  <si>
    <r>
      <rPr>
        <sz val="11"/>
        <color rgb="FF000000"/>
        <rFont val="Calibri"/>
      </rPr>
      <t>Enable FIPS Mode in Cisco ISE to ensure FIPS 140-2/3 algorithms are used in all security functions requiring cryptographic functions.</t>
    </r>
    <r>
      <rPr>
        <sz val="11"/>
        <color rgb="FF000000"/>
        <rFont val="Calibri"/>
      </rPr>
      <t xml:space="preserve">
</t>
    </r>
    <r>
      <rPr>
        <sz val="11"/>
        <color rgb="FF000000"/>
        <rFont val="Calibri"/>
      </rPr>
      <t>1. Choose Administration &gt;&gt; System &gt;&gt; Settings &gt;&gt; FIPS Mode.</t>
    </r>
    <r>
      <rPr>
        <sz val="11"/>
        <color rgb="FF000000"/>
        <rFont val="Calibri"/>
      </rPr>
      <t xml:space="preserve">
</t>
    </r>
    <r>
      <rPr>
        <sz val="11"/>
        <color rgb="FF000000"/>
        <rFont val="Calibri"/>
      </rPr>
      <t>2. Choose the "Enabled" option from the FIPS Mode drop-down list.</t>
    </r>
    <r>
      <rPr>
        <sz val="11"/>
        <color rgb="FF000000"/>
        <rFont val="Calibri"/>
      </rPr>
      <t xml:space="preserve">
</t>
    </r>
    <r>
      <rPr>
        <sz val="11"/>
        <color rgb="FF000000"/>
        <rFont val="Calibri"/>
      </rPr>
      <t>3. Click "Save" and restart the node.</t>
    </r>
    <r>
      <rPr>
        <sz val="11"/>
        <color rgb="FF000000"/>
        <rFont val="Calibri"/>
      </rPr>
      <t xml:space="preserve">
</t>
    </r>
    <r>
      <rPr>
        <sz val="11"/>
        <color rgb="FF000000"/>
        <rFont val="Calibri"/>
      </rPr>
      <t>NOTE: Configuring FIPS mode is the required DoD configuration. However, this requirement can be lowered to a CAT 3 if the alternative manual configuration is used to configure SNMP messages to authenticate using a FIPS-140-2/3 validated HMAC.</t>
    </r>
  </si>
  <si>
    <r>
      <rPr>
        <sz val="11"/>
        <color rgb="FF000000"/>
        <rFont val="Calibri"/>
      </rPr>
      <t>Without authenticating devices, unidentified or unknown devices may be introduced, thereby facilitating malicious activity. Bidirectional authentication provides stronger safeguards to validate the identity of other devices for connections that are of greater risk.</t>
    </r>
    <r>
      <rPr>
        <sz val="11"/>
        <color rgb="FF000000"/>
        <rFont val="Calibri"/>
      </rPr>
      <t xml:space="preserve">
</t>
    </r>
    <r>
      <rPr>
        <sz val="11"/>
        <color rgb="FF000000"/>
        <rFont val="Calibri"/>
      </rPr>
      <t>A local connection is any connection with a device communicating without the use of a network. A network connection is any connection with a device that communicates through a network (e.g., local area or wide area network, Internet). A remote connection is any connection with a device communicating through an external network (e.g., the Internet).</t>
    </r>
    <r>
      <rPr>
        <sz val="11"/>
        <color rgb="FF000000"/>
        <rFont val="Calibri"/>
      </rPr>
      <t xml:space="preserve">
</t>
    </r>
    <r>
      <rPr>
        <sz val="11"/>
        <color rgb="FF000000"/>
        <rFont val="Calibri"/>
      </rPr>
      <t>Because of the challenges of applying this requirement on a large scale, organizations are encouraged to only apply the requirement to those limited number (and type) of devices that truly need to support this capability.</t>
    </r>
  </si>
  <si>
    <r>
      <rPr>
        <sz val="11"/>
        <color rgb="FF000000"/>
        <rFont val="Calibri"/>
      </rPr>
      <t>Navigate to Administration &gt;&gt; System &gt;&gt; Settings &gt;&gt; FIPS Mode.</t>
    </r>
    <r>
      <rPr>
        <sz val="11"/>
        <color rgb="FF000000"/>
        <rFont val="Calibri"/>
      </rPr>
      <t xml:space="preserve">
</t>
    </r>
    <r>
      <rPr>
        <sz val="11"/>
        <color rgb="FF000000"/>
        <rFont val="Calibri"/>
      </rPr>
      <t>Verify FIPS Mode is enabled.</t>
    </r>
    <r>
      <rPr>
        <sz val="11"/>
        <color rgb="FF000000"/>
        <rFont val="Calibri"/>
      </rPr>
      <t xml:space="preserve">
</t>
    </r>
    <r>
      <rPr>
        <sz val="11"/>
        <color rgb="FF000000"/>
        <rFont val="Calibri"/>
      </rPr>
      <t>If FIPS Mode is enabled, this is not a finding.</t>
    </r>
    <r>
      <rPr>
        <sz val="11"/>
        <color rgb="FF000000"/>
        <rFont val="Calibri"/>
      </rPr>
      <t xml:space="preserve">
</t>
    </r>
    <r>
      <rPr>
        <sz val="11"/>
        <color rgb="FF000000"/>
        <rFont val="Calibri"/>
      </rPr>
      <t>If FIPS mode is not configured, but the Cisco ISE is configured so that SNMP messages are authenticated using a FIPS 140-2/3 validated HMAC, this can be lowered to a CAT 3 finding.</t>
    </r>
  </si>
  <si>
    <t>V-242644</t>
  </si>
  <si>
    <r>
      <rPr>
        <sz val="11"/>
        <rFont val="Calibri"/>
      </rPr>
      <t>The Cisco ISE must authenticate Network Time Protocol (NTP) sources using authentication that is cryptographically based.</t>
    </r>
  </si>
  <si>
    <r>
      <rPr>
        <sz val="11"/>
        <color rgb="FF000000"/>
        <rFont val="Calibri"/>
      </rPr>
      <t>1. Choose Administration &gt;&gt; System &gt;&gt; Settings &gt;&gt; System Time.</t>
    </r>
    <r>
      <rPr>
        <sz val="11"/>
        <color rgb="FF000000"/>
        <rFont val="Calibri"/>
      </rPr>
      <t xml:space="preserve">
</t>
    </r>
    <r>
      <rPr>
        <sz val="11"/>
        <color rgb="FF000000"/>
        <rFont val="Calibri"/>
      </rPr>
      <t>2. Enter unique IP addresses (IPv4/IPv6/FQDN) for the NTP servers.</t>
    </r>
    <r>
      <rPr>
        <sz val="11"/>
        <color rgb="FF000000"/>
        <rFont val="Calibri"/>
      </rPr>
      <t xml:space="preserve">
</t>
    </r>
    <r>
      <rPr>
        <sz val="11"/>
        <color rgb="FF000000"/>
        <rFont val="Calibri"/>
      </rPr>
      <t xml:space="preserve">3. Check the "Only allow authenticated NTP servers" box to restrict Cisco ISE to use only authenticated NTP servers to keep system and network time. DOD requires NTP authentication where available, so configure the NTP server using private keys. </t>
    </r>
    <r>
      <rPr>
        <sz val="11"/>
        <color rgb="FF000000"/>
        <rFont val="Calibri"/>
      </rPr>
      <t xml:space="preserve">
</t>
    </r>
    <r>
      <rPr>
        <sz val="11"/>
        <color rgb="FF000000"/>
        <rFont val="Calibri"/>
      </rPr>
      <t>4. Click the "NTP Authentication Keys" tab and specify one or more authentication keys if any of the specified servers requires authentication via an authentication key, as follows:</t>
    </r>
    <r>
      <rPr>
        <sz val="11"/>
        <color rgb="FF000000"/>
        <rFont val="Calibri"/>
      </rPr>
      <t xml:space="preserve">
</t>
    </r>
    <r>
      <rPr>
        <sz val="11"/>
        <color rgb="FF000000"/>
        <rFont val="Calibri"/>
      </rPr>
      <t xml:space="preserve">    - Click "Add".</t>
    </r>
    <r>
      <rPr>
        <sz val="11"/>
        <color rgb="FF000000"/>
        <rFont val="Calibri"/>
      </rPr>
      <t xml:space="preserve">
</t>
    </r>
    <r>
      <rPr>
        <sz val="11"/>
        <color rgb="FF000000"/>
        <rFont val="Calibri"/>
      </rPr>
      <t xml:space="preserve">    - Enter the necessary Key ID and Key Value. Specify whether the key in question is trusted by activating or deactivating the Trusted Key option, and click "OK". The Key ID field supports numeric  values between 1 and 65535, and the Key Value field supports up to 15 alphanumeric characters.</t>
    </r>
    <r>
      <rPr>
        <sz val="11"/>
        <color rgb="FF000000"/>
        <rFont val="Calibri"/>
      </rPr>
      <t xml:space="preserve">
</t>
    </r>
    <r>
      <rPr>
        <sz val="11"/>
        <color rgb="FF000000"/>
        <rFont val="Calibri"/>
      </rPr>
      <t xml:space="preserve">    - Return to the NTP Server Configuration tab when finished entering the NTP Server Authentication Keys.</t>
    </r>
    <r>
      <rPr>
        <sz val="11"/>
        <color rgb="FF000000"/>
        <rFont val="Calibri"/>
      </rPr>
      <t xml:space="preserve">
</t>
    </r>
    <r>
      <rPr>
        <sz val="11"/>
        <color rgb="FF000000"/>
        <rFont val="Calibri"/>
      </rPr>
      <t>5. Click "Save".</t>
    </r>
    <r>
      <rPr>
        <sz val="11"/>
        <color rgb="FF000000"/>
        <rFont val="Calibri"/>
      </rPr>
      <t xml:space="preserve">
</t>
    </r>
    <r>
      <rPr>
        <sz val="11"/>
        <color rgb="FF000000"/>
        <rFont val="Calibri"/>
      </rPr>
      <t>Note: If authentication settings are no longer available, then a DOD-approved solution must be used. Use of MD5 results in a CAT 2 finding since NTP authentication is required. DOD-approved solutions consist of a combination of a primary and secondary time source using a combination or multiple instances of the following: a time server designated for the appropriate DOD network (NIPRNet/SIPRNet); United States Naval Observatory (USNO) time servers; and/or the Global Positioning System (GPS). The secondary time source must be located in a different geographic region than the primary time source.</t>
    </r>
  </si>
  <si>
    <r>
      <rPr>
        <sz val="11"/>
        <color rgb="FF000000"/>
        <rFont val="Calibri"/>
      </rPr>
      <t>If NTP is not authenticated, an attacker can introduce a rogue NTP server. This rogue server can then be used to send incorrect time information to network devices, which will make log timestamps inaccurate and affect scheduled actions. NTP authentication is used to prevent this tampering by authenticating the time source.</t>
    </r>
  </si>
  <si>
    <r>
      <rPr>
        <sz val="11"/>
        <color rgb="FF000000"/>
        <rFont val="Calibri"/>
      </rPr>
      <t>1. Choose Administration &gt;&gt; System &gt;&gt; Settings &gt;&gt; System Time.</t>
    </r>
    <r>
      <rPr>
        <sz val="11"/>
        <color rgb="FF000000"/>
        <rFont val="Calibri"/>
      </rPr>
      <t xml:space="preserve">
</t>
    </r>
    <r>
      <rPr>
        <sz val="11"/>
        <color rgb="FF000000"/>
        <rFont val="Calibri"/>
      </rPr>
      <t>2.  Review the configuration of the NTP servers.</t>
    </r>
    <r>
      <rPr>
        <sz val="11"/>
        <color rgb="FF000000"/>
        <rFont val="Calibri"/>
      </rPr>
      <t xml:space="preserve">
</t>
    </r>
    <r>
      <rPr>
        <sz val="11"/>
        <color rgb="FF000000"/>
        <rFont val="Calibri"/>
      </rPr>
      <t xml:space="preserve">3.  Verify  "Only allow authenticated NTP servers" is checked. </t>
    </r>
    <r>
      <rPr>
        <sz val="11"/>
        <color rgb="FF000000"/>
        <rFont val="Calibri"/>
      </rPr>
      <t xml:space="preserve">
</t>
    </r>
    <r>
      <rPr>
        <sz val="11"/>
        <color rgb="FF000000"/>
        <rFont val="Calibri"/>
      </rPr>
      <t>If the Cisco ISE is not configured to authenticate NTP sources using authentication that is cryptographically based, this is a finding.</t>
    </r>
  </si>
  <si>
    <t>V-242645</t>
  </si>
  <si>
    <r>
      <rPr>
        <sz val="11"/>
        <rFont val="Calibri"/>
      </rPr>
      <t>For accounts using password authentication, the Cisco ISE must enforce a minimum 15-character password length.</t>
    </r>
  </si>
  <si>
    <r>
      <rPr>
        <sz val="11"/>
        <color rgb="FF000000"/>
        <rFont val="Calibri"/>
      </rPr>
      <t>Configure the password policy.</t>
    </r>
    <r>
      <rPr>
        <sz val="11"/>
        <color rgb="FF000000"/>
        <rFont val="Calibri"/>
      </rPr>
      <t xml:space="preserve">
</t>
    </r>
    <r>
      <rPr>
        <sz val="11"/>
        <color rgb="FF000000"/>
        <rFont val="Calibri"/>
      </rPr>
      <t>password-policy min-password-length 15</t>
    </r>
  </si>
  <si>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t>
    </r>
    <r>
      <rPr>
        <sz val="11"/>
        <color rgb="FF000000"/>
        <rFont val="Calibri"/>
      </rPr>
      <t xml:space="preserve">
</t>
    </r>
    <r>
      <rPr>
        <sz val="11"/>
        <color rgb="FF000000"/>
        <rFont val="Calibri"/>
      </rPr>
      <t>The shorter the password, the lower the number of possible combinations that need to be tested before the password is compromised. Use of more characters in a password helps to exponentially increase the time and/or resources required to compromise the password.</t>
    </r>
  </si>
  <si>
    <r>
      <rPr>
        <sz val="11"/>
        <color rgb="FF000000"/>
        <rFont val="Calibri"/>
      </rPr>
      <t>Verify the min-password length is set to 15.</t>
    </r>
    <r>
      <rPr>
        <sz val="11"/>
        <color rgb="FF000000"/>
        <rFont val="Calibri"/>
      </rPr>
      <t xml:space="preserve">
</t>
    </r>
    <r>
      <rPr>
        <sz val="11"/>
        <color rgb="FF000000"/>
        <rFont val="Calibri"/>
      </rPr>
      <t>Show password policy</t>
    </r>
    <r>
      <rPr>
        <sz val="11"/>
        <color rgb="FF000000"/>
        <rFont val="Calibri"/>
      </rPr>
      <t xml:space="preserve">
</t>
    </r>
    <r>
      <rPr>
        <sz val="11"/>
        <color rgb="FF000000"/>
        <rFont val="Calibri"/>
      </rPr>
      <t>If the Cisco ISE password policy is not configured to require a minimum 15-character password length, this is a finding.</t>
    </r>
  </si>
  <si>
    <t>V-242646</t>
  </si>
  <si>
    <r>
      <rPr>
        <sz val="11"/>
        <rFont val="Calibri"/>
      </rPr>
      <t>For accounts using password authentication, the Cisco ISE must enforce password complexity by requiring that at least one uppercase character be used.</t>
    </r>
  </si>
  <si>
    <r>
      <rPr>
        <sz val="11"/>
        <color rgb="FF000000"/>
        <rFont val="Calibri"/>
      </rPr>
      <t>Configure the password policy.</t>
    </r>
    <r>
      <rPr>
        <sz val="11"/>
        <color rgb="FF000000"/>
        <rFont val="Calibri"/>
      </rPr>
      <t xml:space="preserve">
</t>
    </r>
    <r>
      <rPr>
        <sz val="11"/>
        <color rgb="FF000000"/>
        <rFont val="Calibri"/>
      </rPr>
      <t>password-policy upper-case required 1</t>
    </r>
  </si>
  <si>
    <r>
      <rPr>
        <sz val="11"/>
        <color rgb="FF000000"/>
        <rFont val="Calibri"/>
      </rPr>
      <t>Use of a complex passwords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need to be tested before the password is compromised.</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PKI is not available, and for the account of last resort and root account.</t>
    </r>
  </si>
  <si>
    <r>
      <rPr>
        <sz val="11"/>
        <color rgb="FF000000"/>
        <rFont val="Calibri"/>
      </rPr>
      <t>Verify that at least one uppercase letter is required.</t>
    </r>
    <r>
      <rPr>
        <sz val="11"/>
        <color rgb="FF000000"/>
        <rFont val="Calibri"/>
      </rPr>
      <t xml:space="preserve">
</t>
    </r>
    <r>
      <rPr>
        <sz val="11"/>
        <color rgb="FF000000"/>
        <rFont val="Calibri"/>
      </rPr>
      <t>Show password policy</t>
    </r>
    <r>
      <rPr>
        <sz val="11"/>
        <color rgb="FF000000"/>
        <rFont val="Calibri"/>
      </rPr>
      <t xml:space="preserve">
</t>
    </r>
    <r>
      <rPr>
        <sz val="11"/>
        <color rgb="FF000000"/>
        <rFont val="Calibri"/>
      </rPr>
      <t>If the Cisco ISE password policy is not configured to require at least one uppercase character, this is a finding.</t>
    </r>
  </si>
  <si>
    <t>V-242647</t>
  </si>
  <si>
    <r>
      <rPr>
        <sz val="11"/>
        <rFont val="Calibri"/>
      </rPr>
      <t>For accounts using password authentication, the Cisco ISE must enforce password complexity by requiring that at least one lowercase character be used.</t>
    </r>
  </si>
  <si>
    <r>
      <rPr>
        <sz val="11"/>
        <color rgb="FF000000"/>
        <rFont val="Calibri"/>
      </rPr>
      <t>Configure the password policy.</t>
    </r>
    <r>
      <rPr>
        <sz val="11"/>
        <color rgb="FF000000"/>
        <rFont val="Calibri"/>
      </rPr>
      <t xml:space="preserve">
</t>
    </r>
    <r>
      <rPr>
        <sz val="11"/>
        <color rgb="FF000000"/>
        <rFont val="Calibri"/>
      </rPr>
      <t>password-policy lower-case required 1</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</si>
  <si>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PKI is not available, and for the account of last resort and root account.</t>
    </r>
  </si>
  <si>
    <r>
      <rPr>
        <sz val="11"/>
        <color rgb="FF000000"/>
        <rFont val="Calibri"/>
      </rPr>
      <t>Verify that at least one lowercase letter is required.</t>
    </r>
    <r>
      <rPr>
        <sz val="11"/>
        <color rgb="FF000000"/>
        <rFont val="Calibri"/>
      </rPr>
      <t xml:space="preserve">
</t>
    </r>
    <r>
      <rPr>
        <sz val="11"/>
        <color rgb="FF000000"/>
        <rFont val="Calibri"/>
      </rPr>
      <t>Show password policy</t>
    </r>
    <r>
      <rPr>
        <sz val="11"/>
        <color rgb="FF000000"/>
        <rFont val="Calibri"/>
      </rPr>
      <t xml:space="preserve">
</t>
    </r>
    <r>
      <rPr>
        <sz val="11"/>
        <color rgb="FF000000"/>
        <rFont val="Calibri"/>
      </rPr>
      <t>If the Cisco ISE password policy is not configured to require at least one lowercase character, this is a finding.</t>
    </r>
  </si>
  <si>
    <t>V-242648</t>
  </si>
  <si>
    <r>
      <rPr>
        <sz val="11"/>
        <rFont val="Calibri"/>
      </rPr>
      <t>For accounts using password authentication, the Cisco ISE must enforce password complexity by requiring that at least one digit be used.</t>
    </r>
  </si>
  <si>
    <r>
      <rPr>
        <sz val="11"/>
        <color rgb="FF000000"/>
        <rFont val="Calibri"/>
      </rPr>
      <t>Configure the password policy.</t>
    </r>
    <r>
      <rPr>
        <sz val="11"/>
        <color rgb="FF000000"/>
        <rFont val="Calibri"/>
      </rPr>
      <t xml:space="preserve">
</t>
    </r>
    <r>
      <rPr>
        <sz val="11"/>
        <color rgb="FF000000"/>
        <rFont val="Calibri"/>
      </rPr>
      <t>password-policy digit-required 1</t>
    </r>
  </si>
  <si>
    <r>
      <rPr>
        <sz val="11"/>
        <color rgb="FF000000"/>
        <rFont val="Calibri"/>
      </rPr>
      <t>Verify that at least one digit is required.</t>
    </r>
    <r>
      <rPr>
        <sz val="11"/>
        <color rgb="FF000000"/>
        <rFont val="Calibri"/>
      </rPr>
      <t xml:space="preserve">
</t>
    </r>
    <r>
      <rPr>
        <sz val="11"/>
        <color rgb="FF000000"/>
        <rFont val="Calibri"/>
      </rPr>
      <t>Show password policy</t>
    </r>
    <r>
      <rPr>
        <sz val="11"/>
        <color rgb="FF000000"/>
        <rFont val="Calibri"/>
      </rPr>
      <t xml:space="preserve">
</t>
    </r>
    <r>
      <rPr>
        <sz val="11"/>
        <color rgb="FF000000"/>
        <rFont val="Calibri"/>
      </rPr>
      <t>If the Cisco ISE password policy is not configured to require at least one digit, this is a finding.</t>
    </r>
  </si>
  <si>
    <t>V-242649</t>
  </si>
  <si>
    <r>
      <rPr>
        <sz val="11"/>
        <rFont val="Calibri"/>
      </rPr>
      <t>For accounts using password authentication, the Cisco ISE must enforce password complexity by requiring that at least one special character be used.</t>
    </r>
  </si>
  <si>
    <r>
      <rPr>
        <sz val="11"/>
        <color rgb="FF000000"/>
        <rFont val="Calibri"/>
      </rPr>
      <t>Configure the password policy.</t>
    </r>
    <r>
      <rPr>
        <sz val="11"/>
        <color rgb="FF000000"/>
        <rFont val="Calibri"/>
      </rPr>
      <t xml:space="preserve">
</t>
    </r>
    <r>
      <rPr>
        <sz val="11"/>
        <color rgb="FF000000"/>
        <rFont val="Calibri"/>
      </rPr>
      <t>password-policy special-required 1</t>
    </r>
  </si>
  <si>
    <r>
      <rPr>
        <sz val="11"/>
        <color rgb="FF000000"/>
        <rFont val="Calibri"/>
      </rPr>
      <t>Verify that at least one special character is required.</t>
    </r>
    <r>
      <rPr>
        <sz val="11"/>
        <color rgb="FF000000"/>
        <rFont val="Calibri"/>
      </rPr>
      <t xml:space="preserve">
</t>
    </r>
    <r>
      <rPr>
        <sz val="11"/>
        <color rgb="FF000000"/>
        <rFont val="Calibri"/>
      </rPr>
      <t>Show password policy</t>
    </r>
    <r>
      <rPr>
        <sz val="11"/>
        <color rgb="FF000000"/>
        <rFont val="Calibri"/>
      </rPr>
      <t xml:space="preserve">
</t>
    </r>
    <r>
      <rPr>
        <sz val="11"/>
        <color rgb="FF000000"/>
        <rFont val="Calibri"/>
      </rPr>
      <t>If the Cisco ISE password policy is not configured to require at least one special character, this is a finding.</t>
    </r>
  </si>
  <si>
    <t>V-242651</t>
  </si>
  <si>
    <r>
      <rPr>
        <sz val="11"/>
        <rFont val="Calibri"/>
      </rPr>
      <t>For accounts using password authentication, the Cisco ISE must use FIPS-validated SHA-2 or later protocol to protect the integrity of the password authentication process.</t>
    </r>
  </si>
  <si>
    <r>
      <rPr>
        <sz val="11"/>
        <color rgb="FF000000"/>
        <rFont val="Calibri"/>
      </rPr>
      <t>Enable FIPS Mode in Cisco ISE to ensure FIPS 140-2/140-3 algorithms are used in all security functions requiring cryptographic functions.</t>
    </r>
    <r>
      <rPr>
        <sz val="11"/>
        <color rgb="FF000000"/>
        <rFont val="Calibri"/>
      </rPr>
      <t xml:space="preserve">
</t>
    </r>
    <r>
      <rPr>
        <sz val="11"/>
        <color rgb="FF000000"/>
        <rFont val="Calibri"/>
      </rPr>
      <t>1. Choose Administration &gt;&gt; System &gt;&gt; Settings &gt;&gt; FIPS Mode.</t>
    </r>
    <r>
      <rPr>
        <sz val="11"/>
        <color rgb="FF000000"/>
        <rFont val="Calibri"/>
      </rPr>
      <t xml:space="preserve">
</t>
    </r>
    <r>
      <rPr>
        <sz val="11"/>
        <color rgb="FF000000"/>
        <rFont val="Calibri"/>
      </rPr>
      <t>2. Choose the "Enabled" option from the FIPS Mode drop-down list.</t>
    </r>
    <r>
      <rPr>
        <sz val="11"/>
        <color rgb="FF000000"/>
        <rFont val="Calibri"/>
      </rPr>
      <t xml:space="preserve">
</t>
    </r>
    <r>
      <rPr>
        <sz val="11"/>
        <color rgb="FF000000"/>
        <rFont val="Calibri"/>
      </rPr>
      <t>3. Click "Save" and restart the node.</t>
    </r>
    <r>
      <rPr>
        <sz val="11"/>
        <color rgb="FF000000"/>
        <rFont val="Calibri"/>
      </rPr>
      <t xml:space="preserve">
</t>
    </r>
    <r>
      <rPr>
        <sz val="11"/>
        <color rgb="FF000000"/>
        <rFont val="Calibri"/>
      </rPr>
      <t>Note: Configuring FIPS mode is the required DOD configuration. However, this requirement can be lowered to a CAT 2 if the alternative manual configuration is used to configure the password authentication process to use a FIPS 140-2/140-3 validated SHA-2 (or greater).</t>
    </r>
  </si>
  <si>
    <r>
      <rPr>
        <sz val="11"/>
        <color rgb="FF000000"/>
        <rFont val="Calibri"/>
      </rPr>
      <t>Passwords need to be protected at all times, and encryption is the standard method for protecting passwords. If passwords are not encrypted, they can be plainly read (i.e., clear text) and easily compromised.</t>
    </r>
    <r>
      <rPr>
        <sz val="11"/>
        <color rgb="FF000000"/>
        <rFont val="Calibri"/>
      </rPr>
      <t xml:space="preserve">
</t>
    </r>
    <r>
      <rPr>
        <sz val="11"/>
        <color rgb="FF000000"/>
        <rFont val="Calibri"/>
      </rPr>
      <t>The information system must specify the hash algorithm used for authenticating passwords. Implementation of this requirement requires configuration of FIPS-approved cipher block algorithm and block cipher modes for encryption.</t>
    </r>
    <r>
      <rPr>
        <sz val="11"/>
        <color rgb="FF000000"/>
        <rFont val="Calibri"/>
      </rPr>
      <t xml:space="preserve">
</t>
    </r>
    <r>
      <rPr>
        <sz val="11"/>
        <color rgb="FF000000"/>
        <rFont val="Calibri"/>
      </rPr>
      <t xml:space="preserve">Note: Although allowed by SP800-131Ar1 for some applications, SHA-1 is considered a compromised hashing standard and is being phased out of use by industry and government standards. Unless required for legacy use, DOD systems should not be configured to use SHA-1 for integrity of remote access sessions. </t>
    </r>
    <r>
      <rPr>
        <sz val="11"/>
        <color rgb="FF000000"/>
        <rFont val="Calibri"/>
      </rPr>
      <t xml:space="preserve">
</t>
    </r>
    <r>
      <rPr>
        <sz val="11"/>
        <color rgb="FF000000"/>
        <rFont val="Calibri"/>
      </rPr>
      <t>This requirement applies to all accounts, including authentication server, AAA, and local accounts such as the root account and the account of last resort.</t>
    </r>
  </si>
  <si>
    <r>
      <rPr>
        <sz val="11"/>
        <color rgb="FF000000"/>
        <rFont val="Calibri"/>
      </rPr>
      <t>Navigate to Administration &gt;&gt; System &gt;&gt; Settings &gt;&gt; FIPS Mode.</t>
    </r>
    <r>
      <rPr>
        <sz val="11"/>
        <color rgb="FF000000"/>
        <rFont val="Calibri"/>
      </rPr>
      <t xml:space="preserve">
</t>
    </r>
    <r>
      <rPr>
        <sz val="11"/>
        <color rgb="FF000000"/>
        <rFont val="Calibri"/>
      </rPr>
      <t>Verify FIPS Mode is enabled.</t>
    </r>
    <r>
      <rPr>
        <sz val="11"/>
        <color rgb="FF000000"/>
        <rFont val="Calibri"/>
      </rPr>
      <t xml:space="preserve">
</t>
    </r>
    <r>
      <rPr>
        <sz val="11"/>
        <color rgb="FF000000"/>
        <rFont val="Calibri"/>
      </rPr>
      <t>If FIPS Mode is enabled, this is not a finding.</t>
    </r>
    <r>
      <rPr>
        <sz val="11"/>
        <color rgb="FF000000"/>
        <rFont val="Calibri"/>
      </rPr>
      <t xml:space="preserve">
</t>
    </r>
    <r>
      <rPr>
        <sz val="11"/>
        <color rgb="FF000000"/>
        <rFont val="Calibri"/>
      </rPr>
      <t>If FIPS mode is not configured, but the Cisco ISE is configured using an alternative manual method to configure the password authentication process to use a FIPS 140-2/140-3 validated SHA-2 (or greater), this can be lowered to a CAT 2 finding.</t>
    </r>
  </si>
  <si>
    <t>V-242652</t>
  </si>
  <si>
    <r>
      <rPr>
        <sz val="11"/>
        <rFont val="Calibri"/>
      </rPr>
      <t>The Cisco ISE must prohibit the use of cached authenticators after an organization-defined time period.</t>
    </r>
  </si>
  <si>
    <r>
      <rPr>
        <sz val="11"/>
        <color rgb="FF000000"/>
        <rFont val="Calibri"/>
      </rPr>
      <t>Navigate to Administration &gt;&gt; System &gt;&gt; Admin Access &gt;&gt; Authentication &gt;&gt; Password Policy.</t>
    </r>
    <r>
      <rPr>
        <sz val="11"/>
        <color rgb="FF000000"/>
        <rFont val="Calibri"/>
      </rPr>
      <t xml:space="preserve">
</t>
    </r>
    <r>
      <rPr>
        <sz val="11"/>
        <color rgb="FF000000"/>
        <rFont val="Calibri"/>
      </rPr>
      <t>Set the "Password cached for" field to the organization-defined value available in the SSP.</t>
    </r>
  </si>
  <si>
    <r>
      <rPr>
        <sz val="11"/>
        <color rgb="FF000000"/>
        <rFont val="Calibri"/>
      </rPr>
      <t>Some authentication implementations can be configured to use cached authenticators.</t>
    </r>
    <r>
      <rPr>
        <sz val="11"/>
        <color rgb="FF000000"/>
        <rFont val="Calibri"/>
      </rPr>
      <t xml:space="preserve">
</t>
    </r>
    <r>
      <rPr>
        <sz val="11"/>
        <color rgb="FF000000"/>
        <rFont val="Calibri"/>
      </rPr>
      <t>If cached authentication information is out-of-date, the validity of the authentication information may be questionable.</t>
    </r>
    <r>
      <rPr>
        <sz val="11"/>
        <color rgb="FF000000"/>
        <rFont val="Calibri"/>
      </rPr>
      <t xml:space="preserve">
</t>
    </r>
    <r>
      <rPr>
        <sz val="11"/>
        <color rgb="FF000000"/>
        <rFont val="Calibri"/>
      </rPr>
      <t>The organization-defined time period should be established for each device depending on the nature of the device; for example, a device with just a few administrators in a facility with spotty network connectivity may merit a longer caching time period than a device with many administrators.</t>
    </r>
  </si>
  <si>
    <r>
      <rPr>
        <sz val="11"/>
        <color rgb="FF000000"/>
        <rFont val="Calibri"/>
      </rPr>
      <t>View the SSP for the required value.</t>
    </r>
    <r>
      <rPr>
        <sz val="11"/>
        <color rgb="FF000000"/>
        <rFont val="Calibri"/>
      </rPr>
      <t xml:space="preserve">
</t>
    </r>
    <r>
      <rPr>
        <sz val="11"/>
        <color rgb="FF000000"/>
        <rFont val="Calibri"/>
      </rPr>
      <t>Navigate to Administration &gt;&gt; System &gt;&gt; Admin Access &gt;&gt; Authentication &gt;&gt; Password Policy.</t>
    </r>
    <r>
      <rPr>
        <sz val="11"/>
        <color rgb="FF000000"/>
        <rFont val="Calibri"/>
      </rPr>
      <t xml:space="preserve">
</t>
    </r>
    <r>
      <rPr>
        <sz val="11"/>
        <color rgb="FF000000"/>
        <rFont val="Calibri"/>
      </rPr>
      <t>Verify the SSP required value matches the "Password cached for" field.</t>
    </r>
    <r>
      <rPr>
        <sz val="11"/>
        <color rgb="FF000000"/>
        <rFont val="Calibri"/>
      </rPr>
      <t xml:space="preserve">
</t>
    </r>
    <r>
      <rPr>
        <sz val="11"/>
        <color rgb="FF000000"/>
        <rFont val="Calibri"/>
      </rPr>
      <t>If the Cisco ISE does not prohibit the use of cached authenticators after an organization-defined time period, this is a finding.</t>
    </r>
  </si>
  <si>
    <t>V-242653</t>
  </si>
  <si>
    <r>
      <rPr>
        <sz val="11"/>
        <rFont val="Calibri"/>
      </rPr>
      <t>The Cisco ISE must use FIPS-validated SHA-2 (or greater) to protect the integrity of hash message authentication code (HMAC), Key Derivation Functions (KDFs), Random Bit Generation, and hash-only applications.</t>
    </r>
  </si>
  <si>
    <r>
      <rPr>
        <sz val="11"/>
        <color rgb="FF000000"/>
        <rFont val="Calibri"/>
      </rPr>
      <t>Enable FIPS Mode in Cisco ISE to ensure FIPS 140-2/3 algorithms are used in all security functions requiring cryptographic functions.</t>
    </r>
    <r>
      <rPr>
        <sz val="11"/>
        <color rgb="FF000000"/>
        <rFont val="Calibri"/>
      </rPr>
      <t xml:space="preserve">
</t>
    </r>
    <r>
      <rPr>
        <sz val="11"/>
        <color rgb="FF000000"/>
        <rFont val="Calibri"/>
      </rPr>
      <t>1. Choose Administration &gt;&gt; System &gt;&gt; Settings &gt;&gt; FIPS Mode.</t>
    </r>
    <r>
      <rPr>
        <sz val="11"/>
        <color rgb="FF000000"/>
        <rFont val="Calibri"/>
      </rPr>
      <t xml:space="preserve">
</t>
    </r>
    <r>
      <rPr>
        <sz val="11"/>
        <color rgb="FF000000"/>
        <rFont val="Calibri"/>
      </rPr>
      <t>2. Choose the "Enabled" option from the FIPS Mode drop-down list.</t>
    </r>
    <r>
      <rPr>
        <sz val="11"/>
        <color rgb="FF000000"/>
        <rFont val="Calibri"/>
      </rPr>
      <t xml:space="preserve">
</t>
    </r>
    <r>
      <rPr>
        <sz val="11"/>
        <color rgb="FF000000"/>
        <rFont val="Calibri"/>
      </rPr>
      <t>3. Click "Save" and restart the node.</t>
    </r>
    <r>
      <rPr>
        <sz val="11"/>
        <color rgb="FF000000"/>
        <rFont val="Calibri"/>
      </rPr>
      <t xml:space="preserve">
</t>
    </r>
    <r>
      <rPr>
        <sz val="11"/>
        <color rgb="FF000000"/>
        <rFont val="Calibri"/>
      </rPr>
      <t>NOTE: Configuring FIPS mode is the required DoD configuration. However, this requirement can be lowered to a CAT 2 if the alternative manual configuration is used to configure SHA-2 or higher hash function to protect the integrity of HMAC, KDFs, Random Bit Generation, and hash-only applications.</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</si>
  <si>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Nonlocal maintenance and diagnostic activities are activities conducted by individuals communicating through either an external network (e.g., the Internet) or an internal network.</t>
    </r>
    <r>
      <rPr>
        <sz val="11"/>
        <color rgb="FF000000"/>
        <rFont val="Calibri"/>
      </rPr>
      <t xml:space="preserve">
</t>
    </r>
    <r>
      <rPr>
        <sz val="11"/>
        <color rgb="FF000000"/>
        <rFont val="Calibri"/>
      </rPr>
      <t xml:space="preserve">Note: Although allowed by SP800-131Ar1 for some applications, SHA-1 is considered a compromised hashing standard and is being phased out of use by industry and government standards. Unless required for legacy use, DoD systems should not be configured to use SHA-1 for integrity of remote access sessions. </t>
    </r>
    <r>
      <rPr>
        <sz val="11"/>
        <color rgb="FF000000"/>
        <rFont val="Calibri"/>
      </rPr>
      <t xml:space="preserve">
</t>
    </r>
    <r>
      <rPr>
        <sz val="11"/>
        <color rgb="FF000000"/>
        <rFont val="Calibri"/>
      </rPr>
      <t>To protect the integrity of the authenticator and authentication mechanism used for the cryptographic module used by the network device, the application, operating system, or protocol must be configured to use one of the following hash functions for hashing the password or other authenticator in accordance with SP 800-131Ar1: SHA-224, SHA-256, SHA-384, SHA-512, SHA-512/224, SHA-512/256, SHA3-224, SHA3-256, SHA3-384, and SHA3-512.</t>
    </r>
    <r>
      <rPr>
        <sz val="11"/>
        <color rgb="FF000000"/>
        <rFont val="Calibri"/>
      </rPr>
      <t xml:space="preserve">
</t>
    </r>
    <r>
      <rPr>
        <sz val="11"/>
        <color rgb="FF000000"/>
        <rFont val="Calibri"/>
      </rPr>
      <t>Applications also include HMAC, KDFs, Random Bit Generation, and hash-only applications (e.g., hashing passwords and use for compute a checksum). For digital signature verification, SP800-131Ar1 allows SHA-1 for legacy use only, but this is discouraged by DoD.</t>
    </r>
    <r>
      <rPr>
        <sz val="11"/>
        <color rgb="FF000000"/>
        <rFont val="Calibri"/>
      </rPr>
      <t xml:space="preserve">
</t>
    </r>
    <r>
      <rPr>
        <sz val="11"/>
        <color rgb="FF000000"/>
        <rFont val="Calibri"/>
      </rPr>
      <t>Separate requirements for configuring applications and protocols used by each product (e.g., SNMPv3, SSH, NTP, and other protocols and applications that require server/client authentication) are required to implement this requirement.</t>
    </r>
  </si>
  <si>
    <r>
      <rPr>
        <sz val="11"/>
        <color rgb="FF000000"/>
        <rFont val="Calibri"/>
      </rPr>
      <t>Navigate to Administration &gt;&gt; System &gt;&gt; Settings &gt;&gt; FIPS Mode.</t>
    </r>
    <r>
      <rPr>
        <sz val="11"/>
        <color rgb="FF000000"/>
        <rFont val="Calibri"/>
      </rPr>
      <t xml:space="preserve">
</t>
    </r>
    <r>
      <rPr>
        <sz val="11"/>
        <color rgb="FF000000"/>
        <rFont val="Calibri"/>
      </rPr>
      <t>Verify FIPS Mode is enabled.</t>
    </r>
    <r>
      <rPr>
        <sz val="11"/>
        <color rgb="FF000000"/>
        <rFont val="Calibri"/>
      </rPr>
      <t xml:space="preserve">
</t>
    </r>
    <r>
      <rPr>
        <sz val="11"/>
        <color rgb="FF000000"/>
        <rFont val="Calibri"/>
      </rPr>
      <t>If FIPS Mode is enabled, this is not a finding.</t>
    </r>
    <r>
      <rPr>
        <sz val="11"/>
        <color rgb="FF000000"/>
        <rFont val="Calibri"/>
      </rPr>
      <t xml:space="preserve">
</t>
    </r>
    <r>
      <rPr>
        <sz val="11"/>
        <color rgb="FF000000"/>
        <rFont val="Calibri"/>
      </rPr>
      <t>If FIPS mode is not configured, but the Cisco ISE is configured using an alternative manual method to configure SHA-2 (or greater) to protect the integrity of HMAC, KDFs, Random Bit Generation, and hash-only applications, this can be lowered to a CAT 2 finding.</t>
    </r>
  </si>
  <si>
    <t>V-242654</t>
  </si>
  <si>
    <r>
      <rPr>
        <sz val="11"/>
        <rFont val="Calibri"/>
      </rPr>
      <t>The Cisco ISE must use FIPS-validated Keyed-Hash Message Authentication Code (HMAC) to protect the integrity of nonlocal maintenance and diagnostic communications.</t>
    </r>
  </si>
  <si>
    <r>
      <rPr>
        <sz val="11"/>
        <color rgb="FF000000"/>
        <rFont val="Calibri"/>
      </rPr>
      <t>Enable FIPS Mode in Cisco ISE to ensure FIPS 140-2/3 algorithms are used in all security functions requiring cryptographic functions.</t>
    </r>
    <r>
      <rPr>
        <sz val="11"/>
        <color rgb="FF000000"/>
        <rFont val="Calibri"/>
      </rPr>
      <t xml:space="preserve">
</t>
    </r>
    <r>
      <rPr>
        <sz val="11"/>
        <color rgb="FF000000"/>
        <rFont val="Calibri"/>
      </rPr>
      <t>1. Choose Administration &gt;&gt; System &gt;&gt; Settings &gt;&gt; FIPS Mode.</t>
    </r>
    <r>
      <rPr>
        <sz val="11"/>
        <color rgb="FF000000"/>
        <rFont val="Calibri"/>
      </rPr>
      <t xml:space="preserve">
</t>
    </r>
    <r>
      <rPr>
        <sz val="11"/>
        <color rgb="FF000000"/>
        <rFont val="Calibri"/>
      </rPr>
      <t>2. Choose the "Enabled" option from the FIPS Mode drop-down list.</t>
    </r>
    <r>
      <rPr>
        <sz val="11"/>
        <color rgb="FF000000"/>
        <rFont val="Calibri"/>
      </rPr>
      <t xml:space="preserve">
</t>
    </r>
    <r>
      <rPr>
        <sz val="11"/>
        <color rgb="FF000000"/>
        <rFont val="Calibri"/>
      </rPr>
      <t>3. Click "Save" and restart the node.</t>
    </r>
    <r>
      <rPr>
        <sz val="11"/>
        <color rgb="FF000000"/>
        <rFont val="Calibri"/>
      </rPr>
      <t xml:space="preserve">
</t>
    </r>
    <r>
      <rPr>
        <sz val="11"/>
        <color rgb="FF000000"/>
        <rFont val="Calibri"/>
      </rPr>
      <t>NOTE: Configuring FIPS mode is the required DoD configuration. However, this requirement can be lowered to a CAT 3 if the alternative manual configuration is used to configure a FIPS 140-2/3 validated HMAC to protect the integrity of nonlocal maintenance and diagnostic communications.</t>
    </r>
  </si>
  <si>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 xml:space="preserve">Nonlocal maintenance and diagnostic activities are those activities conducted by individuals communicating through a network, either an external network (e.g., the Internet) or an internal network. </t>
    </r>
    <r>
      <rPr>
        <sz val="11"/>
        <color rgb="FF000000"/>
        <rFont val="Calibri"/>
      </rPr>
      <t xml:space="preserve">
</t>
    </r>
    <r>
      <rPr>
        <sz val="11"/>
        <color rgb="FF000000"/>
        <rFont val="Calibri"/>
      </rPr>
      <t>Currently, HMAC is the only FIPS-approved algorithm for generating and verifying message/data authentication codes in accordance with FIPS 198-1. Products that are FIPS 140-2 validated will have an HMAC that meets specification; however, the option must be configured for use as the only message authentication code used for authentication to cryptographic modules.</t>
    </r>
    <r>
      <rPr>
        <sz val="11"/>
        <color rgb="FF000000"/>
        <rFont val="Calibri"/>
      </rPr>
      <t xml:space="preserve">
</t>
    </r>
    <r>
      <rPr>
        <sz val="11"/>
        <color rgb="FF000000"/>
        <rFont val="Calibri"/>
      </rPr>
      <t>Separate requirements for configuring applications and protocols used by each application (e.g., SNMPv3, SSHv2, NTP, HTTPS, and other protocols and applications that require server/client authentication) are required to implement this requirement. Where SSH is used, the SSHv2 protocol suite is required because it includes Layer 7 protocols such as SCP and SFTP, which can be used for secure file transfers.</t>
    </r>
  </si>
  <si>
    <r>
      <rPr>
        <sz val="11"/>
        <color rgb="FF000000"/>
        <rFont val="Calibri"/>
      </rPr>
      <t>Navigate to Administration &gt;&gt; System &gt;&gt; Settings &gt;&gt; FIPS Mode.</t>
    </r>
    <r>
      <rPr>
        <sz val="11"/>
        <color rgb="FF000000"/>
        <rFont val="Calibri"/>
      </rPr>
      <t xml:space="preserve">
</t>
    </r>
    <r>
      <rPr>
        <sz val="11"/>
        <color rgb="FF000000"/>
        <rFont val="Calibri"/>
      </rPr>
      <t>Verify FIPS Mode is enabled.</t>
    </r>
    <r>
      <rPr>
        <sz val="11"/>
        <color rgb="FF000000"/>
        <rFont val="Calibri"/>
      </rPr>
      <t xml:space="preserve">
</t>
    </r>
    <r>
      <rPr>
        <sz val="11"/>
        <color rgb="FF000000"/>
        <rFont val="Calibri"/>
      </rPr>
      <t>If FIPS Mode is enabled, this is not a finding.</t>
    </r>
    <r>
      <rPr>
        <sz val="11"/>
        <color rgb="FF000000"/>
        <rFont val="Calibri"/>
      </rPr>
      <t xml:space="preserve">
</t>
    </r>
    <r>
      <rPr>
        <sz val="11"/>
        <color rgb="FF000000"/>
        <rFont val="Calibri"/>
      </rPr>
      <t>If FIPS mode is not configured, but the Cisco ISE is configured using an alternative manual method to configure to configure a FIPS 140-2/3 validated HMAC to protect the integrity of nonlocal maintenance and diagnostic communication, this can be lowered to a CAT 3 finding.</t>
    </r>
  </si>
  <si>
    <t>V-242655</t>
  </si>
  <si>
    <r>
      <rPr>
        <sz val="11"/>
        <rFont val="Calibri"/>
      </rPr>
      <t>The Cisco ISE must verify the checksum value of any software download, including install files (ISO or OVA), patch files, and upgrade bundles.</t>
    </r>
  </si>
  <si>
    <r>
      <rPr>
        <sz val="11"/>
        <color rgb="FF000000"/>
        <rFont val="Calibri"/>
      </rPr>
      <t>Go to the DoD repository or Cisco download page. Hover over the download link and a small window will pop up. This window will contain information about that particular download. The information includes the MD5 and SHA512 checksum value of that file.</t>
    </r>
    <r>
      <rPr>
        <sz val="11"/>
        <color rgb="FF000000"/>
        <rFont val="Calibri"/>
      </rPr>
      <t xml:space="preserve">
</t>
    </r>
    <r>
      <rPr>
        <sz val="11"/>
        <color rgb="FF000000"/>
        <rFont val="Calibri"/>
      </rPr>
      <t>From the Cisco ISE command line interface (CLI), enter application upgrade prepare command. This command copies the upgrade bundle to the local repository "upgrade" that you created in the previous step and lists the MD5 and SHA256 checksum.</t>
    </r>
    <r>
      <rPr>
        <sz val="11"/>
        <color rgb="FF000000"/>
        <rFont val="Calibri"/>
      </rPr>
      <t xml:space="preserve">
</t>
    </r>
    <r>
      <rPr>
        <sz val="11"/>
        <color rgb="FF000000"/>
        <rFont val="Calibri"/>
      </rPr>
      <t>If the checksum matches the value found from the source repository, proceed with the update.</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</si>
  <si>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Nonlocal maintenance and diagnostic activities are those activities conducted by individuals communicating through a network, either an external network (e.g., the Internet) or an internal network.</t>
    </r>
    <r>
      <rPr>
        <sz val="11"/>
        <color rgb="FF000000"/>
        <rFont val="Calibri"/>
      </rPr>
      <t xml:space="preserve">
</t>
    </r>
    <r>
      <rPr>
        <sz val="11"/>
        <color rgb="FF000000"/>
        <rFont val="Calibri"/>
      </rPr>
      <t>Currently, HMAC is the only FIPS-approved algorithm for generating and verifying message/data authentication codes in accordance with FIPS 198-1. Products that are FIPS 140-2 validated will have an HMAC that meets specification; however, the option must be configured for use as the only message authentication code used for authentication to cryptographic modules.</t>
    </r>
    <r>
      <rPr>
        <sz val="11"/>
        <color rgb="FF000000"/>
        <rFont val="Calibri"/>
      </rPr>
      <t xml:space="preserve">
</t>
    </r>
    <r>
      <rPr>
        <sz val="11"/>
        <color rgb="FF000000"/>
        <rFont val="Calibri"/>
      </rPr>
      <t>Separate requirements for configuring applications and protocols used by each application (e.g., SNMPv3, SSHv2, NTP, HTTPS, and other protocols and applications that require server/client authentication) are required to implement this requirement. Where SSH is used, the SSHv2 protocol suite is required because it includes Layer 7 protocols such as SCP and SFTP, which can be used for secure file transfers.</t>
    </r>
  </si>
  <si>
    <r>
      <rPr>
        <sz val="11"/>
        <color rgb="FF000000"/>
        <rFont val="Calibri"/>
      </rPr>
      <t>Verify the SSP requires a process for verifying the checksum for software download and install ISO files.</t>
    </r>
    <r>
      <rPr>
        <sz val="11"/>
        <color rgb="FF000000"/>
        <rFont val="Calibri"/>
      </rPr>
      <t xml:space="preserve">
</t>
    </r>
    <r>
      <rPr>
        <sz val="11"/>
        <color rgb="FF000000"/>
        <rFont val="Calibri"/>
      </rPr>
      <t>If a local documented process does not require that the checksum value of any software download be verified, this is a finding.</t>
    </r>
  </si>
  <si>
    <t>V-242656</t>
  </si>
  <si>
    <r>
      <rPr>
        <sz val="11"/>
        <rFont val="Calibri"/>
      </rPr>
      <t>The Cisco ISE must be configured to implement cryptographic mechanisms using a FIPS 140-2 validated algorithm to protect the confidentiality of remote maintenance sessions.</t>
    </r>
  </si>
  <si>
    <r>
      <rPr>
        <sz val="11"/>
        <color rgb="FF000000"/>
        <rFont val="Calibri"/>
      </rPr>
      <t>Enable FIPS Mode in Cisco ISE to ensure FIPS 140-2/3 algorithms are used in all security functions requiring cryptographic functions.</t>
    </r>
    <r>
      <rPr>
        <sz val="11"/>
        <color rgb="FF000000"/>
        <rFont val="Calibri"/>
      </rPr>
      <t xml:space="preserve">
</t>
    </r>
    <r>
      <rPr>
        <sz val="11"/>
        <color rgb="FF000000"/>
        <rFont val="Calibri"/>
      </rPr>
      <t>1. Choose Administration &gt;&gt; System &gt;&gt; Settings &gt;&gt; FIPS Mode.</t>
    </r>
    <r>
      <rPr>
        <sz val="11"/>
        <color rgb="FF000000"/>
        <rFont val="Calibri"/>
      </rPr>
      <t xml:space="preserve">
</t>
    </r>
    <r>
      <rPr>
        <sz val="11"/>
        <color rgb="FF000000"/>
        <rFont val="Calibri"/>
      </rPr>
      <t>2. Choose the "Enabled" option from the FIPS Mode drop-down list.</t>
    </r>
    <r>
      <rPr>
        <sz val="11"/>
        <color rgb="FF000000"/>
        <rFont val="Calibri"/>
      </rPr>
      <t xml:space="preserve">
</t>
    </r>
    <r>
      <rPr>
        <sz val="11"/>
        <color rgb="FF000000"/>
        <rFont val="Calibri"/>
      </rPr>
      <t>3. Click "Save" and restart the node.</t>
    </r>
    <r>
      <rPr>
        <sz val="11"/>
        <color rgb="FF000000"/>
        <rFont val="Calibri"/>
      </rPr>
      <t xml:space="preserve">
</t>
    </r>
    <r>
      <rPr>
        <sz val="11"/>
        <color rgb="FF000000"/>
        <rFont val="Calibri"/>
      </rPr>
      <t>NOTE: Configuring FIPS mode is the required DoD configuration. However, this requirement can be lowered to a CAT 2 if the alternative manual configuration is used to configure a FIPS 140-2/3 validated HMAC to protect the integrity of nonlocal maintenance and diagnostic communications.</t>
    </r>
  </si>
  <si>
    <r>
      <rPr>
        <sz val="11"/>
        <color rgb="FF000000"/>
        <rFont val="Calibri"/>
      </rPr>
      <t>This requires the use of secure protocols instead of their unsecured counterparts, such as SSH instead of telnet, SCP instead of FTP, and HTTPS instead of HTTP. If unsecured protocols (lacking cryptographic mechanisms) are used for sessions, the contents of those sessions will be susceptible to eavesdropping, potentially putting sensitive data (including administrator passwords) at risk of compromise and potentially allowing hijacking of maintenance sessions.</t>
    </r>
  </si>
  <si>
    <r>
      <rPr>
        <sz val="11"/>
        <color rgb="FF000000"/>
        <rFont val="Calibri"/>
      </rPr>
      <t>Navigate to Administration &gt;&gt; System &gt;&gt; Settings &gt;&gt; FIPS Mode.</t>
    </r>
    <r>
      <rPr>
        <sz val="11"/>
        <color rgb="FF000000"/>
        <rFont val="Calibri"/>
      </rPr>
      <t xml:space="preserve">
</t>
    </r>
    <r>
      <rPr>
        <sz val="11"/>
        <color rgb="FF000000"/>
        <rFont val="Calibri"/>
      </rPr>
      <t>Verify FIPS Mode is enabled.</t>
    </r>
    <r>
      <rPr>
        <sz val="11"/>
        <color rgb="FF000000"/>
        <rFont val="Calibri"/>
      </rPr>
      <t xml:space="preserve">
</t>
    </r>
    <r>
      <rPr>
        <sz val="11"/>
        <color rgb="FF000000"/>
        <rFont val="Calibri"/>
      </rPr>
      <t>If FIPS Mode is enabled, this is not a finding.</t>
    </r>
    <r>
      <rPr>
        <sz val="11"/>
        <color rgb="FF000000"/>
        <rFont val="Calibri"/>
      </rPr>
      <t xml:space="preserve">
</t>
    </r>
    <r>
      <rPr>
        <sz val="11"/>
        <color rgb="FF000000"/>
        <rFont val="Calibri"/>
      </rPr>
      <t>If FIPS mode is not configured, but the Cisco ISE is configured using an alternative manual method to configure to configure configure a FIPS 140-2/3 validated HMAC to protect the integrity of nonlocal maintenance and diagnostic communications, this can be lowered to a CAT 2 finding.</t>
    </r>
  </si>
  <si>
    <t>V-242657</t>
  </si>
  <si>
    <r>
      <rPr>
        <sz val="11"/>
        <rFont val="Calibri"/>
      </rPr>
      <t>The Cisco ISE must terminate all network connections associated with a device management session at the end of the session, or the session must be terminated after six minutes of inactivity, except to fulfill documented and validated mission requirements.</t>
    </r>
  </si>
  <si>
    <r>
      <rPr>
        <sz val="11"/>
        <color rgb="FF000000"/>
        <rFont val="Calibri"/>
      </rPr>
      <t>Configure Session Timeout for Administrators.</t>
    </r>
    <r>
      <rPr>
        <sz val="11"/>
        <color rgb="FF000000"/>
        <rFont val="Calibri"/>
      </rPr>
      <t xml:space="preserve">
</t>
    </r>
    <r>
      <rPr>
        <sz val="11"/>
        <color rgb="FF000000"/>
        <rFont val="Calibri"/>
      </rPr>
      <t>1. Choose Administration &gt;&gt; System &gt;&gt; Admin Access &gt;&gt; Settings &gt;&gt; Session &gt;&gt; Session Timeout.</t>
    </r>
    <r>
      <rPr>
        <sz val="11"/>
        <color rgb="FF000000"/>
        <rFont val="Calibri"/>
      </rPr>
      <t xml:space="preserve">
</t>
    </r>
    <r>
      <rPr>
        <sz val="11"/>
        <color rgb="FF000000"/>
        <rFont val="Calibri"/>
      </rPr>
      <t>2. Enter "6".</t>
    </r>
    <r>
      <rPr>
        <sz val="11"/>
        <color rgb="FF000000"/>
        <rFont val="Calibri"/>
      </rPr>
      <t xml:space="preserve">
</t>
    </r>
    <r>
      <rPr>
        <sz val="11"/>
        <color rgb="FF000000"/>
        <rFont val="Calibri"/>
      </rPr>
      <t>3. Click "Save".</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</si>
  <si>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t>
    </r>
  </si>
  <si>
    <r>
      <rPr>
        <sz val="11"/>
        <color rgb="FF000000"/>
        <rFont val="Calibri"/>
      </rPr>
      <t>From the CLI EXEC mode, type show terminal.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From the GUI, navigate to Administration &gt;&gt; System &gt;&gt; Admin Access &gt;&gt; Settings &gt;&gt; Session.</t>
    </r>
    <r>
      <rPr>
        <sz val="11"/>
        <color rgb="FF000000"/>
        <rFont val="Calibri"/>
      </rPr>
      <t xml:space="preserve">
</t>
    </r>
    <r>
      <rPr>
        <sz val="11"/>
        <color rgb="FF000000"/>
        <rFont val="Calibri"/>
      </rPr>
      <t>View the session timeout setting.</t>
    </r>
    <r>
      <rPr>
        <sz val="11"/>
        <color rgb="FF000000"/>
        <rFont val="Calibri"/>
      </rPr>
      <t xml:space="preserve">
</t>
    </r>
    <r>
      <rPr>
        <sz val="11"/>
        <color rgb="FF000000"/>
        <rFont val="Calibri"/>
      </rPr>
      <t>If the terminal and administration setting is not set to six minutes or less, this is a finding.</t>
    </r>
  </si>
  <si>
    <t>V-242658</t>
  </si>
  <si>
    <r>
      <rPr>
        <sz val="11"/>
        <rFont val="Calibri"/>
      </rPr>
      <t>The Cisco ISE must generate unique session identifiers using a FIPS 140-2 approved Random Number Generator (RNG) using DRGB.</t>
    </r>
  </si>
  <si>
    <r>
      <rPr>
        <sz val="11"/>
        <color rgb="FF000000"/>
        <rFont val="Calibri"/>
      </rPr>
      <t>Enable FIPS Mode in Cisco ISE to ensure FIPS 140-2/3 algorithms are used in all security functions requiring cryptographic functions.</t>
    </r>
    <r>
      <rPr>
        <sz val="11"/>
        <color rgb="FF000000"/>
        <rFont val="Calibri"/>
      </rPr>
      <t xml:space="preserve">
</t>
    </r>
    <r>
      <rPr>
        <sz val="11"/>
        <color rgb="FF000000"/>
        <rFont val="Calibri"/>
      </rPr>
      <t>1. Choose Administration &gt;&gt; System &gt;&gt; Settings &gt;&gt; FIPS Mode.</t>
    </r>
    <r>
      <rPr>
        <sz val="11"/>
        <color rgb="FF000000"/>
        <rFont val="Calibri"/>
      </rPr>
      <t xml:space="preserve">
</t>
    </r>
    <r>
      <rPr>
        <sz val="11"/>
        <color rgb="FF000000"/>
        <rFont val="Calibri"/>
      </rPr>
      <t>2. Choose the "Enabled" option from the FIPS Mode drop-down list.</t>
    </r>
    <r>
      <rPr>
        <sz val="11"/>
        <color rgb="FF000000"/>
        <rFont val="Calibri"/>
      </rPr>
      <t xml:space="preserve">
</t>
    </r>
    <r>
      <rPr>
        <sz val="11"/>
        <color rgb="FF000000"/>
        <rFont val="Calibri"/>
      </rPr>
      <t>3. Click "Save" and restart the node.</t>
    </r>
    <r>
      <rPr>
        <sz val="11"/>
        <color rgb="FF000000"/>
        <rFont val="Calibri"/>
      </rPr>
      <t xml:space="preserve">
</t>
    </r>
    <r>
      <rPr>
        <sz val="11"/>
        <color rgb="FF000000"/>
        <rFont val="Calibri"/>
      </rPr>
      <t>NOTE: Configuring FIPS mode is the required DoD configuration. However, this requirement can be lowered to a CAT 3 if the alternative manual configuration is used to generate unique session identifiers using a FIPS 140-2 approved Random Number Generator (RNG) using DRGB.</t>
    </r>
  </si>
  <si>
    <r>
      <rPr>
        <sz val="11"/>
        <color rgb="FF000000"/>
        <rFont val="Calibri"/>
      </rPr>
      <t>Sequentially generated session IDs can be easily guessed by an attacker. Employing the concept of randomness in the generation of unique session identifiers helps to protect against brute-force attacks to determine future session identifiers.</t>
    </r>
    <r>
      <rPr>
        <sz val="11"/>
        <color rgb="FF000000"/>
        <rFont val="Calibri"/>
      </rPr>
      <t xml:space="preserve">
</t>
    </r>
    <r>
      <rPr>
        <sz val="11"/>
        <color rgb="FF000000"/>
        <rFont val="Calibri"/>
      </rPr>
      <t>Unique session IDs address man-in-the-middle attacks, including session hijacking or insertion of false information into a session. If the attacker is unable to identify or guess the session information related to pending application traffic, they will have more difficulty in hijacking the session or otherwise manipulating valid sessions. SP 800-131A makes clear that RNGs specified in FIPS 186-2, ANS X9.31-1998 and ANS X9.62-1998 will be disallowed after 2015. Only SP 800-90A based random number generators will continue to be approved. NIST SP 800-90A- Recommendation for Random Number Generation using Deterministic Random Bit Generators was published in January 2012.</t>
    </r>
    <r>
      <rPr>
        <sz val="11"/>
        <color rgb="FF000000"/>
        <rFont val="Calibri"/>
      </rPr>
      <t xml:space="preserve">
</t>
    </r>
    <r>
      <rPr>
        <sz val="11"/>
        <color rgb="FF000000"/>
        <rFont val="Calibri"/>
      </rPr>
      <t>This requirement is applicable to devices that use a web interface for device management.</t>
    </r>
  </si>
  <si>
    <r>
      <rPr>
        <sz val="11"/>
        <color rgb="FF000000"/>
        <rFont val="Calibri"/>
      </rPr>
      <t>Navigate to Administration &gt;&gt; System &gt;&gt; Settings &gt;&gt; FIPS Mode.</t>
    </r>
    <r>
      <rPr>
        <sz val="11"/>
        <color rgb="FF000000"/>
        <rFont val="Calibri"/>
      </rPr>
      <t xml:space="preserve">
</t>
    </r>
    <r>
      <rPr>
        <sz val="11"/>
        <color rgb="FF000000"/>
        <rFont val="Calibri"/>
      </rPr>
      <t>Verify FIPS Mode is enabled.</t>
    </r>
    <r>
      <rPr>
        <sz val="11"/>
        <color rgb="FF000000"/>
        <rFont val="Calibri"/>
      </rPr>
      <t xml:space="preserve">
</t>
    </r>
    <r>
      <rPr>
        <sz val="11"/>
        <color rgb="FF000000"/>
        <rFont val="Calibri"/>
      </rPr>
      <t>If FIPS Mode is enabled, this is not a finding.</t>
    </r>
    <r>
      <rPr>
        <sz val="11"/>
        <color rgb="FF000000"/>
        <rFont val="Calibri"/>
      </rPr>
      <t xml:space="preserve">
</t>
    </r>
    <r>
      <rPr>
        <sz val="11"/>
        <color rgb="FF000000"/>
        <rFont val="Calibri"/>
      </rPr>
      <t>If FIPS mode is not configured, but the Cisco ISE is configured using an alternative manual method to configure the system to use a FIPS 140-2 approved Random Number Generator (RNG) using DRGB to generate unique session identifiers, this can be lowered to a CAT 3 finding.</t>
    </r>
  </si>
  <si>
    <t>V-242659</t>
  </si>
  <si>
    <r>
      <rPr>
        <sz val="11"/>
        <rFont val="Calibri"/>
      </rPr>
      <t>The Cisco ISE must only allow authorized administrators to view or change the device configuration, system files, and other files stored.</t>
    </r>
  </si>
  <si>
    <r>
      <rPr>
        <sz val="11"/>
        <color rgb="FF000000"/>
        <rFont val="Calibri"/>
      </rPr>
      <t>Create a local web-based administrator. ONLY one web-based admin account should exist on the local device. The default CLI account is also local and cannot be removed.</t>
    </r>
    <r>
      <rPr>
        <sz val="11"/>
        <color rgb="FF000000"/>
        <rFont val="Calibri"/>
      </rPr>
      <t xml:space="preserve">
</t>
    </r>
    <r>
      <rPr>
        <sz val="11"/>
        <color rgb="FF000000"/>
        <rFont val="Calibri"/>
      </rPr>
      <t>1. Choose Administration &gt;&gt; System &gt;&gt; Admin Access &gt;&gt; Administrators &gt;&gt; Admin Users &gt;&gt; Add.</t>
    </r>
    <r>
      <rPr>
        <sz val="11"/>
        <color rgb="FF000000"/>
        <rFont val="Calibri"/>
      </rPr>
      <t xml:space="preserve">
</t>
    </r>
    <r>
      <rPr>
        <sz val="11"/>
        <color rgb="FF000000"/>
        <rFont val="Calibri"/>
      </rPr>
      <t>2. From the drop-down, choose "Create an Admin User".</t>
    </r>
    <r>
      <rPr>
        <sz val="11"/>
        <color rgb="FF000000"/>
        <rFont val="Calibri"/>
      </rPr>
      <t xml:space="preserve">
</t>
    </r>
    <r>
      <rPr>
        <sz val="11"/>
        <color rgb="FF000000"/>
        <rFont val="Calibri"/>
      </rPr>
      <t xml:space="preserve">3. Enter the admin name and other information. </t>
    </r>
    <r>
      <rPr>
        <sz val="11"/>
        <color rgb="FF000000"/>
        <rFont val="Calibri"/>
      </rPr>
      <t xml:space="preserve">
</t>
    </r>
    <r>
      <rPr>
        <sz val="11"/>
        <color rgb="FF000000"/>
        <rFont val="Calibri"/>
      </rPr>
      <t>4. Add the Super User group.</t>
    </r>
    <r>
      <rPr>
        <sz val="11"/>
        <color rgb="FF000000"/>
        <rFont val="Calibri"/>
      </rPr>
      <t xml:space="preserve">
</t>
    </r>
    <r>
      <rPr>
        <sz val="11"/>
        <color rgb="FF000000"/>
        <rFont val="Calibri"/>
      </rPr>
      <t>5. Click "Submit".</t>
    </r>
  </si>
  <si>
    <r>
      <rPr>
        <sz val="11"/>
        <color rgb="FF000000"/>
        <rFont val="Calibri"/>
      </rPr>
      <t>This requirement is intended to address the confidentiality and integrity of system information at rest (e.g., network device rule sets) when it is located on a storage device within the network device or as a component of the network device. This protection is required to prevent unauthorized alteration, corruption, or disclosure of information when not stored directly on the network device.</t>
    </r>
    <r>
      <rPr>
        <sz val="11"/>
        <color rgb="FF000000"/>
        <rFont val="Calibri"/>
      </rPr>
      <t xml:space="preserve">
</t>
    </r>
    <r>
      <rPr>
        <sz val="11"/>
        <color rgb="FF000000"/>
        <rFont val="Calibri"/>
      </rPr>
      <t>Access to device configuration, system files, and other files stored locally are restricted to administrators by design. Admin accounts must be part of an administrator group and the group has associated authorizations based on role. There are 12 pre-defined admin roles and additional groups may be added.</t>
    </r>
    <r>
      <rPr>
        <sz val="11"/>
        <color rgb="FF000000"/>
        <rFont val="Calibri"/>
      </rPr>
      <t xml:space="preserve">
</t>
    </r>
    <r>
      <rPr>
        <sz val="11"/>
        <color rgb="FF000000"/>
        <rFont val="Calibri"/>
      </rPr>
      <t>By default, the username for a CLI admin user is admin, and the password is defined during setup. There is no default password. This CLI admin user is the default admin user, and this user account cannot be deleted. Create web administrator account as the Account of Last Resort and add to the default Super Admin group. This will allow at least one user to be able to delete other admins and perform special functions via the web management tool.</t>
    </r>
  </si>
  <si>
    <t>V-242660</t>
  </si>
  <si>
    <r>
      <rPr>
        <sz val="11"/>
        <rFont val="Calibri"/>
      </rPr>
      <t>The Cisco ISE must configure the control plane to protect against or limit the effects of common types of Denial of Service (DoS) attacks on the device itself by configuring applicable system options and internet-options.</t>
    </r>
  </si>
  <si>
    <r>
      <rPr>
        <sz val="11"/>
        <color rgb="FF000000"/>
        <rFont val="Calibri"/>
      </rPr>
      <t>Configure the system and system-options to protect against DoS attacks. These are examples of setting that should be adjusted to limit DoS attacks. The exact values will vary based on site traffic.</t>
    </r>
    <r>
      <rPr>
        <sz val="11"/>
        <color rgb="FF000000"/>
        <rFont val="Calibri"/>
      </rPr>
      <t xml:space="preserve">
</t>
    </r>
    <r>
      <rPr>
        <sz val="11"/>
        <color rgb="FF000000"/>
        <rFont val="Calibri"/>
      </rPr>
      <t>Use the synflood-limit to configure a TCP SYN packet rate limit.</t>
    </r>
    <r>
      <rPr>
        <sz val="11"/>
        <color rgb="FF000000"/>
        <rFont val="Calibri"/>
      </rPr>
      <t xml:space="preserve">
</t>
    </r>
    <r>
      <rPr>
        <sz val="11"/>
        <color rgb="FF000000"/>
        <rFont val="Calibri"/>
      </rPr>
      <t>To configure the limit of TCP/UDP/ICMP packets from a source IP address, use the rate-limit command in configuration mode.</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</si>
  <si>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network devices to mitigate the impact of DoS attacks that have occurred or are ongoing on device availability. For each network device, known and potential DoS attacks must be identified and solutions for each type implemented. A variety of technologies exist to limit or, in some cases, eliminate the effects of DoS attacks (e.g., limiting processes or restricting the number of sessions the device opens at one time). Employing increased capacity and bandwidth, combined with service redundancy, may reduce the susceptibility to some DoS attacks.</t>
    </r>
    <r>
      <rPr>
        <sz val="11"/>
        <color rgb="FF000000"/>
        <rFont val="Calibri"/>
      </rPr>
      <t xml:space="preserve">
</t>
    </r>
    <r>
      <rPr>
        <sz val="11"/>
        <color rgb="FF000000"/>
        <rFont val="Calibri"/>
      </rPr>
      <t>The security safeguards cannot be defined at the DOD-level because they vary according to the capabilities of the individual network devices and the security controls applied on the adjacent networks (for example, firewalls performing packet filtering to block DoS attacks).</t>
    </r>
  </si>
  <si>
    <r>
      <rPr>
        <sz val="11"/>
        <color rgb="FF000000"/>
        <rFont val="Calibri"/>
      </rPr>
      <t>Verify the system and system-options are configured to protect against denial-of-service (DoS) attacks.</t>
    </r>
    <r>
      <rPr>
        <sz val="11"/>
        <color rgb="FF000000"/>
        <rFont val="Calibri"/>
      </rPr>
      <t xml:space="preserve">
</t>
    </r>
    <r>
      <rPr>
        <sz val="11"/>
        <color rgb="FF000000"/>
        <rFont val="Calibri"/>
      </rPr>
      <t>(config)# do sh run | in syn</t>
    </r>
    <r>
      <rPr>
        <sz val="11"/>
        <color rgb="FF000000"/>
        <rFont val="Calibri"/>
      </rPr>
      <t xml:space="preserve">
</t>
    </r>
    <r>
      <rPr>
        <sz val="11"/>
        <color rgb="FF000000"/>
        <rFont val="Calibri"/>
      </rPr>
      <t>(config)#do show run | in rate-limit</t>
    </r>
    <r>
      <rPr>
        <sz val="11"/>
        <color rgb="FF000000"/>
        <rFont val="Calibri"/>
      </rPr>
      <t xml:space="preserve">
</t>
    </r>
    <r>
      <rPr>
        <sz val="11"/>
        <color rgb="FF000000"/>
        <rFont val="Calibri"/>
      </rPr>
      <t>If the system and system-options that limit the effects of common types of DoS attacks are not configured in compliance with the SSP, this is a finding.</t>
    </r>
  </si>
  <si>
    <t>V-242661</t>
  </si>
  <si>
    <r>
      <rPr>
        <sz val="11"/>
        <rFont val="Calibri"/>
      </rPr>
      <t>The Cisco ISE must be configured to send log data to at least two central log servers for the purpose of forwarding alerts to the administrators and the information system security officer (ISSO).</t>
    </r>
  </si>
  <si>
    <r>
      <rPr>
        <sz val="11"/>
        <color rgb="FF000000"/>
        <rFont val="Calibri"/>
      </rPr>
      <t>Create at least two Remote Logging Targets and direct logging to those targets. To create an external logging target, complete the following steps:</t>
    </r>
    <r>
      <rPr>
        <sz val="11"/>
        <color rgb="FF000000"/>
        <rFont val="Calibri"/>
      </rPr>
      <t xml:space="preserve">
</t>
    </r>
    <r>
      <rPr>
        <sz val="11"/>
        <color rgb="FF000000"/>
        <rFont val="Calibri"/>
      </rPr>
      <t>1. Choose Administration &gt;&gt; System &gt;&gt; Logging &gt;&gt; Remote Logging Targets.</t>
    </r>
    <r>
      <rPr>
        <sz val="11"/>
        <color rgb="FF000000"/>
        <rFont val="Calibri"/>
      </rPr>
      <t xml:space="preserve">
</t>
    </r>
    <r>
      <rPr>
        <sz val="11"/>
        <color rgb="FF000000"/>
        <rFont val="Calibri"/>
      </rPr>
      <t>2. Click "Add".</t>
    </r>
    <r>
      <rPr>
        <sz val="11"/>
        <color rgb="FF000000"/>
        <rFont val="Calibri"/>
      </rPr>
      <t xml:space="preserve">
</t>
    </r>
    <r>
      <rPr>
        <sz val="11"/>
        <color rgb="FF000000"/>
        <rFont val="Calibri"/>
      </rPr>
      <t>3. Configure the following fields:</t>
    </r>
    <r>
      <rPr>
        <sz val="11"/>
        <color rgb="FF000000"/>
        <rFont val="Calibri"/>
      </rPr>
      <t xml:space="preserve">
</t>
    </r>
    <r>
      <rPr>
        <sz val="11"/>
        <color rgb="FF000000"/>
        <rFont val="Calibri"/>
      </rPr>
      <t>- Name - Enter the name of the new target</t>
    </r>
    <r>
      <rPr>
        <sz val="11"/>
        <color rgb="FF000000"/>
        <rFont val="Calibri"/>
      </rPr>
      <t xml:space="preserve">
</t>
    </r>
    <r>
      <rPr>
        <sz val="11"/>
        <color rgb="FF000000"/>
        <rFont val="Calibri"/>
      </rPr>
      <t>- Target Type - By default it is set to Syslog. The value of this field cannot be changed.</t>
    </r>
    <r>
      <rPr>
        <sz val="11"/>
        <color rgb="FF000000"/>
        <rFont val="Calibri"/>
      </rPr>
      <t xml:space="preserve">
</t>
    </r>
    <r>
      <rPr>
        <sz val="11"/>
        <color rgb="FF000000"/>
        <rFont val="Calibri"/>
      </rPr>
      <t>- Description - Enter a brief description of the new target.</t>
    </r>
    <r>
      <rPr>
        <sz val="11"/>
        <color rgb="FF000000"/>
        <rFont val="Calibri"/>
      </rPr>
      <t xml:space="preserve">
</t>
    </r>
    <r>
      <rPr>
        <sz val="11"/>
        <color rgb="FF000000"/>
        <rFont val="Calibri"/>
      </rPr>
      <t>- IP Address - Enter the IP address of the destination machine where you want to store the logs.</t>
    </r>
    <r>
      <rPr>
        <sz val="11"/>
        <color rgb="FF000000"/>
        <rFont val="Calibri"/>
      </rPr>
      <t xml:space="preserve">
</t>
    </r>
    <r>
      <rPr>
        <sz val="11"/>
        <color rgb="FF000000"/>
        <rFont val="Calibri"/>
      </rPr>
      <t>- Port - Enter the port number of the destination machine.</t>
    </r>
    <r>
      <rPr>
        <sz val="11"/>
        <color rgb="FF000000"/>
        <rFont val="Calibri"/>
      </rPr>
      <t xml:space="preserve">
</t>
    </r>
    <r>
      <rPr>
        <sz val="11"/>
        <color rgb="FF000000"/>
        <rFont val="Calibri"/>
      </rPr>
      <t>- Facility Code - Choose the syslog facility code to be used for logging. Valid options are Local0 through Local7.</t>
    </r>
    <r>
      <rPr>
        <sz val="11"/>
        <color rgb="FF000000"/>
        <rFont val="Calibri"/>
      </rPr>
      <t xml:space="preserve">
</t>
    </r>
    <r>
      <rPr>
        <sz val="11"/>
        <color rgb="FF000000"/>
        <rFont val="Calibri"/>
      </rPr>
      <t>- Maximum Length - Enter the maximum length of the remote log target messages. Valid options are from 200 to 1024 bytes.</t>
    </r>
    <r>
      <rPr>
        <sz val="11"/>
        <color rgb="FF000000"/>
        <rFont val="Calibri"/>
      </rPr>
      <t xml:space="preserve">
</t>
    </r>
    <r>
      <rPr>
        <sz val="11"/>
        <color rgb="FF000000"/>
        <rFont val="Calibri"/>
      </rPr>
      <t>4. Click "Save".</t>
    </r>
    <r>
      <rPr>
        <sz val="11"/>
        <color rgb="FF000000"/>
        <rFont val="Calibri"/>
      </rPr>
      <t xml:space="preserve">
</t>
    </r>
    <r>
      <rPr>
        <sz val="11"/>
        <color rgb="FF000000"/>
        <rFont val="Calibri"/>
      </rPr>
      <t>Go to the Logging Targets page and verify the creation of the new target. To edit a remote logging target, complete the following steps:</t>
    </r>
    <r>
      <rPr>
        <sz val="11"/>
        <color rgb="FF000000"/>
        <rFont val="Calibri"/>
      </rPr>
      <t xml:space="preserve">
</t>
    </r>
    <r>
      <rPr>
        <sz val="11"/>
        <color rgb="FF000000"/>
        <rFont val="Calibri"/>
      </rPr>
      <t>1. Choose Administration &gt;&gt; System &gt;&gt; Logging &gt;&gt; Remote Logging Targets.</t>
    </r>
    <r>
      <rPr>
        <sz val="11"/>
        <color rgb="FF000000"/>
        <rFont val="Calibri"/>
      </rPr>
      <t xml:space="preserve">
</t>
    </r>
    <r>
      <rPr>
        <sz val="11"/>
        <color rgb="FF000000"/>
        <rFont val="Calibri"/>
      </rPr>
      <t>2. Click the radio button next to the logging target name that you want to edit and click "Edit".</t>
    </r>
    <r>
      <rPr>
        <sz val="11"/>
        <color rgb="FF000000"/>
        <rFont val="Calibri"/>
      </rPr>
      <t xml:space="preserve">
</t>
    </r>
    <r>
      <rPr>
        <sz val="11"/>
        <color rgb="FF000000"/>
        <rFont val="Calibri"/>
      </rPr>
      <t>3. Modify the following field values on the Log Collection page as needed.</t>
    </r>
    <r>
      <rPr>
        <sz val="11"/>
        <color rgb="FF000000"/>
        <rFont val="Calibri"/>
      </rPr>
      <t xml:space="preserve">
</t>
    </r>
    <r>
      <rPr>
        <sz val="11"/>
        <color rgb="FF000000"/>
        <rFont val="Calibri"/>
      </rPr>
      <t>- Name</t>
    </r>
    <r>
      <rPr>
        <sz val="11"/>
        <color rgb="FF000000"/>
        <rFont val="Calibri"/>
      </rPr>
      <t xml:space="preserve">
</t>
    </r>
    <r>
      <rPr>
        <sz val="11"/>
        <color rgb="FF000000"/>
        <rFont val="Calibri"/>
      </rPr>
      <t>- Target Type</t>
    </r>
    <r>
      <rPr>
        <sz val="11"/>
        <color rgb="FF000000"/>
        <rFont val="Calibri"/>
      </rPr>
      <t xml:space="preserve">
</t>
    </r>
    <r>
      <rPr>
        <sz val="11"/>
        <color rgb="FF000000"/>
        <rFont val="Calibri"/>
      </rPr>
      <t>- Description</t>
    </r>
    <r>
      <rPr>
        <sz val="11"/>
        <color rgb="FF000000"/>
        <rFont val="Calibri"/>
      </rPr>
      <t xml:space="preserve">
</t>
    </r>
    <r>
      <rPr>
        <sz val="11"/>
        <color rgb="FF000000"/>
        <rFont val="Calibri"/>
      </rPr>
      <t>- IP Address</t>
    </r>
    <r>
      <rPr>
        <sz val="11"/>
        <color rgb="FF000000"/>
        <rFont val="Calibri"/>
      </rPr>
      <t xml:space="preserve">
</t>
    </r>
    <r>
      <rPr>
        <sz val="11"/>
        <color rgb="FF000000"/>
        <rFont val="Calibri"/>
      </rPr>
      <t>- Port</t>
    </r>
    <r>
      <rPr>
        <sz val="11"/>
        <color rgb="FF000000"/>
        <rFont val="Calibri"/>
      </rPr>
      <t xml:space="preserve">
</t>
    </r>
    <r>
      <rPr>
        <sz val="11"/>
        <color rgb="FF000000"/>
        <rFont val="Calibri"/>
      </rPr>
      <t>- Facility Code</t>
    </r>
    <r>
      <rPr>
        <sz val="11"/>
        <color rgb="FF000000"/>
        <rFont val="Calibri"/>
      </rPr>
      <t xml:space="preserve">
</t>
    </r>
    <r>
      <rPr>
        <sz val="11"/>
        <color rgb="FF000000"/>
        <rFont val="Calibri"/>
      </rPr>
      <t>- Maximum Length</t>
    </r>
    <r>
      <rPr>
        <sz val="11"/>
        <color rgb="FF000000"/>
        <rFont val="Calibri"/>
      </rPr>
      <t xml:space="preserve">
</t>
    </r>
    <r>
      <rPr>
        <sz val="11"/>
        <color rgb="FF000000"/>
        <rFont val="Calibri"/>
      </rPr>
      <t>4. Click "Save".</t>
    </r>
    <r>
      <rPr>
        <sz val="11"/>
        <color rgb="FF000000"/>
        <rFont val="Calibri"/>
      </rPr>
      <t xml:space="preserve">
</t>
    </r>
    <r>
      <rPr>
        <sz val="11"/>
        <color rgb="FF000000"/>
        <rFont val="Calibri"/>
      </rPr>
      <t>The updating of the selected Log Collector is completed.</t>
    </r>
  </si>
  <si>
    <r>
      <rPr>
        <sz val="11"/>
        <color rgb="FF000000"/>
        <rFont val="Calibri"/>
      </rPr>
      <t>The aggregation of log data kept on a syslog server can be used to detect attacks and trigger an alert to the appropriate security personnel. The stored log data can used to detect weaknesses in security that enable the network IA team to find and address these weaknesses before breaches can occur. Reviewing these logs, whether before or after a security breach, are important in showing whether someone is an internal employee or an outside threat.</t>
    </r>
  </si>
  <si>
    <r>
      <rPr>
        <sz val="11"/>
        <color rgb="FF000000"/>
        <rFont val="Calibri"/>
      </rPr>
      <t>To view remote logging targets, complete the following steps:</t>
    </r>
    <r>
      <rPr>
        <sz val="11"/>
        <color rgb="FF000000"/>
        <rFont val="Calibri"/>
      </rPr>
      <t xml:space="preserve">
</t>
    </r>
    <r>
      <rPr>
        <sz val="11"/>
        <color rgb="FF000000"/>
        <rFont val="Calibri"/>
      </rPr>
      <t>1. From the ISE Administration Interface, choose Administration &gt;&gt; System &gt;&gt; Logging &gt;&gt; Remote Logging Targets.</t>
    </r>
    <r>
      <rPr>
        <sz val="11"/>
        <color rgb="FF000000"/>
        <rFont val="Calibri"/>
      </rPr>
      <t xml:space="preserve">
</t>
    </r>
    <r>
      <rPr>
        <sz val="11"/>
        <color rgb="FF000000"/>
        <rFont val="Calibri"/>
      </rPr>
      <t>2. The Remote Logging Targets page appears with a list of existing logging targets.</t>
    </r>
    <r>
      <rPr>
        <sz val="11"/>
        <color rgb="FF000000"/>
        <rFont val="Calibri"/>
      </rPr>
      <t xml:space="preserve">
</t>
    </r>
    <r>
      <rPr>
        <sz val="11"/>
        <color rgb="FF000000"/>
        <rFont val="Calibri"/>
      </rPr>
      <t>If at least two remote logging targets are not configured, this is a finding.</t>
    </r>
  </si>
  <si>
    <t>V-242662</t>
  </si>
  <si>
    <r>
      <rPr>
        <sz val="11"/>
        <rFont val="Calibri"/>
      </rPr>
      <t>The Cisco ISE must initiate session auditing upon startup.</t>
    </r>
  </si>
  <si>
    <r>
      <rPr>
        <sz val="11"/>
        <color rgb="FF000000"/>
        <rFont val="Calibri"/>
      </rPr>
      <t xml:space="preserve">Enable logging categories for Cisco ISE to send auditable events to the syslog target. </t>
    </r>
    <r>
      <rPr>
        <sz val="11"/>
        <color rgb="FF000000"/>
        <rFont val="Calibri"/>
      </rPr>
      <t xml:space="preserve">
</t>
    </r>
    <r>
      <rPr>
        <sz val="11"/>
        <color rgb="FF000000"/>
        <rFont val="Calibri"/>
      </rPr>
      <t>From the Web Admin portal:</t>
    </r>
    <r>
      <rPr>
        <sz val="11"/>
        <color rgb="FF000000"/>
        <rFont val="Calibri"/>
      </rPr>
      <t xml:space="preserve">
</t>
    </r>
    <r>
      <rPr>
        <sz val="11"/>
        <color rgb="FF000000"/>
        <rFont val="Calibri"/>
      </rPr>
      <t>1. Choose Administration &gt;&gt; System &gt;&gt; Logging &gt;&gt; Logging Categories.</t>
    </r>
    <r>
      <rPr>
        <sz val="11"/>
        <color rgb="FF000000"/>
        <rFont val="Calibri"/>
      </rPr>
      <t xml:space="preserve">
</t>
    </r>
    <r>
      <rPr>
        <sz val="11"/>
        <color rgb="FF000000"/>
        <rFont val="Calibri"/>
      </rPr>
      <t>2. Click the radio button next to the Administrative and Operational Audit logging category and then click "Edit".</t>
    </r>
    <r>
      <rPr>
        <sz val="11"/>
        <color rgb="FF000000"/>
        <rFont val="Calibri"/>
      </rPr>
      <t xml:space="preserve">
</t>
    </r>
    <r>
      <rPr>
        <sz val="11"/>
        <color rgb="FF000000"/>
        <rFont val="Calibri"/>
      </rPr>
      <t>3. Choose INFO from the Log Severity Level drop-down list.</t>
    </r>
    <r>
      <rPr>
        <sz val="11"/>
        <color rgb="FF000000"/>
        <rFont val="Calibri"/>
      </rPr>
      <t xml:space="preserve">
</t>
    </r>
    <r>
      <rPr>
        <sz val="11"/>
        <color rgb="FF000000"/>
        <rFont val="Calibri"/>
      </rPr>
      <t>4. In the Targets field, move the syslog target name that is being used to the Selected box.</t>
    </r>
    <r>
      <rPr>
        <sz val="11"/>
        <color rgb="FF000000"/>
        <rFont val="Calibri"/>
      </rPr>
      <t xml:space="preserve">
</t>
    </r>
    <r>
      <rPr>
        <sz val="11"/>
        <color rgb="FF000000"/>
        <rFont val="Calibri"/>
      </rPr>
      <t>5. Repeat the above steps to enable the AAA Audit logging category and other logging categorized desired. However, note that for some logging categories, the default log severity level and cannot be changed.</t>
    </r>
    <r>
      <rPr>
        <sz val="11"/>
        <color rgb="FF000000"/>
        <rFont val="Calibri"/>
      </rPr>
      <t xml:space="preserve">
</t>
    </r>
    <r>
      <rPr>
        <sz val="11"/>
        <color rgb="FF000000"/>
        <rFont val="Calibri"/>
      </rPr>
      <t>5. Click "Save".</t>
    </r>
  </si>
  <si>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</si>
  <si>
    <r>
      <rPr>
        <sz val="11"/>
        <color rgb="FF000000"/>
        <rFont val="Calibri"/>
      </rPr>
      <t>Verify logging is initiated upon system startup. Since the production may not be able to be manually started to observe this, review the logging categories setup.</t>
    </r>
    <r>
      <rPr>
        <sz val="11"/>
        <color rgb="FF000000"/>
        <rFont val="Calibri"/>
      </rPr>
      <t xml:space="preserve">
</t>
    </r>
    <r>
      <rPr>
        <sz val="11"/>
        <color rgb="FF000000"/>
        <rFont val="Calibri"/>
      </rPr>
      <t>From the Web Admin portal:</t>
    </r>
    <r>
      <rPr>
        <sz val="11"/>
        <color rgb="FF000000"/>
        <rFont val="Calibri"/>
      </rPr>
      <t xml:space="preserve">
</t>
    </r>
    <r>
      <rPr>
        <sz val="11"/>
        <color rgb="FF000000"/>
        <rFont val="Calibri"/>
      </rPr>
      <t>1. Choose Administration &gt;&gt; System &gt;&gt; Logging &gt;&gt; Logging Categories.</t>
    </r>
    <r>
      <rPr>
        <sz val="11"/>
        <color rgb="FF000000"/>
        <rFont val="Calibri"/>
      </rPr>
      <t xml:space="preserve">
</t>
    </r>
    <r>
      <rPr>
        <sz val="11"/>
        <color rgb="FF000000"/>
        <rFont val="Calibri"/>
      </rPr>
      <t>2. Verify the Administrative and Operational Audit is configured for the INFO log severity level.</t>
    </r>
    <r>
      <rPr>
        <sz val="11"/>
        <color rgb="FF000000"/>
        <rFont val="Calibri"/>
      </rPr>
      <t xml:space="preserve">
</t>
    </r>
    <r>
      <rPr>
        <sz val="11"/>
        <color rgb="FF000000"/>
        <rFont val="Calibri"/>
      </rPr>
      <t>3. Verify that logging categories have been configured and have been set to the syslog target.</t>
    </r>
    <r>
      <rPr>
        <sz val="11"/>
        <color rgb="FF000000"/>
        <rFont val="Calibri"/>
      </rPr>
      <t xml:space="preserve">
</t>
    </r>
    <r>
      <rPr>
        <sz val="11"/>
        <color rgb="FF000000"/>
        <rFont val="Calibri"/>
      </rPr>
      <t>If logging categories are not configured to send to the central syslog server, this is a finding.</t>
    </r>
  </si>
  <si>
    <t>V-242663</t>
  </si>
  <si>
    <r>
      <rPr>
        <sz val="11"/>
        <rFont val="Calibri"/>
      </rPr>
      <t>The Cisco ISE must generate audit records containing the full-text recording of privileged commands.</t>
    </r>
  </si>
  <si>
    <r>
      <rPr>
        <sz val="11"/>
        <color rgb="FF000000"/>
        <rFont val="Calibri"/>
      </rPr>
      <t>Enable the logging categories as required by the SSP based on mission requirements for Cisco ISE to send auditable events to the syslog target.</t>
    </r>
    <r>
      <rPr>
        <sz val="11"/>
        <color rgb="FF000000"/>
        <rFont val="Calibri"/>
      </rPr>
      <t xml:space="preserve">
</t>
    </r>
    <r>
      <rPr>
        <sz val="11"/>
        <color rgb="FF000000"/>
        <rFont val="Calibri"/>
      </rPr>
      <t>From the Web Admin portal:</t>
    </r>
    <r>
      <rPr>
        <sz val="11"/>
        <color rgb="FF000000"/>
        <rFont val="Calibri"/>
      </rPr>
      <t xml:space="preserve">
</t>
    </r>
    <r>
      <rPr>
        <sz val="11"/>
        <color rgb="FF000000"/>
        <rFont val="Calibri"/>
      </rPr>
      <t>1. Choose Administration &gt;&gt; System &gt;&gt; Logging &gt;&gt; Logging Categories.</t>
    </r>
    <r>
      <rPr>
        <sz val="11"/>
        <color rgb="FF000000"/>
        <rFont val="Calibri"/>
      </rPr>
      <t xml:space="preserve">
</t>
    </r>
    <r>
      <rPr>
        <sz val="11"/>
        <color rgb="FF000000"/>
        <rFont val="Calibri"/>
      </rPr>
      <t>2. Click the radio button next to the Administrative and Operational Audit logging category and then click "Edit".</t>
    </r>
    <r>
      <rPr>
        <sz val="11"/>
        <color rgb="FF000000"/>
        <rFont val="Calibri"/>
      </rPr>
      <t xml:space="preserve">
</t>
    </r>
    <r>
      <rPr>
        <sz val="11"/>
        <color rgb="FF000000"/>
        <rFont val="Calibri"/>
      </rPr>
      <t>3. Choose INFO from the Log Severity Level drop-down list.</t>
    </r>
    <r>
      <rPr>
        <sz val="11"/>
        <color rgb="FF000000"/>
        <rFont val="Calibri"/>
      </rPr>
      <t xml:space="preserve">
</t>
    </r>
    <r>
      <rPr>
        <sz val="11"/>
        <color rgb="FF000000"/>
        <rFont val="Calibri"/>
      </rPr>
      <t>4. In the Targets field, move the syslog target name that is being used to the Selected box.</t>
    </r>
    <r>
      <rPr>
        <sz val="11"/>
        <color rgb="FF000000"/>
        <rFont val="Calibri"/>
      </rPr>
      <t xml:space="preserve">
</t>
    </r>
    <r>
      <rPr>
        <sz val="11"/>
        <color rgb="FF000000"/>
        <rFont val="Calibri"/>
      </rPr>
      <t>5. Repeat steps 2 and 3 with the selection of other category levels required based on organizational mission and SSP.</t>
    </r>
    <r>
      <rPr>
        <sz val="11"/>
        <color rgb="FF000000"/>
        <rFont val="Calibri"/>
      </rPr>
      <t xml:space="preserve">
</t>
    </r>
    <r>
      <rPr>
        <sz val="11"/>
        <color rgb="FF000000"/>
        <rFont val="Calibri"/>
      </rPr>
      <t>6. Click "Save".</t>
    </r>
  </si>
  <si>
    <r>
      <rPr>
        <sz val="11"/>
        <color rgb="FF000000"/>
        <rFont val="Calibri"/>
      </rPr>
      <t xml:space="preserve">Reconstruction of harmful events or forensic analysis is not possible if audit records do not contain enough information. </t>
    </r>
    <r>
      <rPr>
        <sz val="11"/>
        <color rgb="FF000000"/>
        <rFont val="Calibri"/>
      </rPr>
      <t xml:space="preserve">
</t>
    </r>
    <r>
      <rPr>
        <sz val="11"/>
        <color rgb="FF000000"/>
        <rFont val="Calibri"/>
      </rPr>
      <t>Organizations consider limiting the additional audit information to only that information explicitly needed for specific audit requirements. The additional information required is dependent on the type of information (i.e., sensitivity of the data and the environment within which it resides). At a minimum, the organization must audit full-text recording of privileged commands. The organization must maintain audit trails in sufficient detail to reconstruct events to determine the cause and impact of compromise.</t>
    </r>
  </si>
  <si>
    <r>
      <rPr>
        <sz val="11"/>
        <color rgb="FF000000"/>
        <rFont val="Calibri"/>
      </rPr>
      <t>Verify the logging categories as required by the SSP based on mission requirements for Cisco ISE are configured.</t>
    </r>
    <r>
      <rPr>
        <sz val="11"/>
        <color rgb="FF000000"/>
        <rFont val="Calibri"/>
      </rPr>
      <t xml:space="preserve">
</t>
    </r>
    <r>
      <rPr>
        <sz val="11"/>
        <color rgb="FF000000"/>
        <rFont val="Calibri"/>
      </rPr>
      <t>From the Web Admin portal:</t>
    </r>
    <r>
      <rPr>
        <sz val="11"/>
        <color rgb="FF000000"/>
        <rFont val="Calibri"/>
      </rPr>
      <t xml:space="preserve">
</t>
    </r>
    <r>
      <rPr>
        <sz val="11"/>
        <color rgb="FF000000"/>
        <rFont val="Calibri"/>
      </rPr>
      <t>1. Choose Administration &gt;&gt; System &gt;&gt; Logging &gt;&gt; Logging Categories.</t>
    </r>
    <r>
      <rPr>
        <sz val="11"/>
        <color rgb="FF000000"/>
        <rFont val="Calibri"/>
      </rPr>
      <t xml:space="preserve">
</t>
    </r>
    <r>
      <rPr>
        <sz val="11"/>
        <color rgb="FF000000"/>
        <rFont val="Calibri"/>
      </rPr>
      <t>2. Click the radio button for each logging category and verify it is set. Verify all categories required by the SSP are set. Verify the appropriate severity level (usually WARNING is set).</t>
    </r>
    <r>
      <rPr>
        <sz val="11"/>
        <color rgb="FF000000"/>
        <rFont val="Calibri"/>
      </rPr>
      <t xml:space="preserve">
</t>
    </r>
    <r>
      <rPr>
        <sz val="11"/>
        <color rgb="FF000000"/>
        <rFont val="Calibri"/>
      </rPr>
      <t>If the logging category required by the SSP is not configured and sent to the central syslog server target,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</si>
  <si>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</si>
  <si>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</si>
  <si>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</si>
  <si>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</si>
  <si>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</si>
  <si>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</si>
  <si>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</si>
  <si>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</si>
  <si>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</si>
  <si>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</si>
  <si>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</si>
  <si>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</si>
  <si>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</si>
  <si>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</si>
  <si>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</si>
  <si>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</si>
  <si>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</si>
  <si>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</si>
  <si>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</si>
  <si>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</si>
  <si>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</si>
  <si>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</si>
  <si>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</si>
  <si>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</si>
  <si>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</si>
  <si>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</si>
  <si>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</si>
  <si>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</si>
  <si>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</si>
  <si>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Cisco ISE Security Technical Implementation Guide Y26M01</t>
  </si>
  <si>
    <t>Developed By:</t>
  </si>
  <si>
    <t>Cisco Systems and Defense Information Systems Agency (DISA) for the US DoD</t>
  </si>
  <si>
    <t>Release Information:</t>
  </si>
  <si>
    <r>
      <rPr>
        <b/>
        <sz val="11"/>
        <color rgb="FF000000"/>
        <rFont val="Calibri"/>
      </rPr>
      <t>Version:</t>
    </r>
    <r>
      <rPr>
        <sz val="11"/>
        <color rgb="FF000000"/>
        <rFont val="Calibri"/>
      </rPr>
      <t xml:space="preserve"> Y26M01    </t>
    </r>
    <r>
      <rPr>
        <b/>
        <sz val="11"/>
        <color rgb="FF000000"/>
        <rFont val="Calibri"/>
      </rPr>
      <t>Date:</t>
    </r>
    <r>
      <rPr>
        <sz val="11"/>
        <color rgb="FF000000"/>
        <rFont val="Calibri"/>
      </rPr>
      <t xml:space="preserve"> 05 January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83</t>
    </r>
  </si>
  <si>
    <t>Download Url:</t>
  </si>
  <si>
    <t>https://www.cyber.mil/stigs</t>
  </si>
  <si>
    <t>Guide Overview:</t>
  </si>
  <si>
    <r>
      <rPr>
        <sz val="11"/>
        <color rgb="FF000000"/>
        <rFont val="Calibri"/>
      </rPr>
      <t>The Cisco ISE Security Technical Implementation Guide (STIG) provides the technical security policies, requirements, and implementation details for applying security concepts to the Cisco ISE policy-based network access control platform. Guidance consists of a package of two STIGs that together ensure the secure implementation of the Network Device Management (NDM) function and the Network Access Control (NAC) traffic services.</t>
    </r>
    <r>
      <rPr>
        <sz val="11"/>
        <color rgb="FF000000"/>
        <rFont val="Calibri"/>
      </rPr>
      <t xml:space="preserve">
</t>
    </r>
    <r>
      <rPr>
        <sz val="11"/>
        <color rgb="FF000000"/>
        <rFont val="Calibri"/>
      </rPr>
      <t>The primary function of the Cisco ISE is to continuously provide a policy decision point that enables enterprises to ensure compliance. Working with other boundary devices (i.e., access switches, wireless LAN controllers [WLCs], Virtual Private Network [VPN] gateways, and data center switches), the ISE gathers information from networks and endpoint device posture to enforce endpoint compliance.</t>
    </r>
    <r>
      <rPr>
        <sz val="11"/>
        <color rgb="FF000000"/>
        <rFont val="Calibri"/>
      </rPr>
      <t xml:space="preserve">
</t>
    </r>
    <r>
      <rPr>
        <sz val="11"/>
        <color rgb="FF000000"/>
        <rFont val="Calibri"/>
      </rPr>
      <t>Major functions that are in scope include discovery, profiling, policy-based placement, and monitoring of endpoint devices. Per DISA scoping guidance for NAC assessments, functions that were out of scope include guest access and on-device AAA services.</t>
    </r>
    <r>
      <rPr>
        <sz val="11"/>
        <color rgb="FF000000"/>
        <rFont val="Calibri"/>
      </rPr>
      <t xml:space="preserve">
</t>
    </r>
    <r>
      <rPr>
        <sz val="11"/>
        <color rgb="FF000000"/>
        <rFont val="Calibri"/>
      </rPr>
      <t>Although this product is relatively new, this vendor has a large footprint with DISA’s comply-toconnect initiatives. Audit record generation for the backplane is compliant with STIG requirements by default, and the product offloads the auditing, notifications, authentication, and restriction requirements to the central Syslog and LDAP servers; thus, basic compliance is met with configuration of these services.</t>
    </r>
  </si>
  <si>
    <t>Components:</t>
  </si>
  <si>
    <r>
      <rPr>
        <i/>
        <sz val="11"/>
        <color rgb="FF000000"/>
        <rFont val="Calibri"/>
      </rPr>
      <t>Title:</t>
    </r>
    <r>
      <rPr>
        <sz val="11"/>
        <color rgb="FF000000"/>
        <rFont val="Calibri"/>
      </rPr>
      <t xml:space="preserve"> Cisco ISE NAC Security Technical Implementation Guide</t>
    </r>
    <r>
      <rPr>
        <sz val="11"/>
        <color rgb="FF000000"/>
        <rFont val="Calibri"/>
      </rPr>
      <t xml:space="preserve">
</t>
    </r>
    <r>
      <rPr>
        <i/>
        <sz val="11"/>
        <color rgb="FF000000"/>
        <rFont val="Calibri"/>
      </rPr>
      <t>Version:</t>
    </r>
    <r>
      <rPr>
        <sz val="11"/>
        <color rgb="FF000000"/>
        <rFont val="Calibri"/>
      </rPr>
      <t xml:space="preserve"> V2R3     </t>
    </r>
    <r>
      <rPr>
        <i/>
        <sz val="11"/>
        <color rgb="FF000000"/>
        <rFont val="Calibri"/>
      </rPr>
      <t>Date:</t>
    </r>
    <r>
      <rPr>
        <sz val="11"/>
        <color rgb="FF000000"/>
        <rFont val="Calibri"/>
      </rPr>
      <t xml:space="preserve"> 05 January 2026     </t>
    </r>
    <r>
      <rPr>
        <i/>
        <sz val="11"/>
        <color rgb="FF000000"/>
        <rFont val="Calibri"/>
      </rPr>
      <t>Recommendation Count:</t>
    </r>
    <r>
      <rPr>
        <sz val="11"/>
        <color rgb="FF000000"/>
        <rFont val="Calibri"/>
      </rPr>
      <t xml:space="preserve"> 30</t>
    </r>
  </si>
  <si>
    <r>
      <rPr>
        <i/>
        <sz val="11"/>
        <color rgb="FF000000"/>
        <rFont val="Calibri"/>
      </rPr>
      <t>Title:</t>
    </r>
    <r>
      <rPr>
        <sz val="11"/>
        <color rgb="FF000000"/>
        <rFont val="Calibri"/>
      </rPr>
      <t xml:space="preserve"> Cisco ISE NDM Security Technical Implementation Guide</t>
    </r>
    <r>
      <rPr>
        <sz val="11"/>
        <color rgb="FF000000"/>
        <rFont val="Calibri"/>
      </rPr>
      <t xml:space="preserve">
</t>
    </r>
    <r>
      <rPr>
        <i/>
        <sz val="11"/>
        <color rgb="FF000000"/>
        <rFont val="Calibri"/>
      </rPr>
      <t>Version:</t>
    </r>
    <r>
      <rPr>
        <sz val="11"/>
        <color rgb="FF000000"/>
        <rFont val="Calibri"/>
      </rPr>
      <t xml:space="preserve"> V2R3     </t>
    </r>
    <r>
      <rPr>
        <i/>
        <sz val="11"/>
        <color rgb="FF000000"/>
        <rFont val="Calibri"/>
      </rPr>
      <t>Date:</t>
    </r>
    <r>
      <rPr>
        <sz val="11"/>
        <color rgb="FF000000"/>
        <rFont val="Calibri"/>
      </rPr>
      <t xml:space="preserve"> 05 January 2026     </t>
    </r>
    <r>
      <rPr>
        <i/>
        <sz val="11"/>
        <color rgb="FF000000"/>
        <rFont val="Calibri"/>
      </rPr>
      <t>Recommendation Count:</t>
    </r>
    <r>
      <rPr>
        <sz val="11"/>
        <color rgb="FF000000"/>
        <rFont val="Calibri"/>
      </rPr>
      <t xml:space="preserve"> 53</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</si>
  <si>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</si>
  <si>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</si>
  <si>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</si>
  <si>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</si>
  <si>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</si>
  <si>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</si>
  <si>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</si>
  <si>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</si>
  <si>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</si>
  <si>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</si>
  <si>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</si>
  <si>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</si>
  <si>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</si>
  <si>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</si>
  <si>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</si>
  <si>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</si>
  <si>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</si>
  <si>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</si>
  <si>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</si>
  <si>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</si>
  <si>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</si>
  <si>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</si>
  <si>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</si>
  <si>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</si>
  <si>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</si>
  <si>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</si>
  <si>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</si>
  <si>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</si>
  <si>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</si>
  <si>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</si>
  <si>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</si>
  <si>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</si>
  <si>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</si>
  <si>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</si>
  <si>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</si>
  <si>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</si>
  <si>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</si>
  <si>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</si>
  <si>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</si>
  <si>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</si>
  <si>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</si>
  <si>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</si>
  <si>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</si>
  <si>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</si>
  <si>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</si>
  <si>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</si>
  <si>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</si>
  <si>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Cisco ISE Security Technical Implementation Guide Y26M01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</si>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</sst>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13A-4F27-AF0F-2C7A2B99422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13A-4F27-AF0F-2C7A2B99422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83</c:v>
                </c:pt>
              </c:numCache>
            </c:numRef>
          </c:val>
          <c:extLst>
            <c:ext xmlns:c16="http://schemas.microsoft.com/office/drawing/2014/chart" uri="{C3380CC4-5D6E-409C-BE32-E72D297353CC}">
              <c16:uniqueId val="{00000002-B13A-4F27-AF0F-2C7A2B994226}"/>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NAC</c:v>
                </c:pt>
                <c:pt idx="1">
                  <c:v>NDM</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28D5-4A66-AD81-2795A899E77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NAC</c:v>
                </c:pt>
                <c:pt idx="1">
                  <c:v>NDM</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28D5-4A66-AD81-2795A899E77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NAC</c:v>
                </c:pt>
                <c:pt idx="1">
                  <c:v>NDM</c:v>
                </c:pt>
              </c:strCache>
            </c:strRef>
          </c:cat>
          <c:val>
            <c:numRef>
              <c:f>Dashboard!$E$29:$E$30</c:f>
              <c:numCache>
                <c:formatCode>General</c:formatCode>
                <c:ptCount val="2"/>
                <c:pt idx="0">
                  <c:v>30</c:v>
                </c:pt>
                <c:pt idx="1">
                  <c:v>53</c:v>
                </c:pt>
              </c:numCache>
            </c:numRef>
          </c:val>
          <c:extLst>
            <c:ext xmlns:c16="http://schemas.microsoft.com/office/drawing/2014/chart" uri="{C3380CC4-5D6E-409C-BE32-E72D297353CC}">
              <c16:uniqueId val="{00000002-28D5-4A66-AD81-2795A899E77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BF5-4458-8708-E5F57A3890B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BF5-4458-8708-E5F57A3890B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83</c:v>
                </c:pt>
              </c:numCache>
            </c:numRef>
          </c:val>
          <c:extLst>
            <c:ext xmlns:c16="http://schemas.microsoft.com/office/drawing/2014/chart" uri="{C3380CC4-5D6E-409C-BE32-E72D297353CC}">
              <c16:uniqueId val="{00000002-3BF5-4458-8708-E5F57A3890B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FC79-4FF0-B70A-4ACC3724FDA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FC79-4FF0-B70A-4ACC3724FDA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17</c:v>
                </c:pt>
                <c:pt idx="1">
                  <c:v>62</c:v>
                </c:pt>
                <c:pt idx="2">
                  <c:v>4</c:v>
                </c:pt>
              </c:numCache>
            </c:numRef>
          </c:val>
          <c:extLst>
            <c:ext xmlns:c16="http://schemas.microsoft.com/office/drawing/2014/chart" uri="{C3380CC4-5D6E-409C-BE32-E72D297353CC}">
              <c16:uniqueId val="{00000002-FC79-4FF0-B70A-4ACC3724FDA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C4BA-4819-91BB-637F5744502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C4BA-4819-91BB-637F5744502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83</c:v>
                </c:pt>
              </c:numCache>
            </c:numRef>
          </c:val>
          <c:extLst>
            <c:ext xmlns:c16="http://schemas.microsoft.com/office/drawing/2014/chart" uri="{C3380CC4-5D6E-409C-BE32-E72D297353CC}">
              <c16:uniqueId val="{00000002-C4BA-4819-91BB-637F5744502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5EB-4498-BD1D-7042939D70E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5EB-4498-BD1D-7042939D70E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83</c:v>
                </c:pt>
              </c:numCache>
            </c:numRef>
          </c:val>
          <c:extLst>
            <c:ext xmlns:c16="http://schemas.microsoft.com/office/drawing/2014/chart" uri="{C3380CC4-5D6E-409C-BE32-E72D297353CC}">
              <c16:uniqueId val="{00000002-F5EB-4498-BD1D-7042939D70E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3BFE-40D6-8F09-C95AE5B7E2C1}"/>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3BFE-40D6-8F09-C95AE5B7E2C1}"/>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3BFE-40D6-8F09-C95AE5B7E2C1}"/>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3BFE-40D6-8F09-C95AE5B7E2C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9DD-435C-980E-81CDAA68237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rtcnoc">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j1sg05">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mj2lru">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dm1o1j">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t3nptr">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dk2hwd">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ehfske">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lykzvg">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84">
  <autoFilter ref="A1:N84"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12"/>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408</v>
      </c>
    </row>
    <row r="3" spans="2:3" ht="15" customHeight="1" x14ac:dyDescent="0.35"/>
    <row r="4" spans="2:3" ht="58" x14ac:dyDescent="0.35">
      <c r="B4" s="20" t="s">
        <v>409</v>
      </c>
      <c r="C4" s="21" t="s">
        <v>410</v>
      </c>
    </row>
    <row r="5" spans="2:3" x14ac:dyDescent="0.35">
      <c r="C5" s="21" t="s">
        <v>411</v>
      </c>
    </row>
    <row r="6" spans="2:3" x14ac:dyDescent="0.35">
      <c r="C6" s="18" t="s">
        <v>412</v>
      </c>
    </row>
    <row r="7" spans="2:3" ht="10" customHeight="1" x14ac:dyDescent="0.35"/>
    <row r="8" spans="2:3" ht="232" x14ac:dyDescent="0.35">
      <c r="B8" s="22" t="s">
        <v>413</v>
      </c>
      <c r="C8" s="21" t="s">
        <v>414</v>
      </c>
    </row>
    <row r="9" spans="2:3" ht="10" customHeight="1" x14ac:dyDescent="0.35"/>
    <row r="10" spans="2:3" ht="35" customHeight="1" x14ac:dyDescent="0.35">
      <c r="B10" s="22" t="s">
        <v>415</v>
      </c>
      <c r="C10" s="21" t="s">
        <v>416</v>
      </c>
    </row>
    <row r="11" spans="2:3" ht="75" customHeight="1" x14ac:dyDescent="0.35">
      <c r="B11" s="18" t="s">
        <v>21</v>
      </c>
      <c r="C11" s="21" t="s">
        <v>417</v>
      </c>
    </row>
    <row r="12" spans="2:3" ht="47" customHeight="1" x14ac:dyDescent="0.35">
      <c r="B12" s="18" t="s">
        <v>21</v>
      </c>
      <c r="C12" s="21" t="s">
        <v>418</v>
      </c>
    </row>
    <row r="13" spans="2:3" ht="35" customHeight="1" x14ac:dyDescent="0.35">
      <c r="B13" s="18" t="s">
        <v>21</v>
      </c>
      <c r="C13" s="21" t="s">
        <v>419</v>
      </c>
    </row>
    <row r="14" spans="2:3" ht="32" customHeight="1" x14ac:dyDescent="0.35">
      <c r="B14" s="18" t="s">
        <v>21</v>
      </c>
      <c r="C14" s="21" t="s">
        <v>420</v>
      </c>
    </row>
    <row r="15" spans="2:3" ht="30" customHeight="1" x14ac:dyDescent="0.35">
      <c r="B15" s="18" t="s">
        <v>21</v>
      </c>
      <c r="C15" s="21" t="s">
        <v>421</v>
      </c>
    </row>
    <row r="16" spans="2:3" ht="10" customHeight="1" x14ac:dyDescent="0.35"/>
    <row r="17" spans="1:3" ht="145" customHeight="1" x14ac:dyDescent="0.35">
      <c r="B17" s="22" t="s">
        <v>422</v>
      </c>
      <c r="C17" s="21" t="s">
        <v>423</v>
      </c>
    </row>
    <row r="18" spans="1:3" ht="10" customHeight="1" x14ac:dyDescent="0.35"/>
    <row r="19" spans="1:3" ht="3" customHeight="1" x14ac:dyDescent="0.35">
      <c r="B19" s="23"/>
      <c r="C19" s="23"/>
    </row>
    <row r="20" spans="1:3" ht="12" customHeight="1" x14ac:dyDescent="0.35"/>
    <row r="21" spans="1:3" ht="35" customHeight="1" x14ac:dyDescent="0.35">
      <c r="A21" s="25"/>
      <c r="B21" s="26" t="s">
        <v>424</v>
      </c>
      <c r="C21" s="27" t="s">
        <v>425</v>
      </c>
    </row>
    <row r="22" spans="1:3" ht="18" customHeight="1" x14ac:dyDescent="0.35">
      <c r="A22" s="25"/>
      <c r="B22" s="25" t="s">
        <v>21</v>
      </c>
      <c r="C22" s="27" t="s">
        <v>426</v>
      </c>
    </row>
    <row r="23" spans="1:3" ht="18" customHeight="1" x14ac:dyDescent="0.35">
      <c r="A23" s="25"/>
      <c r="B23" s="25" t="s">
        <v>21</v>
      </c>
      <c r="C23" s="27" t="s">
        <v>427</v>
      </c>
    </row>
    <row r="24" spans="1:3" ht="18" customHeight="1" x14ac:dyDescent="0.35">
      <c r="A24" s="25"/>
      <c r="B24" s="25" t="s">
        <v>21</v>
      </c>
      <c r="C24" s="27" t="s">
        <v>428</v>
      </c>
    </row>
    <row r="25" spans="1:3" ht="18" customHeight="1" x14ac:dyDescent="0.35">
      <c r="A25" s="25"/>
      <c r="B25" s="25" t="s">
        <v>21</v>
      </c>
      <c r="C25" s="27" t="s">
        <v>429</v>
      </c>
    </row>
    <row r="26" spans="1:3" ht="18" customHeight="1" x14ac:dyDescent="0.35">
      <c r="A26" s="25"/>
      <c r="B26" s="25" t="s">
        <v>21</v>
      </c>
      <c r="C26" s="27" t="s">
        <v>430</v>
      </c>
    </row>
    <row r="27" spans="1:3" ht="18" customHeight="1" x14ac:dyDescent="0.35">
      <c r="A27" s="25"/>
      <c r="B27" s="25" t="s">
        <v>21</v>
      </c>
      <c r="C27" s="27" t="s">
        <v>431</v>
      </c>
    </row>
    <row r="28" spans="1:3" ht="18" customHeight="1" x14ac:dyDescent="0.35">
      <c r="A28" s="25"/>
      <c r="B28" s="25" t="s">
        <v>21</v>
      </c>
      <c r="C28" s="27" t="s">
        <v>432</v>
      </c>
    </row>
    <row r="29" spans="1:3" ht="18" customHeight="1" x14ac:dyDescent="0.35">
      <c r="A29" s="25"/>
      <c r="B29" s="25" t="s">
        <v>21</v>
      </c>
      <c r="C29" s="27" t="s">
        <v>433</v>
      </c>
    </row>
    <row r="30" spans="1:3" ht="44" customHeight="1" x14ac:dyDescent="0.35">
      <c r="A30" s="25"/>
      <c r="B30" s="25" t="s">
        <v>21</v>
      </c>
      <c r="C30" s="28" t="s">
        <v>434</v>
      </c>
    </row>
    <row r="31" spans="1:3" ht="10" customHeight="1" x14ac:dyDescent="0.35"/>
    <row r="32" spans="1:3" ht="3" customHeight="1" x14ac:dyDescent="0.35">
      <c r="B32" s="23"/>
      <c r="C32" s="23"/>
    </row>
    <row r="33" spans="2:3" ht="12" customHeight="1" x14ac:dyDescent="0.35"/>
    <row r="34" spans="2:3" ht="24" customHeight="1" x14ac:dyDescent="0.35">
      <c r="B34" s="29" t="s">
        <v>435</v>
      </c>
      <c r="C34" s="30" t="s">
        <v>436</v>
      </c>
    </row>
    <row r="35" spans="2:3" ht="18.5" x14ac:dyDescent="0.35">
      <c r="B35" s="29" t="s">
        <v>437</v>
      </c>
      <c r="C35" s="31" t="s">
        <v>438</v>
      </c>
    </row>
    <row r="36" spans="2:3" ht="27" customHeight="1" x14ac:dyDescent="0.35">
      <c r="B36" s="32" t="s">
        <v>439</v>
      </c>
      <c r="C36" s="24" t="s">
        <v>440</v>
      </c>
    </row>
    <row r="37" spans="2:3" x14ac:dyDescent="0.35">
      <c r="B37" s="29" t="s">
        <v>441</v>
      </c>
      <c r="C37" s="33" t="s">
        <v>442</v>
      </c>
    </row>
    <row r="38" spans="2:3" ht="10" customHeight="1" x14ac:dyDescent="0.35"/>
    <row r="39" spans="2:3" ht="220" customHeight="1" x14ac:dyDescent="0.35">
      <c r="B39" s="29" t="s">
        <v>443</v>
      </c>
      <c r="C39" s="34" t="s">
        <v>444</v>
      </c>
    </row>
    <row r="40" spans="2:3" ht="10" customHeight="1" x14ac:dyDescent="0.35"/>
    <row r="41" spans="2:3" ht="20" customHeight="1" x14ac:dyDescent="0.35">
      <c r="B41" s="29" t="s">
        <v>445</v>
      </c>
      <c r="C41" s="35" t="s">
        <v>17</v>
      </c>
    </row>
    <row r="42" spans="2:3" ht="29" x14ac:dyDescent="0.35">
      <c r="C42" s="21" t="s">
        <v>446</v>
      </c>
    </row>
    <row r="43" spans="2:3" ht="10" customHeight="1" x14ac:dyDescent="0.35"/>
    <row r="44" spans="2:3" ht="20" customHeight="1" x14ac:dyDescent="0.35">
      <c r="C44" s="35" t="s">
        <v>169</v>
      </c>
    </row>
    <row r="45" spans="2:3" ht="29" x14ac:dyDescent="0.35">
      <c r="C45" s="21" t="s">
        <v>447</v>
      </c>
    </row>
    <row r="46" spans="2:3" ht="10" customHeight="1" x14ac:dyDescent="0.35"/>
    <row r="47" spans="2:3" ht="43.5" x14ac:dyDescent="0.35">
      <c r="B47" s="29" t="s">
        <v>448</v>
      </c>
      <c r="C47" s="21" t="s">
        <v>449</v>
      </c>
    </row>
    <row r="48" spans="2:3" ht="10" customHeight="1" x14ac:dyDescent="0.35"/>
    <row r="49" spans="2:3" ht="15.5" x14ac:dyDescent="0.35">
      <c r="C49" s="36" t="s">
        <v>16</v>
      </c>
    </row>
    <row r="50" spans="2:3" ht="29" x14ac:dyDescent="0.35">
      <c r="C50" s="21" t="s">
        <v>450</v>
      </c>
    </row>
    <row r="51" spans="2:3" ht="10" customHeight="1" x14ac:dyDescent="0.35"/>
    <row r="52" spans="2:3" ht="15.5" x14ac:dyDescent="0.35">
      <c r="C52" s="37" t="s">
        <v>51</v>
      </c>
    </row>
    <row r="53" spans="2:3" ht="29" x14ac:dyDescent="0.35">
      <c r="C53" s="21" t="s">
        <v>451</v>
      </c>
    </row>
    <row r="54" spans="2:3" ht="10" customHeight="1" x14ac:dyDescent="0.35"/>
    <row r="55" spans="2:3" ht="15.5" x14ac:dyDescent="0.35">
      <c r="C55" s="38" t="s">
        <v>57</v>
      </c>
    </row>
    <row r="56" spans="2:3" ht="29" x14ac:dyDescent="0.35">
      <c r="C56" s="21" t="s">
        <v>452</v>
      </c>
    </row>
    <row r="57" spans="2:3" ht="10" customHeight="1" x14ac:dyDescent="0.35"/>
    <row r="58" spans="2:3" ht="3" customHeight="1" x14ac:dyDescent="0.35">
      <c r="B58" s="23"/>
      <c r="C58" s="23"/>
    </row>
    <row r="59" spans="2:3" ht="12" customHeight="1" x14ac:dyDescent="0.35"/>
    <row r="60" spans="2:3" ht="130.5" x14ac:dyDescent="0.35">
      <c r="B60" s="20" t="s">
        <v>453</v>
      </c>
      <c r="C60" s="21" t="s">
        <v>454</v>
      </c>
    </row>
    <row r="61" spans="2:3" ht="6" customHeight="1" x14ac:dyDescent="0.35"/>
    <row r="62" spans="2:3" ht="217.5" x14ac:dyDescent="0.35">
      <c r="C62" s="21" t="s">
        <v>455</v>
      </c>
    </row>
    <row r="63" spans="2:3" ht="6" customHeight="1" x14ac:dyDescent="0.35"/>
    <row r="64" spans="2:3" ht="43.5" x14ac:dyDescent="0.35">
      <c r="C64" s="21" t="s">
        <v>456</v>
      </c>
    </row>
    <row r="65" spans="2:3" ht="10" customHeight="1" x14ac:dyDescent="0.35"/>
    <row r="66" spans="2:3" ht="3" customHeight="1" x14ac:dyDescent="0.35">
      <c r="B66" s="23"/>
      <c r="C66" s="23"/>
    </row>
    <row r="67" spans="2:3" ht="12" customHeight="1" x14ac:dyDescent="0.35"/>
    <row r="68" spans="2:3" ht="145" x14ac:dyDescent="0.35">
      <c r="B68" s="20" t="s">
        <v>457</v>
      </c>
      <c r="C68" s="21" t="s">
        <v>458</v>
      </c>
    </row>
    <row r="69" spans="2:3" ht="6" customHeight="1" x14ac:dyDescent="0.35"/>
    <row r="70" spans="2:3" ht="203" x14ac:dyDescent="0.35">
      <c r="C70" s="21" t="s">
        <v>459</v>
      </c>
    </row>
    <row r="71" spans="2:3" ht="6" customHeight="1" x14ac:dyDescent="0.35"/>
    <row r="72" spans="2:3" ht="43.5" x14ac:dyDescent="0.35">
      <c r="C72" s="21" t="s">
        <v>460</v>
      </c>
    </row>
    <row r="73" spans="2:3" ht="10" customHeight="1" x14ac:dyDescent="0.35"/>
    <row r="74" spans="2:3" ht="3" customHeight="1" x14ac:dyDescent="0.35">
      <c r="B74" s="23"/>
      <c r="C74" s="23"/>
    </row>
    <row r="75" spans="2:3" ht="12" customHeight="1" x14ac:dyDescent="0.35"/>
    <row r="76" spans="2:3" ht="101.5" x14ac:dyDescent="0.35">
      <c r="B76" s="20" t="s">
        <v>461</v>
      </c>
      <c r="C76" s="21" t="s">
        <v>462</v>
      </c>
    </row>
    <row r="77" spans="2:3" ht="6" customHeight="1" x14ac:dyDescent="0.35"/>
    <row r="78" spans="2:3" ht="145" x14ac:dyDescent="0.35">
      <c r="C78" s="21" t="s">
        <v>463</v>
      </c>
    </row>
    <row r="79" spans="2:3" ht="6" customHeight="1" x14ac:dyDescent="0.35"/>
    <row r="80" spans="2:3" ht="43.5" x14ac:dyDescent="0.35">
      <c r="C80" s="21" t="s">
        <v>464</v>
      </c>
    </row>
    <row r="81" spans="2:3" ht="10" customHeight="1" x14ac:dyDescent="0.35"/>
    <row r="82" spans="2:3" ht="3" customHeight="1" x14ac:dyDescent="0.35">
      <c r="B82" s="23"/>
      <c r="C82" s="23"/>
    </row>
    <row r="83" spans="2:3" ht="12" customHeight="1" x14ac:dyDescent="0.35"/>
    <row r="84" spans="2:3" ht="26" customHeight="1" x14ac:dyDescent="0.35">
      <c r="B84" s="39" t="s">
        <v>465</v>
      </c>
    </row>
    <row r="85" spans="2:3" ht="8" customHeight="1" x14ac:dyDescent="0.35"/>
    <row r="86" spans="2:3" ht="20" customHeight="1" x14ac:dyDescent="0.35">
      <c r="B86" s="29" t="s">
        <v>466</v>
      </c>
      <c r="C86" s="40" t="s">
        <v>467</v>
      </c>
    </row>
    <row r="87" spans="2:3" ht="116" x14ac:dyDescent="0.35">
      <c r="C87" s="21" t="s">
        <v>468</v>
      </c>
    </row>
    <row r="88" spans="2:3" ht="10" customHeight="1" x14ac:dyDescent="0.35"/>
    <row r="89" spans="2:3" ht="20" customHeight="1" x14ac:dyDescent="0.35">
      <c r="B89" s="29" t="s">
        <v>469</v>
      </c>
      <c r="C89" s="40" t="s">
        <v>470</v>
      </c>
    </row>
    <row r="90" spans="2:3" ht="116" x14ac:dyDescent="0.35">
      <c r="C90" s="21" t="s">
        <v>471</v>
      </c>
    </row>
    <row r="91" spans="2:3" ht="10" customHeight="1" x14ac:dyDescent="0.35"/>
    <row r="92" spans="2:3" ht="20" customHeight="1" x14ac:dyDescent="0.35">
      <c r="B92" s="29" t="s">
        <v>472</v>
      </c>
      <c r="C92" s="40" t="s">
        <v>473</v>
      </c>
    </row>
    <row r="93" spans="2:3" ht="130.5" x14ac:dyDescent="0.35">
      <c r="C93" s="21" t="s">
        <v>474</v>
      </c>
    </row>
    <row r="94" spans="2:3" ht="10" customHeight="1" x14ac:dyDescent="0.35"/>
    <row r="95" spans="2:3" ht="20" customHeight="1" x14ac:dyDescent="0.35">
      <c r="B95" s="29" t="s">
        <v>475</v>
      </c>
      <c r="C95" s="40" t="s">
        <v>476</v>
      </c>
    </row>
    <row r="96" spans="2:3" ht="130.5" x14ac:dyDescent="0.35">
      <c r="C96" s="21" t="s">
        <v>477</v>
      </c>
    </row>
    <row r="97" spans="2:3" ht="10" customHeight="1" x14ac:dyDescent="0.35"/>
    <row r="98" spans="2:3" ht="20" customHeight="1" x14ac:dyDescent="0.35">
      <c r="B98" s="29" t="s">
        <v>478</v>
      </c>
      <c r="C98" s="40" t="s">
        <v>479</v>
      </c>
    </row>
    <row r="99" spans="2:3" ht="116" x14ac:dyDescent="0.35">
      <c r="C99" s="21" t="s">
        <v>480</v>
      </c>
    </row>
    <row r="100" spans="2:3" ht="10" customHeight="1" x14ac:dyDescent="0.35"/>
    <row r="101" spans="2:3" ht="20" customHeight="1" x14ac:dyDescent="0.35">
      <c r="B101" s="29" t="s">
        <v>481</v>
      </c>
      <c r="C101" s="40" t="s">
        <v>482</v>
      </c>
    </row>
    <row r="102" spans="2:3" ht="116" x14ac:dyDescent="0.35">
      <c r="C102" s="21" t="s">
        <v>483</v>
      </c>
    </row>
    <row r="103" spans="2:3" ht="10" customHeight="1" x14ac:dyDescent="0.35"/>
    <row r="104" spans="2:3" ht="20" customHeight="1" x14ac:dyDescent="0.35">
      <c r="B104" s="29" t="s">
        <v>484</v>
      </c>
      <c r="C104" s="40" t="s">
        <v>485</v>
      </c>
    </row>
    <row r="105" spans="2:3" ht="130.5" x14ac:dyDescent="0.35">
      <c r="C105" s="21" t="s">
        <v>486</v>
      </c>
    </row>
    <row r="106" spans="2:3" ht="10" customHeight="1" x14ac:dyDescent="0.35"/>
    <row r="107" spans="2:3" ht="20" customHeight="1" x14ac:dyDescent="0.35">
      <c r="B107" s="29" t="s">
        <v>487</v>
      </c>
      <c r="C107" s="40" t="s">
        <v>488</v>
      </c>
    </row>
    <row r="108" spans="2:3" ht="203" x14ac:dyDescent="0.35">
      <c r="C108" s="21" t="s">
        <v>489</v>
      </c>
    </row>
    <row r="109" spans="2:3" ht="10" customHeight="1" x14ac:dyDescent="0.35"/>
    <row r="112" spans="2:3" ht="32" customHeight="1" x14ac:dyDescent="0.35">
      <c r="B112" s="291" t="s">
        <v>407</v>
      </c>
      <c r="C112" s="291"/>
    </row>
  </sheetData>
  <sheetProtection password="90EA" sheet="1"/>
  <mergeCells count="1">
    <mergeCell ref="B112:C112"/>
  </mergeCells>
  <hyperlinks>
    <hyperlink ref="C5" r:id="rId1" xr:uid="{00000000-0004-0000-0000-000000000000}"/>
    <hyperlink ref="C6" r:id="rId2" xr:uid="{00000000-0004-0000-0000-000001000000}"/>
    <hyperlink ref="C37" r:id="rId3" xr:uid="{00000000-0004-0000-0000-000002000000}"/>
    <hyperlink ref="B112"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3173</v>
      </c>
      <c r="B1" s="233" t="s">
        <v>0</v>
      </c>
      <c r="C1" s="233" t="s">
        <v>650</v>
      </c>
      <c r="D1" s="233" t="s">
        <v>651</v>
      </c>
      <c r="E1" s="233" t="s">
        <v>656</v>
      </c>
      <c r="F1" s="233" t="s">
        <v>657</v>
      </c>
      <c r="G1" s="233" t="s">
        <v>658</v>
      </c>
      <c r="H1" s="233" t="s">
        <v>659</v>
      </c>
      <c r="I1" s="233" t="s">
        <v>660</v>
      </c>
      <c r="J1" s="233" t="s">
        <v>661</v>
      </c>
      <c r="K1" s="233" t="s">
        <v>662</v>
      </c>
      <c r="L1" s="233" t="s">
        <v>663</v>
      </c>
      <c r="M1" s="233" t="s">
        <v>664</v>
      </c>
      <c r="N1" s="233" t="s">
        <v>665</v>
      </c>
      <c r="O1" s="233" t="s">
        <v>666</v>
      </c>
      <c r="P1" s="233" t="s">
        <v>667</v>
      </c>
      <c r="Q1" s="233" t="s">
        <v>668</v>
      </c>
      <c r="R1" s="233" t="s">
        <v>669</v>
      </c>
      <c r="S1" s="233" t="s">
        <v>670</v>
      </c>
      <c r="T1" s="233" t="s">
        <v>671</v>
      </c>
      <c r="U1" s="233" t="s">
        <v>672</v>
      </c>
      <c r="V1" s="233" t="s">
        <v>673</v>
      </c>
      <c r="W1" s="233" t="s">
        <v>674</v>
      </c>
      <c r="X1" s="233" t="s">
        <v>675</v>
      </c>
      <c r="Y1" s="233" t="s">
        <v>676</v>
      </c>
      <c r="Z1" s="233" t="s">
        <v>677</v>
      </c>
      <c r="AA1" s="233" t="s">
        <v>678</v>
      </c>
      <c r="AB1" s="233" t="s">
        <v>679</v>
      </c>
      <c r="AC1" s="233" t="s">
        <v>680</v>
      </c>
      <c r="AD1" s="233" t="s">
        <v>681</v>
      </c>
      <c r="AE1" s="233" t="s">
        <v>682</v>
      </c>
      <c r="AF1" s="233" t="s">
        <v>683</v>
      </c>
      <c r="AG1" s="233" t="s">
        <v>684</v>
      </c>
      <c r="AH1" s="233" t="s">
        <v>685</v>
      </c>
      <c r="AI1" s="233" t="s">
        <v>686</v>
      </c>
      <c r="AJ1" s="233" t="s">
        <v>687</v>
      </c>
      <c r="AK1" s="233" t="s">
        <v>688</v>
      </c>
      <c r="AL1" s="233" t="s">
        <v>689</v>
      </c>
      <c r="AM1" s="233" t="s">
        <v>690</v>
      </c>
      <c r="AN1" s="233" t="s">
        <v>691</v>
      </c>
      <c r="AO1" s="233" t="s">
        <v>692</v>
      </c>
      <c r="AP1" s="233" t="s">
        <v>693</v>
      </c>
      <c r="AQ1" s="233" t="s">
        <v>694</v>
      </c>
      <c r="AR1" s="233" t="s">
        <v>695</v>
      </c>
      <c r="AS1" s="234" t="s">
        <v>696</v>
      </c>
    </row>
    <row r="2" spans="1:45" ht="60" customHeight="1" outlineLevel="1" x14ac:dyDescent="0.35">
      <c r="A2" s="226" t="s">
        <v>3174</v>
      </c>
      <c r="B2" s="213" t="s">
        <v>3175</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3174</v>
      </c>
      <c r="B3" s="214" t="s">
        <v>3176</v>
      </c>
      <c r="C3" s="215" t="s">
        <v>3177</v>
      </c>
      <c r="D3" s="217" t="s">
        <v>3178</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3174</v>
      </c>
      <c r="B4" s="214" t="s">
        <v>3179</v>
      </c>
      <c r="C4" s="215" t="s">
        <v>3180</v>
      </c>
      <c r="D4" s="217" t="s">
        <v>3181</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3174</v>
      </c>
      <c r="B5" s="214" t="s">
        <v>3182</v>
      </c>
      <c r="C5" s="215" t="s">
        <v>3183</v>
      </c>
      <c r="D5" s="217" t="s">
        <v>3184</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3174</v>
      </c>
      <c r="B6" s="214" t="s">
        <v>3185</v>
      </c>
      <c r="C6" s="215" t="s">
        <v>3186</v>
      </c>
      <c r="D6" s="217" t="s">
        <v>3187</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3174</v>
      </c>
      <c r="B7" s="214" t="s">
        <v>3188</v>
      </c>
      <c r="C7" s="215" t="s">
        <v>3189</v>
      </c>
      <c r="D7" s="217" t="s">
        <v>3190</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3174</v>
      </c>
      <c r="B8" s="214" t="s">
        <v>3191</v>
      </c>
      <c r="C8" s="215" t="s">
        <v>3192</v>
      </c>
      <c r="D8" s="217" t="s">
        <v>3193</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3174</v>
      </c>
      <c r="B9" s="214" t="s">
        <v>3194</v>
      </c>
      <c r="C9" s="215" t="s">
        <v>3195</v>
      </c>
      <c r="D9" s="217" t="s">
        <v>3196</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3174</v>
      </c>
      <c r="B10" s="214" t="s">
        <v>3197</v>
      </c>
      <c r="C10" s="215" t="s">
        <v>3198</v>
      </c>
      <c r="D10" s="217" t="s">
        <v>3199</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3174</v>
      </c>
      <c r="B11" s="214" t="s">
        <v>3200</v>
      </c>
      <c r="C11" s="215" t="s">
        <v>3201</v>
      </c>
      <c r="D11" s="217" t="s">
        <v>3202</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3174</v>
      </c>
      <c r="B12" s="214" t="s">
        <v>3203</v>
      </c>
      <c r="C12" s="215" t="s">
        <v>3204</v>
      </c>
      <c r="D12" s="217" t="s">
        <v>3205</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3174</v>
      </c>
      <c r="B13" s="214" t="s">
        <v>3206</v>
      </c>
      <c r="C13" s="215" t="s">
        <v>3207</v>
      </c>
      <c r="D13" s="217" t="s">
        <v>3208</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3174</v>
      </c>
      <c r="B14" s="214" t="s">
        <v>3209</v>
      </c>
      <c r="C14" s="215" t="s">
        <v>3210</v>
      </c>
      <c r="D14" s="217" t="s">
        <v>3211</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3174</v>
      </c>
      <c r="B15" s="214" t="s">
        <v>3212</v>
      </c>
      <c r="C15" s="215" t="s">
        <v>3213</v>
      </c>
      <c r="D15" s="217" t="s">
        <v>3214</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3174</v>
      </c>
      <c r="B16" s="214" t="s">
        <v>3215</v>
      </c>
      <c r="C16" s="215" t="s">
        <v>3216</v>
      </c>
      <c r="D16" s="217" t="s">
        <v>3217</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3174</v>
      </c>
      <c r="B17" s="214" t="s">
        <v>3218</v>
      </c>
      <c r="C17" s="215" t="s">
        <v>3219</v>
      </c>
      <c r="D17" s="217" t="s">
        <v>3220</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3174</v>
      </c>
      <c r="B18" s="214" t="s">
        <v>3221</v>
      </c>
      <c r="C18" s="215" t="s">
        <v>3222</v>
      </c>
      <c r="D18" s="217" t="s">
        <v>3223</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3174</v>
      </c>
      <c r="B19" s="214" t="s">
        <v>3224</v>
      </c>
      <c r="C19" s="215" t="s">
        <v>3225</v>
      </c>
      <c r="D19" s="217" t="s">
        <v>3226</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3174</v>
      </c>
      <c r="B20" s="214" t="s">
        <v>3227</v>
      </c>
      <c r="C20" s="215" t="s">
        <v>3228</v>
      </c>
      <c r="D20" s="217" t="s">
        <v>3229</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3174</v>
      </c>
      <c r="B21" s="214" t="s">
        <v>3230</v>
      </c>
      <c r="C21" s="215" t="s">
        <v>3231</v>
      </c>
      <c r="D21" s="217" t="s">
        <v>3232</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3174</v>
      </c>
      <c r="B22" s="214" t="s">
        <v>3233</v>
      </c>
      <c r="C22" s="215" t="s">
        <v>3234</v>
      </c>
      <c r="D22" s="217" t="s">
        <v>3235</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3174</v>
      </c>
      <c r="B23" s="214" t="s">
        <v>3236</v>
      </c>
      <c r="C23" s="215" t="s">
        <v>3237</v>
      </c>
      <c r="D23" s="217" t="s">
        <v>3238</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3174</v>
      </c>
      <c r="B24" s="214" t="s">
        <v>3239</v>
      </c>
      <c r="C24" s="215" t="s">
        <v>3240</v>
      </c>
      <c r="D24" s="217" t="s">
        <v>3241</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3174</v>
      </c>
      <c r="B25" s="214" t="s">
        <v>3242</v>
      </c>
      <c r="C25" s="215" t="s">
        <v>3243</v>
      </c>
      <c r="D25" s="217" t="s">
        <v>3244</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3174</v>
      </c>
      <c r="B26" s="214" t="s">
        <v>3245</v>
      </c>
      <c r="C26" s="215" t="s">
        <v>3246</v>
      </c>
      <c r="D26" s="217" t="s">
        <v>3247</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3174</v>
      </c>
      <c r="B27" s="214" t="s">
        <v>3248</v>
      </c>
      <c r="C27" s="215" t="s">
        <v>3249</v>
      </c>
      <c r="D27" s="217" t="s">
        <v>3250</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3174</v>
      </c>
      <c r="B28" s="214" t="s">
        <v>3251</v>
      </c>
      <c r="C28" s="215" t="s">
        <v>3252</v>
      </c>
      <c r="D28" s="217" t="s">
        <v>3253</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3174</v>
      </c>
      <c r="B29" s="214" t="s">
        <v>3254</v>
      </c>
      <c r="C29" s="215" t="s">
        <v>3255</v>
      </c>
      <c r="D29" s="217" t="s">
        <v>3256</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3174</v>
      </c>
      <c r="B30" s="214" t="s">
        <v>3257</v>
      </c>
      <c r="C30" s="215" t="s">
        <v>3258</v>
      </c>
      <c r="D30" s="217" t="s">
        <v>3259</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3174</v>
      </c>
      <c r="B31" s="214" t="s">
        <v>3260</v>
      </c>
      <c r="C31" s="215" t="s">
        <v>3261</v>
      </c>
      <c r="D31" s="217" t="s">
        <v>3262</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3174</v>
      </c>
      <c r="B32" s="214" t="s">
        <v>3263</v>
      </c>
      <c r="C32" s="215" t="s">
        <v>3264</v>
      </c>
      <c r="D32" s="217" t="s">
        <v>3265</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3174</v>
      </c>
      <c r="B33" s="214" t="s">
        <v>3266</v>
      </c>
      <c r="C33" s="215" t="s">
        <v>3267</v>
      </c>
      <c r="D33" s="217" t="s">
        <v>3268</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3174</v>
      </c>
      <c r="B34" s="214" t="s">
        <v>3269</v>
      </c>
      <c r="C34" s="215" t="s">
        <v>3270</v>
      </c>
      <c r="D34" s="217" t="s">
        <v>3271</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3174</v>
      </c>
      <c r="B35" s="214" t="s">
        <v>3272</v>
      </c>
      <c r="C35" s="215" t="s">
        <v>3273</v>
      </c>
      <c r="D35" s="217" t="s">
        <v>3274</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3174</v>
      </c>
      <c r="B36" s="214" t="s">
        <v>3275</v>
      </c>
      <c r="C36" s="215" t="s">
        <v>3276</v>
      </c>
      <c r="D36" s="217" t="s">
        <v>3277</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3174</v>
      </c>
      <c r="B37" s="214" t="s">
        <v>3278</v>
      </c>
      <c r="C37" s="215" t="s">
        <v>3279</v>
      </c>
      <c r="D37" s="217" t="s">
        <v>3280</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3174</v>
      </c>
      <c r="B38" s="214" t="s">
        <v>3281</v>
      </c>
      <c r="C38" s="215" t="s">
        <v>3282</v>
      </c>
      <c r="D38" s="217" t="s">
        <v>3283</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3174</v>
      </c>
      <c r="B39" s="214" t="s">
        <v>3284</v>
      </c>
      <c r="C39" s="215" t="s">
        <v>3285</v>
      </c>
      <c r="D39" s="217" t="s">
        <v>3286</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3287</v>
      </c>
      <c r="B40" s="213" t="s">
        <v>3288</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3287</v>
      </c>
      <c r="B41" s="214" t="s">
        <v>3289</v>
      </c>
      <c r="C41" s="215" t="s">
        <v>3290</v>
      </c>
      <c r="D41" s="217" t="s">
        <v>3291</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3287</v>
      </c>
      <c r="B42" s="214" t="s">
        <v>3292</v>
      </c>
      <c r="C42" s="215" t="s">
        <v>3293</v>
      </c>
      <c r="D42" s="217" t="s">
        <v>3294</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3287</v>
      </c>
      <c r="B43" s="214" t="s">
        <v>3295</v>
      </c>
      <c r="C43" s="215" t="s">
        <v>3296</v>
      </c>
      <c r="D43" s="217" t="s">
        <v>3297</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3287</v>
      </c>
      <c r="B44" s="214" t="s">
        <v>3298</v>
      </c>
      <c r="C44" s="215" t="s">
        <v>3299</v>
      </c>
      <c r="D44" s="217" t="s">
        <v>3300</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3287</v>
      </c>
      <c r="B45" s="214" t="s">
        <v>3301</v>
      </c>
      <c r="C45" s="215" t="s">
        <v>3302</v>
      </c>
      <c r="D45" s="217" t="s">
        <v>3303</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3287</v>
      </c>
      <c r="B46" s="214" t="s">
        <v>3304</v>
      </c>
      <c r="C46" s="215" t="s">
        <v>3305</v>
      </c>
      <c r="D46" s="217" t="s">
        <v>3306</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3287</v>
      </c>
      <c r="B47" s="214" t="s">
        <v>3307</v>
      </c>
      <c r="C47" s="215" t="s">
        <v>3308</v>
      </c>
      <c r="D47" s="217" t="s">
        <v>3309</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3287</v>
      </c>
      <c r="B48" s="214" t="s">
        <v>3310</v>
      </c>
      <c r="C48" s="215" t="s">
        <v>3311</v>
      </c>
      <c r="D48" s="217" t="s">
        <v>3312</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3313</v>
      </c>
      <c r="B49" s="213" t="s">
        <v>3314</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3313</v>
      </c>
      <c r="B50" s="214" t="s">
        <v>3315</v>
      </c>
      <c r="C50" s="215" t="s">
        <v>3316</v>
      </c>
      <c r="D50" s="217" t="s">
        <v>3317</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3313</v>
      </c>
      <c r="B51" s="214" t="s">
        <v>3318</v>
      </c>
      <c r="C51" s="215" t="s">
        <v>3319</v>
      </c>
      <c r="D51" s="217" t="s">
        <v>3320</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3313</v>
      </c>
      <c r="B52" s="214" t="s">
        <v>3321</v>
      </c>
      <c r="C52" s="215" t="s">
        <v>3322</v>
      </c>
      <c r="D52" s="217" t="s">
        <v>3323</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3313</v>
      </c>
      <c r="B53" s="214" t="s">
        <v>3324</v>
      </c>
      <c r="C53" s="215" t="s">
        <v>3325</v>
      </c>
      <c r="D53" s="217" t="s">
        <v>3326</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3313</v>
      </c>
      <c r="B54" s="214" t="s">
        <v>3327</v>
      </c>
      <c r="C54" s="215" t="s">
        <v>3328</v>
      </c>
      <c r="D54" s="217" t="s">
        <v>3329</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3313</v>
      </c>
      <c r="B55" s="214" t="s">
        <v>3330</v>
      </c>
      <c r="C55" s="215" t="s">
        <v>3331</v>
      </c>
      <c r="D55" s="217" t="s">
        <v>3332</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3313</v>
      </c>
      <c r="B56" s="214" t="s">
        <v>3333</v>
      </c>
      <c r="C56" s="215" t="s">
        <v>3334</v>
      </c>
      <c r="D56" s="217" t="s">
        <v>3335</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3313</v>
      </c>
      <c r="B57" s="214" t="s">
        <v>3336</v>
      </c>
      <c r="C57" s="215" t="s">
        <v>3337</v>
      </c>
      <c r="D57" s="217" t="s">
        <v>3338</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3313</v>
      </c>
      <c r="B58" s="214" t="s">
        <v>3339</v>
      </c>
      <c r="C58" s="215" t="s">
        <v>3340</v>
      </c>
      <c r="D58" s="217" t="s">
        <v>3341</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3313</v>
      </c>
      <c r="B59" s="214" t="s">
        <v>3342</v>
      </c>
      <c r="C59" s="215" t="s">
        <v>3343</v>
      </c>
      <c r="D59" s="217" t="s">
        <v>3344</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3313</v>
      </c>
      <c r="B60" s="214" t="s">
        <v>3345</v>
      </c>
      <c r="C60" s="215" t="s">
        <v>3346</v>
      </c>
      <c r="D60" s="217" t="s">
        <v>3347</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3313</v>
      </c>
      <c r="B61" s="214" t="s">
        <v>3348</v>
      </c>
      <c r="C61" s="215" t="s">
        <v>3349</v>
      </c>
      <c r="D61" s="217" t="s">
        <v>3350</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3313</v>
      </c>
      <c r="B62" s="214" t="s">
        <v>3351</v>
      </c>
      <c r="C62" s="215" t="s">
        <v>3352</v>
      </c>
      <c r="D62" s="217" t="s">
        <v>3353</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3313</v>
      </c>
      <c r="B63" s="214" t="s">
        <v>3354</v>
      </c>
      <c r="C63" s="215" t="s">
        <v>3355</v>
      </c>
      <c r="D63" s="217" t="s">
        <v>3356</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3357</v>
      </c>
      <c r="B64" s="213" t="s">
        <v>3358</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3357</v>
      </c>
      <c r="B65" s="214" t="s">
        <v>3359</v>
      </c>
      <c r="C65" s="215" t="s">
        <v>3360</v>
      </c>
      <c r="D65" s="217" t="s">
        <v>3361</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3357</v>
      </c>
      <c r="B66" s="214" t="s">
        <v>3362</v>
      </c>
      <c r="C66" s="215" t="s">
        <v>3363</v>
      </c>
      <c r="D66" s="217" t="s">
        <v>3364</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3357</v>
      </c>
      <c r="B67" s="214" t="s">
        <v>3365</v>
      </c>
      <c r="C67" s="215" t="s">
        <v>3366</v>
      </c>
      <c r="D67" s="217" t="s">
        <v>3367</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3357</v>
      </c>
      <c r="B68" s="214" t="s">
        <v>3368</v>
      </c>
      <c r="C68" s="215" t="s">
        <v>3369</v>
      </c>
      <c r="D68" s="217" t="s">
        <v>3370</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3357</v>
      </c>
      <c r="B69" s="214" t="s">
        <v>3371</v>
      </c>
      <c r="C69" s="215" t="s">
        <v>3372</v>
      </c>
      <c r="D69" s="217" t="s">
        <v>3373</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3357</v>
      </c>
      <c r="B70" s="214" t="s">
        <v>3374</v>
      </c>
      <c r="C70" s="215" t="s">
        <v>3375</v>
      </c>
      <c r="D70" s="217" t="s">
        <v>3376</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3357</v>
      </c>
      <c r="B71" s="214" t="s">
        <v>3377</v>
      </c>
      <c r="C71" s="215" t="s">
        <v>3378</v>
      </c>
      <c r="D71" s="217" t="s">
        <v>3379</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3357</v>
      </c>
      <c r="B72" s="214" t="s">
        <v>3380</v>
      </c>
      <c r="C72" s="215" t="s">
        <v>3381</v>
      </c>
      <c r="D72" s="217" t="s">
        <v>3382</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3357</v>
      </c>
      <c r="B73" s="214" t="s">
        <v>3383</v>
      </c>
      <c r="C73" s="215" t="s">
        <v>3384</v>
      </c>
      <c r="D73" s="217" t="s">
        <v>3385</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3357</v>
      </c>
      <c r="B74" s="214" t="s">
        <v>3386</v>
      </c>
      <c r="C74" s="215" t="s">
        <v>3387</v>
      </c>
      <c r="D74" s="217" t="s">
        <v>3388</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3357</v>
      </c>
      <c r="B75" s="214" t="s">
        <v>3389</v>
      </c>
      <c r="C75" s="215" t="s">
        <v>3390</v>
      </c>
      <c r="D75" s="217" t="s">
        <v>3391</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3357</v>
      </c>
      <c r="B76" s="214" t="s">
        <v>3392</v>
      </c>
      <c r="C76" s="215" t="s">
        <v>3393</v>
      </c>
      <c r="D76" s="217" t="s">
        <v>3394</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3357</v>
      </c>
      <c r="B77" s="214" t="s">
        <v>3395</v>
      </c>
      <c r="C77" s="215" t="s">
        <v>3396</v>
      </c>
      <c r="D77" s="217" t="s">
        <v>3397</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3357</v>
      </c>
      <c r="B78" s="214" t="s">
        <v>3398</v>
      </c>
      <c r="C78" s="215" t="s">
        <v>3399</v>
      </c>
      <c r="D78" s="217" t="s">
        <v>3400</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3357</v>
      </c>
      <c r="B79" s="214" t="s">
        <v>3401</v>
      </c>
      <c r="C79" s="215" t="s">
        <v>3402</v>
      </c>
      <c r="D79" s="217" t="s">
        <v>3403</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3357</v>
      </c>
      <c r="B80" s="214" t="s">
        <v>3404</v>
      </c>
      <c r="C80" s="215" t="s">
        <v>3405</v>
      </c>
      <c r="D80" s="217" t="s">
        <v>3406</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3357</v>
      </c>
      <c r="B81" s="214" t="s">
        <v>3407</v>
      </c>
      <c r="C81" s="215" t="s">
        <v>3408</v>
      </c>
      <c r="D81" s="217" t="s">
        <v>3409</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3357</v>
      </c>
      <c r="B82" s="214" t="s">
        <v>3410</v>
      </c>
      <c r="C82" s="215" t="s">
        <v>3411</v>
      </c>
      <c r="D82" s="217" t="s">
        <v>3412</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3357</v>
      </c>
      <c r="B83" s="214" t="s">
        <v>3413</v>
      </c>
      <c r="C83" s="215" t="s">
        <v>3414</v>
      </c>
      <c r="D83" s="217" t="s">
        <v>3415</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3357</v>
      </c>
      <c r="B84" s="214" t="s">
        <v>3416</v>
      </c>
      <c r="C84" s="215" t="s">
        <v>3417</v>
      </c>
      <c r="D84" s="217" t="s">
        <v>3418</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3357</v>
      </c>
      <c r="B85" s="214" t="s">
        <v>3419</v>
      </c>
      <c r="C85" s="215" t="s">
        <v>3420</v>
      </c>
      <c r="D85" s="217" t="s">
        <v>3421</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3357</v>
      </c>
      <c r="B86" s="214" t="s">
        <v>3422</v>
      </c>
      <c r="C86" s="215" t="s">
        <v>3423</v>
      </c>
      <c r="D86" s="217" t="s">
        <v>3424</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3357</v>
      </c>
      <c r="B87" s="214" t="s">
        <v>3425</v>
      </c>
      <c r="C87" s="215" t="s">
        <v>3426</v>
      </c>
      <c r="D87" s="217" t="s">
        <v>3427</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3357</v>
      </c>
      <c r="B88" s="214" t="s">
        <v>3428</v>
      </c>
      <c r="C88" s="215" t="s">
        <v>3429</v>
      </c>
      <c r="D88" s="217" t="s">
        <v>3430</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3357</v>
      </c>
      <c r="B89" s="214" t="s">
        <v>3431</v>
      </c>
      <c r="C89" s="215" t="s">
        <v>3432</v>
      </c>
      <c r="D89" s="217" t="s">
        <v>3433</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3357</v>
      </c>
      <c r="B90" s="214" t="s">
        <v>3434</v>
      </c>
      <c r="C90" s="215" t="s">
        <v>3435</v>
      </c>
      <c r="D90" s="217" t="s">
        <v>3436</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3357</v>
      </c>
      <c r="B91" s="214" t="s">
        <v>3437</v>
      </c>
      <c r="C91" s="215" t="s">
        <v>3438</v>
      </c>
      <c r="D91" s="217" t="s">
        <v>3439</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3357</v>
      </c>
      <c r="B92" s="214" t="s">
        <v>3440</v>
      </c>
      <c r="C92" s="215" t="s">
        <v>3441</v>
      </c>
      <c r="D92" s="217" t="s">
        <v>3442</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3357</v>
      </c>
      <c r="B93" s="214" t="s">
        <v>3443</v>
      </c>
      <c r="C93" s="215" t="s">
        <v>3444</v>
      </c>
      <c r="D93" s="217" t="s">
        <v>3445</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3357</v>
      </c>
      <c r="B94" s="214" t="s">
        <v>3446</v>
      </c>
      <c r="C94" s="215" t="s">
        <v>3447</v>
      </c>
      <c r="D94" s="217" t="s">
        <v>3448</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3357</v>
      </c>
      <c r="B95" s="214" t="s">
        <v>3449</v>
      </c>
      <c r="C95" s="215" t="s">
        <v>3450</v>
      </c>
      <c r="D95" s="217" t="s">
        <v>3451</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3357</v>
      </c>
      <c r="B96" s="214" t="s">
        <v>3452</v>
      </c>
      <c r="C96" s="215" t="s">
        <v>3453</v>
      </c>
      <c r="D96" s="217" t="s">
        <v>3454</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3357</v>
      </c>
      <c r="B97" s="214" t="s">
        <v>3455</v>
      </c>
      <c r="C97" s="215" t="s">
        <v>3456</v>
      </c>
      <c r="D97" s="217" t="s">
        <v>3457</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3357</v>
      </c>
      <c r="B98" s="221" t="s">
        <v>3458</v>
      </c>
      <c r="C98" s="222" t="s">
        <v>3459</v>
      </c>
      <c r="D98" s="223" t="s">
        <v>3460</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407</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IFERROR(INDEX('Recommendations'!$H$2:$H$84, MATCH(F2,'Recommendations'!$A$2:$A$84,0))="Implemented", FALSE))</xm:f>
            <x14:dxf>
              <font>
                <color rgb="FF000000"/>
              </font>
              <fill>
                <patternFill>
                  <bgColor rgb="FF3C7D22"/>
                </patternFill>
              </fill>
            </x14:dxf>
          </x14:cfRule>
          <x14:cfRule type="expression" priority="2" id="{00000000-000E-0000-0900-000002000000}">
            <xm:f>AND(F2&lt;&gt;"", IFERROR(INDEX('Recommendations'!$H$2:$H$84, MATCH(F2,'Recommendations'!$A$2:$A$84,0))="Compensated", FALSE))</xm:f>
            <x14:dxf>
              <font>
                <color rgb="FF000000"/>
              </font>
              <fill>
                <patternFill>
                  <bgColor rgb="FFC6E0B4"/>
                </patternFill>
              </fill>
            </x14:dxf>
          </x14:cfRule>
          <x14:cfRule type="expression" priority="3" id="{00000000-000E-0000-0900-000003000000}">
            <xm:f>AND(F2&lt;&gt;"", IFERROR(INDEX('Recommendations'!$H$2:$H$84, MATCH(F2,'Recommendations'!$A$2:$A$84,0))="Testing", FALSE))</xm:f>
            <x14:dxf>
              <font>
                <color rgb="FF000000"/>
              </font>
              <fill>
                <patternFill>
                  <bgColor rgb="FFFFC000"/>
                </patternFill>
              </fill>
            </x14:dxf>
          </x14:cfRule>
          <x14:cfRule type="expression" priority="4" id="{00000000-000E-0000-0900-000004000000}">
            <xm:f>AND(F2&lt;&gt;"", IFERROR(INDEX('Recommendations'!$H$2:$H$84, MATCH(F2,'Recommendations'!$A$2:$A$84,0))="Failed", FALSE))</xm:f>
            <x14:dxf>
              <font>
                <color rgb="FF000000"/>
              </font>
              <fill>
                <patternFill>
                  <bgColor rgb="FFD82891"/>
                </patternFill>
              </fill>
            </x14:dxf>
          </x14:cfRule>
          <x14:cfRule type="expression" priority="5" id="{00000000-000E-0000-0900-000005000000}">
            <xm:f>AND(F2&lt;&gt;"", IFERROR(INDEX('Recommendations'!$H$2:$H$84, MATCH(F2,'Recommendations'!$A$2:$A$84,0))="Risk Accepted", FALSE))</xm:f>
            <x14:dxf>
              <font>
                <color rgb="FF000000"/>
              </font>
              <fill>
                <patternFill>
                  <bgColor rgb="FFD9D9D9"/>
                </patternFill>
              </fill>
            </x14:dxf>
          </x14:cfRule>
          <x14:cfRule type="expression" priority="6" id="{00000000-000E-0000-0900-000006000000}">
            <xm:f>AND(F2&lt;&gt;"", IFERROR(INDEX('Recommendations'!$H$2:$H$84, MATCH(F2,'Recommendations'!$A$2:$A$84,0))="N/A",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3461</v>
      </c>
      <c r="C1" s="256" t="s">
        <v>3462</v>
      </c>
      <c r="D1" s="256" t="s">
        <v>3463</v>
      </c>
      <c r="E1" s="256" t="s">
        <v>3464</v>
      </c>
      <c r="F1" s="256" t="s">
        <v>2290</v>
      </c>
      <c r="G1" s="256" t="s">
        <v>3465</v>
      </c>
      <c r="H1" s="256" t="s">
        <v>3466</v>
      </c>
      <c r="I1" s="256" t="s">
        <v>3467</v>
      </c>
      <c r="J1" s="256" t="s">
        <v>11</v>
      </c>
      <c r="K1" s="256" t="s">
        <v>656</v>
      </c>
      <c r="L1" s="256" t="s">
        <v>657</v>
      </c>
      <c r="M1" s="256" t="s">
        <v>658</v>
      </c>
      <c r="N1" s="256" t="s">
        <v>659</v>
      </c>
      <c r="O1" s="256" t="s">
        <v>660</v>
      </c>
      <c r="P1" s="256" t="s">
        <v>661</v>
      </c>
      <c r="Q1" s="256" t="s">
        <v>662</v>
      </c>
      <c r="R1" s="256" t="s">
        <v>663</v>
      </c>
      <c r="S1" s="256" t="s">
        <v>664</v>
      </c>
      <c r="T1" s="256" t="s">
        <v>665</v>
      </c>
      <c r="U1" s="256" t="s">
        <v>666</v>
      </c>
      <c r="V1" s="256" t="s">
        <v>667</v>
      </c>
      <c r="W1" s="256" t="s">
        <v>668</v>
      </c>
      <c r="X1" s="256" t="s">
        <v>669</v>
      </c>
      <c r="Y1" s="256" t="s">
        <v>670</v>
      </c>
      <c r="Z1" s="256" t="s">
        <v>671</v>
      </c>
      <c r="AA1" s="256" t="s">
        <v>672</v>
      </c>
      <c r="AB1" s="256" t="s">
        <v>673</v>
      </c>
      <c r="AC1" s="256" t="s">
        <v>674</v>
      </c>
      <c r="AD1" s="256" t="s">
        <v>675</v>
      </c>
      <c r="AE1" s="256" t="s">
        <v>676</v>
      </c>
      <c r="AF1" s="256" t="s">
        <v>677</v>
      </c>
      <c r="AG1" s="256" t="s">
        <v>678</v>
      </c>
      <c r="AH1" s="256" t="s">
        <v>679</v>
      </c>
      <c r="AI1" s="256" t="s">
        <v>680</v>
      </c>
      <c r="AJ1" s="256" t="s">
        <v>681</v>
      </c>
      <c r="AK1" s="256" t="s">
        <v>682</v>
      </c>
      <c r="AL1" s="256" t="s">
        <v>683</v>
      </c>
      <c r="AM1" s="256" t="s">
        <v>684</v>
      </c>
      <c r="AN1" s="256" t="s">
        <v>685</v>
      </c>
      <c r="AO1" s="256" t="s">
        <v>686</v>
      </c>
      <c r="AP1" s="256" t="s">
        <v>687</v>
      </c>
      <c r="AQ1" s="256" t="s">
        <v>688</v>
      </c>
      <c r="AR1" s="256" t="s">
        <v>689</v>
      </c>
      <c r="AS1" s="256" t="s">
        <v>690</v>
      </c>
      <c r="AT1" s="256" t="s">
        <v>691</v>
      </c>
      <c r="AU1" s="256" t="s">
        <v>692</v>
      </c>
      <c r="AV1" s="256" t="s">
        <v>693</v>
      </c>
      <c r="AW1" s="256" t="s">
        <v>694</v>
      </c>
      <c r="AX1" s="256" t="s">
        <v>695</v>
      </c>
      <c r="AY1" s="257" t="s">
        <v>696</v>
      </c>
    </row>
    <row r="2" spans="1:51" ht="60" customHeight="1" outlineLevel="1" x14ac:dyDescent="0.35">
      <c r="A2" s="247" t="s">
        <v>3468</v>
      </c>
      <c r="B2" s="235" t="s">
        <v>3469</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699</v>
      </c>
      <c r="B3" s="236" t="s">
        <v>3470</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3471</v>
      </c>
      <c r="B4" s="237" t="s">
        <v>3472</v>
      </c>
      <c r="C4" s="237" t="s">
        <v>3473</v>
      </c>
      <c r="D4" s="237" t="s">
        <v>3474</v>
      </c>
      <c r="E4" s="237" t="s">
        <v>3475</v>
      </c>
      <c r="F4" s="237" t="s">
        <v>21</v>
      </c>
      <c r="G4" s="237" t="s">
        <v>21</v>
      </c>
      <c r="H4" s="237" t="s">
        <v>3476</v>
      </c>
      <c r="I4" s="237" t="s">
        <v>21</v>
      </c>
      <c r="J4" s="237" t="s">
        <v>3477</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3478</v>
      </c>
      <c r="B5" s="237" t="s">
        <v>3479</v>
      </c>
      <c r="C5" s="237" t="s">
        <v>3480</v>
      </c>
      <c r="D5" s="237" t="s">
        <v>3481</v>
      </c>
      <c r="E5" s="237" t="s">
        <v>3482</v>
      </c>
      <c r="F5" s="237" t="s">
        <v>3483</v>
      </c>
      <c r="G5" s="237" t="s">
        <v>21</v>
      </c>
      <c r="H5" s="237" t="s">
        <v>3484</v>
      </c>
      <c r="I5" s="237" t="s">
        <v>21</v>
      </c>
      <c r="J5" s="237" t="s">
        <v>3485</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705</v>
      </c>
      <c r="B6" s="236" t="s">
        <v>3486</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3487</v>
      </c>
      <c r="B7" s="237" t="s">
        <v>3488</v>
      </c>
      <c r="C7" s="237" t="s">
        <v>3489</v>
      </c>
      <c r="D7" s="237" t="s">
        <v>3490</v>
      </c>
      <c r="E7" s="237" t="s">
        <v>3482</v>
      </c>
      <c r="F7" s="237" t="s">
        <v>3491</v>
      </c>
      <c r="G7" s="237" t="s">
        <v>21</v>
      </c>
      <c r="H7" s="237" t="s">
        <v>3492</v>
      </c>
      <c r="I7" s="237" t="s">
        <v>21</v>
      </c>
      <c r="J7" s="237" t="s">
        <v>3493</v>
      </c>
      <c r="K7" s="240" t="str">
        <f>IF(COUNTIF(L7:AY7,"&lt;&gt;")=0,"",SUMPRODUCT(((Recommendations[ImplStatus]="Implemented")+(Recommendations[ImplStatus]="Compensated"))*ISNUMBER(MATCH(Recommendations[Id],L7:AY7,0)))/COUNTIF(L7:AY7,"&lt;&gt;"))</f>
        <v/>
      </c>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3494</v>
      </c>
      <c r="B8" s="237" t="s">
        <v>3495</v>
      </c>
      <c r="C8" s="237" t="s">
        <v>3496</v>
      </c>
      <c r="D8" s="237" t="s">
        <v>3497</v>
      </c>
      <c r="E8" s="237" t="s">
        <v>21</v>
      </c>
      <c r="F8" s="237" t="s">
        <v>21</v>
      </c>
      <c r="G8" s="237" t="s">
        <v>21</v>
      </c>
      <c r="H8" s="237" t="s">
        <v>3498</v>
      </c>
      <c r="I8" s="237" t="s">
        <v>3499</v>
      </c>
      <c r="J8" s="237" t="s">
        <v>3500</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3501</v>
      </c>
      <c r="B9" s="237" t="s">
        <v>3502</v>
      </c>
      <c r="C9" s="237" t="s">
        <v>3503</v>
      </c>
      <c r="D9" s="237" t="s">
        <v>3504</v>
      </c>
      <c r="E9" s="237" t="s">
        <v>21</v>
      </c>
      <c r="F9" s="237" t="s">
        <v>21</v>
      </c>
      <c r="G9" s="237" t="s">
        <v>21</v>
      </c>
      <c r="H9" s="237" t="s">
        <v>3505</v>
      </c>
      <c r="I9" s="237" t="s">
        <v>3506</v>
      </c>
      <c r="J9" s="237" t="s">
        <v>3507</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3508</v>
      </c>
      <c r="B10" s="237" t="s">
        <v>3509</v>
      </c>
      <c r="C10" s="237" t="s">
        <v>3510</v>
      </c>
      <c r="D10" s="237" t="s">
        <v>3511</v>
      </c>
      <c r="E10" s="237" t="s">
        <v>21</v>
      </c>
      <c r="F10" s="237" t="s">
        <v>21</v>
      </c>
      <c r="G10" s="237" t="s">
        <v>21</v>
      </c>
      <c r="H10" s="237" t="s">
        <v>3512</v>
      </c>
      <c r="I10" s="237" t="s">
        <v>3513</v>
      </c>
      <c r="J10" s="237" t="s">
        <v>3514</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3515</v>
      </c>
      <c r="B11" s="237" t="s">
        <v>3516</v>
      </c>
      <c r="C11" s="237" t="s">
        <v>3517</v>
      </c>
      <c r="D11" s="237" t="s">
        <v>3518</v>
      </c>
      <c r="E11" s="237" t="s">
        <v>21</v>
      </c>
      <c r="F11" s="237" t="s">
        <v>21</v>
      </c>
      <c r="G11" s="237" t="s">
        <v>21</v>
      </c>
      <c r="H11" s="237" t="s">
        <v>3519</v>
      </c>
      <c r="I11" s="237" t="s">
        <v>21</v>
      </c>
      <c r="J11" s="237" t="s">
        <v>3520</v>
      </c>
      <c r="K11" s="240" t="str">
        <f>IF(COUNTIF(L11:AY11,"&lt;&gt;")=0,"",SUMPRODUCT(((Recommendations[ImplStatus]="Implemented")+(Recommendations[ImplStatus]="Compensated"))*ISNUMBER(MATCH(Recommendations[Id],L11:AY11,0)))/COUNTIF(L11:AY11,"&lt;&gt;"))</f>
        <v/>
      </c>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3521</v>
      </c>
      <c r="B12" s="237" t="s">
        <v>3522</v>
      </c>
      <c r="C12" s="237" t="s">
        <v>3523</v>
      </c>
      <c r="D12" s="237" t="s">
        <v>3524</v>
      </c>
      <c r="E12" s="237" t="s">
        <v>21</v>
      </c>
      <c r="F12" s="237" t="s">
        <v>21</v>
      </c>
      <c r="G12" s="237" t="s">
        <v>3525</v>
      </c>
      <c r="H12" s="237" t="s">
        <v>3526</v>
      </c>
      <c r="I12" s="237" t="s">
        <v>21</v>
      </c>
      <c r="J12" s="237" t="s">
        <v>3527</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3528</v>
      </c>
      <c r="B13" s="237" t="s">
        <v>3529</v>
      </c>
      <c r="C13" s="237" t="s">
        <v>3530</v>
      </c>
      <c r="D13" s="237" t="s">
        <v>3531</v>
      </c>
      <c r="E13" s="237" t="s">
        <v>21</v>
      </c>
      <c r="F13" s="237" t="s">
        <v>21</v>
      </c>
      <c r="G13" s="237" t="s">
        <v>21</v>
      </c>
      <c r="H13" s="237" t="s">
        <v>3532</v>
      </c>
      <c r="I13" s="237" t="s">
        <v>21</v>
      </c>
      <c r="J13" s="237" t="s">
        <v>3533</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3534</v>
      </c>
      <c r="B14" s="237" t="s">
        <v>3535</v>
      </c>
      <c r="C14" s="237" t="s">
        <v>3536</v>
      </c>
      <c r="D14" s="237" t="s">
        <v>3537</v>
      </c>
      <c r="E14" s="237" t="s">
        <v>21</v>
      </c>
      <c r="F14" s="237" t="s">
        <v>3538</v>
      </c>
      <c r="G14" s="237" t="s">
        <v>21</v>
      </c>
      <c r="H14" s="237" t="s">
        <v>3539</v>
      </c>
      <c r="I14" s="237" t="s">
        <v>3540</v>
      </c>
      <c r="J14" s="237" t="s">
        <v>3541</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710</v>
      </c>
      <c r="B15" s="236" t="s">
        <v>3542</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3543</v>
      </c>
      <c r="B16" s="237" t="s">
        <v>3544</v>
      </c>
      <c r="C16" s="237" t="s">
        <v>3545</v>
      </c>
      <c r="D16" s="237" t="s">
        <v>3537</v>
      </c>
      <c r="E16" s="237" t="s">
        <v>21</v>
      </c>
      <c r="F16" s="237" t="s">
        <v>3546</v>
      </c>
      <c r="G16" s="237" t="s">
        <v>21</v>
      </c>
      <c r="H16" s="237" t="s">
        <v>3547</v>
      </c>
      <c r="I16" s="237" t="s">
        <v>21</v>
      </c>
      <c r="J16" s="237" t="s">
        <v>3548</v>
      </c>
      <c r="K16" s="240" t="str">
        <f>IF(COUNTIF(L16:AY16,"&lt;&gt;")=0,"",SUMPRODUCT(((Recommendations[ImplStatus]="Implemented")+(Recommendations[ImplStatus]="Compensated"))*ISNUMBER(MATCH(Recommendations[Id],L16:AY16,0)))/COUNTIF(L16:AY16,"&lt;&gt;"))</f>
        <v/>
      </c>
      <c r="L16" s="243"/>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3549</v>
      </c>
      <c r="B17" s="237" t="s">
        <v>3550</v>
      </c>
      <c r="C17" s="237" t="s">
        <v>3551</v>
      </c>
      <c r="D17" s="237" t="s">
        <v>3552</v>
      </c>
      <c r="E17" s="237" t="s">
        <v>21</v>
      </c>
      <c r="F17" s="237" t="s">
        <v>3546</v>
      </c>
      <c r="G17" s="237" t="s">
        <v>21</v>
      </c>
      <c r="H17" s="237" t="s">
        <v>3553</v>
      </c>
      <c r="I17" s="237" t="s">
        <v>21</v>
      </c>
      <c r="J17" s="237" t="s">
        <v>3554</v>
      </c>
      <c r="K17" s="240">
        <f>IF(COUNTIF(L17:AY17,"&lt;&gt;")=0,"",SUMPRODUCT(((Recommendations[ImplStatus]="Implemented")+(Recommendations[ImplStatus]="Compensated"))*ISNUMBER(MATCH(Recommendations[Id],L17:AY17,0)))/COUNTIF(L17:AY17,"&lt;&gt;"))</f>
        <v>0</v>
      </c>
      <c r="L17" s="243" t="s">
        <v>49</v>
      </c>
      <c r="M17" s="243"/>
      <c r="N17" s="243"/>
      <c r="O17" s="243"/>
      <c r="P17" s="243"/>
      <c r="Q17" s="243"/>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3555</v>
      </c>
      <c r="B18" s="237" t="s">
        <v>3556</v>
      </c>
      <c r="C18" s="237" t="s">
        <v>3557</v>
      </c>
      <c r="D18" s="237" t="s">
        <v>21</v>
      </c>
      <c r="E18" s="237" t="s">
        <v>21</v>
      </c>
      <c r="F18" s="237" t="s">
        <v>21</v>
      </c>
      <c r="G18" s="237" t="s">
        <v>21</v>
      </c>
      <c r="H18" s="237" t="s">
        <v>3558</v>
      </c>
      <c r="I18" s="237" t="s">
        <v>21</v>
      </c>
      <c r="J18" s="237" t="s">
        <v>3559</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715</v>
      </c>
      <c r="B19" s="236" t="s">
        <v>3560</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3561</v>
      </c>
      <c r="B20" s="237" t="s">
        <v>3562</v>
      </c>
      <c r="C20" s="237" t="s">
        <v>3563</v>
      </c>
      <c r="D20" s="237" t="s">
        <v>3564</v>
      </c>
      <c r="E20" s="237" t="s">
        <v>21</v>
      </c>
      <c r="F20" s="237" t="s">
        <v>3565</v>
      </c>
      <c r="G20" s="237" t="s">
        <v>21</v>
      </c>
      <c r="H20" s="237" t="s">
        <v>3566</v>
      </c>
      <c r="I20" s="237" t="s">
        <v>21</v>
      </c>
      <c r="J20" s="237" t="s">
        <v>3567</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3568</v>
      </c>
      <c r="B21" s="237" t="s">
        <v>3569</v>
      </c>
      <c r="C21" s="237" t="s">
        <v>3570</v>
      </c>
      <c r="D21" s="237" t="s">
        <v>3571</v>
      </c>
      <c r="E21" s="237" t="s">
        <v>3572</v>
      </c>
      <c r="F21" s="237" t="s">
        <v>21</v>
      </c>
      <c r="G21" s="237" t="s">
        <v>21</v>
      </c>
      <c r="H21" s="237" t="s">
        <v>3573</v>
      </c>
      <c r="I21" s="237" t="s">
        <v>3574</v>
      </c>
      <c r="J21" s="237" t="s">
        <v>3575</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3576</v>
      </c>
      <c r="B22" s="237" t="s">
        <v>3577</v>
      </c>
      <c r="C22" s="237" t="s">
        <v>3578</v>
      </c>
      <c r="D22" s="237" t="s">
        <v>3579</v>
      </c>
      <c r="E22" s="237" t="s">
        <v>21</v>
      </c>
      <c r="F22" s="237" t="s">
        <v>3580</v>
      </c>
      <c r="G22" s="237" t="s">
        <v>21</v>
      </c>
      <c r="H22" s="237" t="s">
        <v>3581</v>
      </c>
      <c r="I22" s="237" t="s">
        <v>21</v>
      </c>
      <c r="J22" s="237" t="s">
        <v>3582</v>
      </c>
      <c r="K22" s="240" t="str">
        <f>IF(COUNTIF(L22:AY22,"&lt;&gt;")=0,"",SUMPRODUCT(((Recommendations[ImplStatus]="Implemented")+(Recommendations[ImplStatus]="Compensated"))*ISNUMBER(MATCH(Recommendations[Id],L22:AY22,0)))/COUNTIF(L22:AY22,"&lt;&gt;"))</f>
        <v/>
      </c>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3583</v>
      </c>
      <c r="B23" s="237" t="s">
        <v>3584</v>
      </c>
      <c r="C23" s="237" t="s">
        <v>3585</v>
      </c>
      <c r="D23" s="237" t="s">
        <v>3586</v>
      </c>
      <c r="E23" s="237" t="s">
        <v>21</v>
      </c>
      <c r="F23" s="237" t="s">
        <v>21</v>
      </c>
      <c r="G23" s="237" t="s">
        <v>21</v>
      </c>
      <c r="H23" s="237" t="s">
        <v>3587</v>
      </c>
      <c r="I23" s="237" t="s">
        <v>3588</v>
      </c>
      <c r="J23" s="237" t="s">
        <v>3589</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3590</v>
      </c>
      <c r="B24" s="237" t="s">
        <v>3591</v>
      </c>
      <c r="C24" s="237" t="s">
        <v>3592</v>
      </c>
      <c r="D24" s="237" t="s">
        <v>3586</v>
      </c>
      <c r="E24" s="237" t="s">
        <v>21</v>
      </c>
      <c r="F24" s="237" t="s">
        <v>3593</v>
      </c>
      <c r="G24" s="237" t="s">
        <v>21</v>
      </c>
      <c r="H24" s="237" t="s">
        <v>3594</v>
      </c>
      <c r="I24" s="237" t="s">
        <v>21</v>
      </c>
      <c r="J24" s="237" t="s">
        <v>3595</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719</v>
      </c>
      <c r="B25" s="236" t="s">
        <v>3596</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3597</v>
      </c>
      <c r="B26" s="237" t="s">
        <v>3598</v>
      </c>
      <c r="C26" s="237" t="s">
        <v>3599</v>
      </c>
      <c r="D26" s="237" t="s">
        <v>3600</v>
      </c>
      <c r="E26" s="237" t="s">
        <v>21</v>
      </c>
      <c r="F26" s="237" t="s">
        <v>3601</v>
      </c>
      <c r="G26" s="237" t="s">
        <v>21</v>
      </c>
      <c r="H26" s="237" t="s">
        <v>3602</v>
      </c>
      <c r="I26" s="237" t="s">
        <v>21</v>
      </c>
      <c r="J26" s="237" t="s">
        <v>3603</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3604</v>
      </c>
      <c r="B27" s="235" t="s">
        <v>3605</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725</v>
      </c>
      <c r="B28" s="236" t="s">
        <v>3606</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3607</v>
      </c>
      <c r="B29" s="237" t="s">
        <v>3608</v>
      </c>
      <c r="C29" s="237" t="s">
        <v>3609</v>
      </c>
      <c r="D29" s="237" t="s">
        <v>3610</v>
      </c>
      <c r="E29" s="237" t="s">
        <v>3611</v>
      </c>
      <c r="F29" s="237" t="s">
        <v>21</v>
      </c>
      <c r="G29" s="237" t="s">
        <v>21</v>
      </c>
      <c r="H29" s="237" t="s">
        <v>3612</v>
      </c>
      <c r="I29" s="237" t="s">
        <v>21</v>
      </c>
      <c r="J29" s="237" t="s">
        <v>3613</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3614</v>
      </c>
      <c r="B30" s="237" t="s">
        <v>3615</v>
      </c>
      <c r="C30" s="237" t="s">
        <v>3480</v>
      </c>
      <c r="D30" s="237" t="s">
        <v>3481</v>
      </c>
      <c r="E30" s="237" t="s">
        <v>21</v>
      </c>
      <c r="F30" s="237" t="s">
        <v>3483</v>
      </c>
      <c r="G30" s="237" t="s">
        <v>21</v>
      </c>
      <c r="H30" s="237" t="s">
        <v>3616</v>
      </c>
      <c r="I30" s="237" t="s">
        <v>21</v>
      </c>
      <c r="J30" s="237" t="s">
        <v>3617</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730</v>
      </c>
      <c r="B31" s="236" t="s">
        <v>3618</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3619</v>
      </c>
      <c r="B32" s="237" t="s">
        <v>3620</v>
      </c>
      <c r="C32" s="237" t="s">
        <v>3621</v>
      </c>
      <c r="D32" s="237" t="s">
        <v>3622</v>
      </c>
      <c r="E32" s="237" t="s">
        <v>21</v>
      </c>
      <c r="F32" s="237" t="s">
        <v>21</v>
      </c>
      <c r="G32" s="237" t="s">
        <v>3623</v>
      </c>
      <c r="H32" s="237" t="s">
        <v>3624</v>
      </c>
      <c r="I32" s="237" t="s">
        <v>21</v>
      </c>
      <c r="J32" s="237" t="s">
        <v>3625</v>
      </c>
      <c r="K32" s="240" t="str">
        <f>IF(COUNTIF(L32:AY32,"&lt;&gt;")=0,"",SUMPRODUCT(((Recommendations[ImplStatus]="Implemented")+(Recommendations[ImplStatus]="Compensated"))*ISNUMBER(MATCH(Recommendations[Id],L32:AY32,0)))/COUNTIF(L32:AY32,"&lt;&gt;"))</f>
        <v/>
      </c>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3626</v>
      </c>
      <c r="B33" s="237" t="s">
        <v>3627</v>
      </c>
      <c r="C33" s="237" t="s">
        <v>3628</v>
      </c>
      <c r="D33" s="237" t="s">
        <v>3629</v>
      </c>
      <c r="E33" s="237" t="s">
        <v>21</v>
      </c>
      <c r="F33" s="237" t="s">
        <v>3630</v>
      </c>
      <c r="G33" s="237" t="s">
        <v>21</v>
      </c>
      <c r="H33" s="237" t="s">
        <v>3631</v>
      </c>
      <c r="I33" s="237" t="s">
        <v>3632</v>
      </c>
      <c r="J33" s="237" t="s">
        <v>3633</v>
      </c>
      <c r="K33" s="240" t="str">
        <f>IF(COUNTIF(L33:AY33,"&lt;&gt;")=0,"",SUMPRODUCT(((Recommendations[ImplStatus]="Implemented")+(Recommendations[ImplStatus]="Compensated"))*ISNUMBER(MATCH(Recommendations[Id],L33:AY33,0)))/COUNTIF(L33:AY33,"&lt;&gt;"))</f>
        <v/>
      </c>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3634</v>
      </c>
      <c r="B34" s="237" t="s">
        <v>3635</v>
      </c>
      <c r="C34" s="237" t="s">
        <v>3636</v>
      </c>
      <c r="D34" s="237" t="s">
        <v>3637</v>
      </c>
      <c r="E34" s="237" t="s">
        <v>21</v>
      </c>
      <c r="F34" s="237" t="s">
        <v>21</v>
      </c>
      <c r="G34" s="237" t="s">
        <v>21</v>
      </c>
      <c r="H34" s="237" t="s">
        <v>3638</v>
      </c>
      <c r="I34" s="237" t="s">
        <v>21</v>
      </c>
      <c r="J34" s="237" t="s">
        <v>3639</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3640</v>
      </c>
      <c r="B35" s="237" t="s">
        <v>3641</v>
      </c>
      <c r="C35" s="237" t="s">
        <v>3642</v>
      </c>
      <c r="D35" s="237" t="s">
        <v>3643</v>
      </c>
      <c r="E35" s="237" t="s">
        <v>21</v>
      </c>
      <c r="F35" s="237" t="s">
        <v>3644</v>
      </c>
      <c r="G35" s="237" t="s">
        <v>21</v>
      </c>
      <c r="H35" s="237" t="s">
        <v>3645</v>
      </c>
      <c r="I35" s="237" t="s">
        <v>21</v>
      </c>
      <c r="J35" s="237" t="s">
        <v>3646</v>
      </c>
      <c r="K35" s="240">
        <f>IF(COUNTIF(L35:AY35,"&lt;&gt;")=0,"",SUMPRODUCT(((Recommendations[ImplStatus]="Implemented")+(Recommendations[ImplStatus]="Compensated"))*ISNUMBER(MATCH(Recommendations[Id],L35:AY35,0)))/COUNTIF(L35:AY35,"&lt;&gt;"))</f>
        <v>0</v>
      </c>
      <c r="L35" s="243" t="s">
        <v>295</v>
      </c>
      <c r="M35" s="243" t="s">
        <v>300</v>
      </c>
      <c r="N35" s="243"/>
      <c r="O35" s="243"/>
      <c r="P35" s="243"/>
      <c r="Q35" s="243"/>
      <c r="R35" s="243"/>
      <c r="S35" s="243"/>
      <c r="T35" s="24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53"/>
    </row>
    <row r="36" spans="1:51" ht="60" customHeight="1" x14ac:dyDescent="0.35">
      <c r="A36" s="249" t="s">
        <v>3647</v>
      </c>
      <c r="B36" s="237" t="s">
        <v>3648</v>
      </c>
      <c r="C36" s="237" t="s">
        <v>3649</v>
      </c>
      <c r="D36" s="237" t="s">
        <v>3650</v>
      </c>
      <c r="E36" s="237" t="s">
        <v>21</v>
      </c>
      <c r="F36" s="237" t="s">
        <v>21</v>
      </c>
      <c r="G36" s="237" t="s">
        <v>3651</v>
      </c>
      <c r="H36" s="237" t="s">
        <v>3652</v>
      </c>
      <c r="I36" s="237" t="s">
        <v>21</v>
      </c>
      <c r="J36" s="237" t="s">
        <v>3653</v>
      </c>
      <c r="K36" s="240" t="str">
        <f>IF(COUNTIF(L36:AY36,"&lt;&gt;")=0,"",SUMPRODUCT(((Recommendations[ImplStatus]="Implemented")+(Recommendations[ImplStatus]="Compensated"))*ISNUMBER(MATCH(Recommendations[Id],L36:AY36,0)))/COUNTIF(L36:AY36,"&lt;&gt;"))</f>
        <v/>
      </c>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3654</v>
      </c>
      <c r="B37" s="237" t="s">
        <v>3655</v>
      </c>
      <c r="C37" s="237" t="s">
        <v>3656</v>
      </c>
      <c r="D37" s="237" t="s">
        <v>3657</v>
      </c>
      <c r="E37" s="237" t="s">
        <v>21</v>
      </c>
      <c r="F37" s="237" t="s">
        <v>3658</v>
      </c>
      <c r="G37" s="237" t="s">
        <v>3659</v>
      </c>
      <c r="H37" s="237" t="s">
        <v>3660</v>
      </c>
      <c r="I37" s="237" t="s">
        <v>21</v>
      </c>
      <c r="J37" s="237" t="s">
        <v>3661</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3662</v>
      </c>
      <c r="B38" s="237" t="s">
        <v>3663</v>
      </c>
      <c r="C38" s="237" t="s">
        <v>3664</v>
      </c>
      <c r="D38" s="237" t="s">
        <v>3665</v>
      </c>
      <c r="E38" s="237" t="s">
        <v>21</v>
      </c>
      <c r="F38" s="237" t="s">
        <v>3658</v>
      </c>
      <c r="G38" s="237" t="s">
        <v>3666</v>
      </c>
      <c r="H38" s="237" t="s">
        <v>3667</v>
      </c>
      <c r="I38" s="237" t="s">
        <v>3668</v>
      </c>
      <c r="J38" s="237" t="s">
        <v>3669</v>
      </c>
      <c r="K38" s="240">
        <f>IF(COUNTIF(L38:AY38,"&lt;&gt;")=0,"",SUMPRODUCT(((Recommendations[ImplStatus]="Implemented")+(Recommendations[ImplStatus]="Compensated"))*ISNUMBER(MATCH(Recommendations[Id],L38:AY38,0)))/COUNTIF(L38:AY38,"&lt;&gt;"))</f>
        <v>0</v>
      </c>
      <c r="L38" s="243" t="s">
        <v>147</v>
      </c>
      <c r="M38" s="243" t="s">
        <v>152</v>
      </c>
      <c r="N38" s="243" t="s">
        <v>310</v>
      </c>
      <c r="O38" s="243" t="s">
        <v>358</v>
      </c>
      <c r="P38" s="243" t="s">
        <v>368</v>
      </c>
      <c r="Q38" s="243" t="s">
        <v>378</v>
      </c>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734</v>
      </c>
      <c r="B39" s="236" t="s">
        <v>3670</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3671</v>
      </c>
      <c r="B40" s="237" t="s">
        <v>3672</v>
      </c>
      <c r="C40" s="237" t="s">
        <v>3673</v>
      </c>
      <c r="D40" s="237" t="s">
        <v>3674</v>
      </c>
      <c r="E40" s="237" t="s">
        <v>21</v>
      </c>
      <c r="F40" s="237" t="s">
        <v>21</v>
      </c>
      <c r="G40" s="237" t="s">
        <v>21</v>
      </c>
      <c r="H40" s="237" t="s">
        <v>3675</v>
      </c>
      <c r="I40" s="237" t="s">
        <v>3676</v>
      </c>
      <c r="J40" s="237" t="s">
        <v>3677</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3678</v>
      </c>
      <c r="B41" s="237" t="s">
        <v>3679</v>
      </c>
      <c r="C41" s="237" t="s">
        <v>3680</v>
      </c>
      <c r="D41" s="237" t="s">
        <v>21</v>
      </c>
      <c r="E41" s="237" t="s">
        <v>21</v>
      </c>
      <c r="F41" s="237" t="s">
        <v>21</v>
      </c>
      <c r="G41" s="237" t="s">
        <v>21</v>
      </c>
      <c r="H41" s="237" t="s">
        <v>3681</v>
      </c>
      <c r="I41" s="237" t="s">
        <v>21</v>
      </c>
      <c r="J41" s="237" t="s">
        <v>3682</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3683</v>
      </c>
      <c r="B42" s="235" t="s">
        <v>3684</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757</v>
      </c>
      <c r="B43" s="236" t="s">
        <v>3685</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3686</v>
      </c>
      <c r="B44" s="237" t="s">
        <v>3687</v>
      </c>
      <c r="C44" s="237" t="s">
        <v>3688</v>
      </c>
      <c r="D44" s="237" t="s">
        <v>3689</v>
      </c>
      <c r="E44" s="237" t="s">
        <v>3475</v>
      </c>
      <c r="F44" s="237" t="s">
        <v>21</v>
      </c>
      <c r="G44" s="237" t="s">
        <v>21</v>
      </c>
      <c r="H44" s="237" t="s">
        <v>3690</v>
      </c>
      <c r="I44" s="237" t="s">
        <v>21</v>
      </c>
      <c r="J44" s="237" t="s">
        <v>3691</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3692</v>
      </c>
      <c r="B45" s="237" t="s">
        <v>3693</v>
      </c>
      <c r="C45" s="237" t="s">
        <v>3694</v>
      </c>
      <c r="D45" s="237" t="s">
        <v>3481</v>
      </c>
      <c r="E45" s="237" t="s">
        <v>21</v>
      </c>
      <c r="F45" s="237" t="s">
        <v>3483</v>
      </c>
      <c r="G45" s="237" t="s">
        <v>21</v>
      </c>
      <c r="H45" s="237" t="s">
        <v>3695</v>
      </c>
      <c r="I45" s="237" t="s">
        <v>21</v>
      </c>
      <c r="J45" s="237" t="s">
        <v>3696</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763</v>
      </c>
      <c r="B46" s="236" t="s">
        <v>3697</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3698</v>
      </c>
      <c r="B47" s="237" t="s">
        <v>3699</v>
      </c>
      <c r="C47" s="237" t="s">
        <v>3700</v>
      </c>
      <c r="D47" s="237" t="s">
        <v>3701</v>
      </c>
      <c r="E47" s="237" t="s">
        <v>21</v>
      </c>
      <c r="F47" s="237" t="s">
        <v>3702</v>
      </c>
      <c r="G47" s="237" t="s">
        <v>3703</v>
      </c>
      <c r="H47" s="237" t="s">
        <v>3704</v>
      </c>
      <c r="I47" s="237" t="s">
        <v>3705</v>
      </c>
      <c r="J47" s="237" t="s">
        <v>3706</v>
      </c>
      <c r="K47" s="240" t="str">
        <f>IF(COUNTIF(L47:AY47,"&lt;&gt;")=0,"",SUMPRODUCT(((Recommendations[ImplStatus]="Implemented")+(Recommendations[ImplStatus]="Compensated"))*ISNUMBER(MATCH(Recommendations[Id],L47:AY47,0)))/COUNTIF(L47:AY47,"&lt;&gt;"))</f>
        <v/>
      </c>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767</v>
      </c>
      <c r="B48" s="236" t="s">
        <v>3707</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3708</v>
      </c>
      <c r="B49" s="237" t="s">
        <v>3709</v>
      </c>
      <c r="C49" s="237" t="s">
        <v>3710</v>
      </c>
      <c r="D49" s="237" t="s">
        <v>3711</v>
      </c>
      <c r="E49" s="237" t="s">
        <v>3712</v>
      </c>
      <c r="F49" s="237" t="s">
        <v>21</v>
      </c>
      <c r="G49" s="237" t="s">
        <v>21</v>
      </c>
      <c r="H49" s="237" t="s">
        <v>3713</v>
      </c>
      <c r="I49" s="237" t="s">
        <v>3714</v>
      </c>
      <c r="J49" s="237" t="s">
        <v>3715</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3716</v>
      </c>
      <c r="B50" s="237" t="s">
        <v>3717</v>
      </c>
      <c r="C50" s="237" t="s">
        <v>3718</v>
      </c>
      <c r="D50" s="237" t="s">
        <v>21</v>
      </c>
      <c r="E50" s="237" t="s">
        <v>3719</v>
      </c>
      <c r="F50" s="237" t="s">
        <v>3720</v>
      </c>
      <c r="G50" s="237" t="s">
        <v>21</v>
      </c>
      <c r="H50" s="237" t="s">
        <v>3713</v>
      </c>
      <c r="I50" s="237" t="s">
        <v>3721</v>
      </c>
      <c r="J50" s="237" t="s">
        <v>3722</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3723</v>
      </c>
      <c r="B51" s="237" t="s">
        <v>3724</v>
      </c>
      <c r="C51" s="237" t="s">
        <v>3725</v>
      </c>
      <c r="D51" s="237" t="s">
        <v>21</v>
      </c>
      <c r="E51" s="237" t="s">
        <v>21</v>
      </c>
      <c r="F51" s="237" t="s">
        <v>3726</v>
      </c>
      <c r="G51" s="237" t="s">
        <v>21</v>
      </c>
      <c r="H51" s="237" t="s">
        <v>3713</v>
      </c>
      <c r="I51" s="237" t="s">
        <v>3727</v>
      </c>
      <c r="J51" s="237" t="s">
        <v>3728</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3729</v>
      </c>
      <c r="B52" s="237" t="s">
        <v>3730</v>
      </c>
      <c r="C52" s="237" t="s">
        <v>3731</v>
      </c>
      <c r="D52" s="237" t="s">
        <v>21</v>
      </c>
      <c r="E52" s="237" t="s">
        <v>21</v>
      </c>
      <c r="F52" s="237" t="s">
        <v>3732</v>
      </c>
      <c r="G52" s="237" t="s">
        <v>21</v>
      </c>
      <c r="H52" s="237" t="s">
        <v>3713</v>
      </c>
      <c r="I52" s="237" t="s">
        <v>3733</v>
      </c>
      <c r="J52" s="237" t="s">
        <v>3734</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3735</v>
      </c>
      <c r="B53" s="237" t="s">
        <v>3736</v>
      </c>
      <c r="C53" s="237" t="s">
        <v>3737</v>
      </c>
      <c r="D53" s="237" t="s">
        <v>3738</v>
      </c>
      <c r="E53" s="237" t="s">
        <v>3739</v>
      </c>
      <c r="F53" s="237" t="s">
        <v>21</v>
      </c>
      <c r="G53" s="237" t="s">
        <v>21</v>
      </c>
      <c r="H53" s="237" t="s">
        <v>3740</v>
      </c>
      <c r="I53" s="237" t="s">
        <v>21</v>
      </c>
      <c r="J53" s="237" t="s">
        <v>3741</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3742</v>
      </c>
      <c r="B54" s="237" t="s">
        <v>3743</v>
      </c>
      <c r="C54" s="237" t="s">
        <v>3737</v>
      </c>
      <c r="D54" s="237" t="s">
        <v>3738</v>
      </c>
      <c r="E54" s="237" t="s">
        <v>21</v>
      </c>
      <c r="F54" s="237" t="s">
        <v>21</v>
      </c>
      <c r="G54" s="237" t="s">
        <v>21</v>
      </c>
      <c r="H54" s="237" t="s">
        <v>3744</v>
      </c>
      <c r="I54" s="237" t="s">
        <v>3745</v>
      </c>
      <c r="J54" s="237" t="s">
        <v>3746</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771</v>
      </c>
      <c r="B55" s="236" t="s">
        <v>3747</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3748</v>
      </c>
      <c r="B56" s="237" t="s">
        <v>3749</v>
      </c>
      <c r="C56" s="237" t="s">
        <v>3750</v>
      </c>
      <c r="D56" s="237" t="s">
        <v>3751</v>
      </c>
      <c r="E56" s="237" t="s">
        <v>3752</v>
      </c>
      <c r="F56" s="237" t="s">
        <v>21</v>
      </c>
      <c r="G56" s="237" t="s">
        <v>3753</v>
      </c>
      <c r="H56" s="237" t="s">
        <v>21</v>
      </c>
      <c r="I56" s="237" t="s">
        <v>21</v>
      </c>
      <c r="J56" s="237" t="s">
        <v>3754</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3755</v>
      </c>
      <c r="B57" s="237" t="s">
        <v>3756</v>
      </c>
      <c r="C57" s="237" t="s">
        <v>3757</v>
      </c>
      <c r="D57" s="237" t="s">
        <v>3758</v>
      </c>
      <c r="E57" s="237" t="s">
        <v>3759</v>
      </c>
      <c r="F57" s="237" t="s">
        <v>21</v>
      </c>
      <c r="G57" s="237" t="s">
        <v>3760</v>
      </c>
      <c r="H57" s="237" t="s">
        <v>3761</v>
      </c>
      <c r="I57" s="237" t="s">
        <v>21</v>
      </c>
      <c r="J57" s="237" t="s">
        <v>3762</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775</v>
      </c>
      <c r="B58" s="236" t="s">
        <v>3763</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3764</v>
      </c>
      <c r="B59" s="237" t="s">
        <v>3765</v>
      </c>
      <c r="C59" s="237" t="s">
        <v>3766</v>
      </c>
      <c r="D59" s="237" t="s">
        <v>3767</v>
      </c>
      <c r="E59" s="237" t="s">
        <v>21</v>
      </c>
      <c r="F59" s="237" t="s">
        <v>21</v>
      </c>
      <c r="G59" s="237" t="s">
        <v>3768</v>
      </c>
      <c r="H59" s="237" t="s">
        <v>3769</v>
      </c>
      <c r="I59" s="237" t="s">
        <v>3770</v>
      </c>
      <c r="J59" s="237" t="s">
        <v>3771</v>
      </c>
      <c r="K59" s="240" t="str">
        <f>IF(COUNTIF(L59:AY59,"&lt;&gt;")=0,"",SUMPRODUCT(((Recommendations[ImplStatus]="Implemented")+(Recommendations[ImplStatus]="Compensated"))*ISNUMBER(MATCH(Recommendations[Id],L59:AY59,0)))/COUNTIF(L59:AY59,"&lt;&gt;"))</f>
        <v/>
      </c>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3772</v>
      </c>
      <c r="B60" s="237" t="s">
        <v>3773</v>
      </c>
      <c r="C60" s="237" t="s">
        <v>3774</v>
      </c>
      <c r="D60" s="237" t="s">
        <v>21</v>
      </c>
      <c r="E60" s="237" t="s">
        <v>3775</v>
      </c>
      <c r="F60" s="237" t="s">
        <v>3776</v>
      </c>
      <c r="G60" s="237" t="s">
        <v>21</v>
      </c>
      <c r="H60" s="237" t="s">
        <v>3777</v>
      </c>
      <c r="I60" s="237" t="s">
        <v>3778</v>
      </c>
      <c r="J60" s="237" t="s">
        <v>3779</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3780</v>
      </c>
      <c r="B61" s="237" t="s">
        <v>3781</v>
      </c>
      <c r="C61" s="237" t="s">
        <v>3782</v>
      </c>
      <c r="D61" s="237" t="s">
        <v>21</v>
      </c>
      <c r="E61" s="237" t="s">
        <v>21</v>
      </c>
      <c r="F61" s="237" t="s">
        <v>21</v>
      </c>
      <c r="G61" s="237" t="s">
        <v>3783</v>
      </c>
      <c r="H61" s="237" t="s">
        <v>3784</v>
      </c>
      <c r="I61" s="237" t="s">
        <v>3785</v>
      </c>
      <c r="J61" s="237" t="s">
        <v>3786</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3787</v>
      </c>
      <c r="B62" s="237" t="s">
        <v>3788</v>
      </c>
      <c r="C62" s="237" t="s">
        <v>3789</v>
      </c>
      <c r="D62" s="237" t="s">
        <v>3790</v>
      </c>
      <c r="E62" s="237" t="s">
        <v>21</v>
      </c>
      <c r="F62" s="237" t="s">
        <v>21</v>
      </c>
      <c r="G62" s="237" t="s">
        <v>21</v>
      </c>
      <c r="H62" s="237" t="s">
        <v>3791</v>
      </c>
      <c r="I62" s="237" t="s">
        <v>3792</v>
      </c>
      <c r="J62" s="237" t="s">
        <v>3793</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779</v>
      </c>
      <c r="B63" s="236" t="s">
        <v>3794</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3795</v>
      </c>
      <c r="B64" s="237" t="s">
        <v>3796</v>
      </c>
      <c r="C64" s="237" t="s">
        <v>3797</v>
      </c>
      <c r="D64" s="237" t="s">
        <v>3798</v>
      </c>
      <c r="E64" s="237" t="s">
        <v>21</v>
      </c>
      <c r="F64" s="237" t="s">
        <v>21</v>
      </c>
      <c r="G64" s="237" t="s">
        <v>3799</v>
      </c>
      <c r="H64" s="237" t="s">
        <v>3800</v>
      </c>
      <c r="I64" s="237" t="s">
        <v>3801</v>
      </c>
      <c r="J64" s="237" t="s">
        <v>3802</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3803</v>
      </c>
      <c r="B65" s="237" t="s">
        <v>3804</v>
      </c>
      <c r="C65" s="237" t="s">
        <v>3805</v>
      </c>
      <c r="D65" s="237" t="s">
        <v>3806</v>
      </c>
      <c r="E65" s="237" t="s">
        <v>21</v>
      </c>
      <c r="F65" s="237" t="s">
        <v>21</v>
      </c>
      <c r="G65" s="237" t="s">
        <v>21</v>
      </c>
      <c r="H65" s="237" t="s">
        <v>3807</v>
      </c>
      <c r="I65" s="237" t="s">
        <v>3808</v>
      </c>
      <c r="J65" s="237" t="s">
        <v>3809</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3810</v>
      </c>
      <c r="B66" s="237" t="s">
        <v>3811</v>
      </c>
      <c r="C66" s="237" t="s">
        <v>3812</v>
      </c>
      <c r="D66" s="237" t="s">
        <v>3813</v>
      </c>
      <c r="E66" s="237" t="s">
        <v>21</v>
      </c>
      <c r="F66" s="237" t="s">
        <v>21</v>
      </c>
      <c r="G66" s="237" t="s">
        <v>21</v>
      </c>
      <c r="H66" s="237" t="s">
        <v>3814</v>
      </c>
      <c r="I66" s="237" t="s">
        <v>3815</v>
      </c>
      <c r="J66" s="237" t="s">
        <v>3816</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3817</v>
      </c>
      <c r="B67" s="237" t="s">
        <v>3818</v>
      </c>
      <c r="C67" s="237" t="s">
        <v>3819</v>
      </c>
      <c r="D67" s="237" t="s">
        <v>3820</v>
      </c>
      <c r="E67" s="237" t="s">
        <v>21</v>
      </c>
      <c r="F67" s="237" t="s">
        <v>21</v>
      </c>
      <c r="G67" s="237" t="s">
        <v>21</v>
      </c>
      <c r="H67" s="237" t="s">
        <v>3821</v>
      </c>
      <c r="I67" s="237" t="s">
        <v>21</v>
      </c>
      <c r="J67" s="237" t="s">
        <v>3822</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3823</v>
      </c>
      <c r="B68" s="237" t="s">
        <v>3824</v>
      </c>
      <c r="C68" s="237" t="s">
        <v>3825</v>
      </c>
      <c r="D68" s="237" t="s">
        <v>21</v>
      </c>
      <c r="E68" s="237" t="s">
        <v>21</v>
      </c>
      <c r="F68" s="237" t="s">
        <v>21</v>
      </c>
      <c r="G68" s="237" t="s">
        <v>21</v>
      </c>
      <c r="H68" s="237" t="s">
        <v>3826</v>
      </c>
      <c r="I68" s="237" t="s">
        <v>21</v>
      </c>
      <c r="J68" s="237" t="s">
        <v>3827</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783</v>
      </c>
      <c r="B69" s="236" t="s">
        <v>3828</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3829</v>
      </c>
      <c r="B70" s="237" t="s">
        <v>3830</v>
      </c>
      <c r="C70" s="237" t="s">
        <v>3831</v>
      </c>
      <c r="D70" s="237" t="s">
        <v>21</v>
      </c>
      <c r="E70" s="237" t="s">
        <v>21</v>
      </c>
      <c r="F70" s="237" t="s">
        <v>21</v>
      </c>
      <c r="G70" s="237" t="s">
        <v>3832</v>
      </c>
      <c r="H70" s="237" t="s">
        <v>3833</v>
      </c>
      <c r="I70" s="237" t="s">
        <v>21</v>
      </c>
      <c r="J70" s="237" t="s">
        <v>3834</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3835</v>
      </c>
      <c r="B71" s="237" t="s">
        <v>3836</v>
      </c>
      <c r="C71" s="237" t="s">
        <v>3837</v>
      </c>
      <c r="D71" s="237" t="s">
        <v>21</v>
      </c>
      <c r="E71" s="237" t="s">
        <v>21</v>
      </c>
      <c r="F71" s="237" t="s">
        <v>21</v>
      </c>
      <c r="G71" s="237" t="s">
        <v>21</v>
      </c>
      <c r="H71" s="237" t="s">
        <v>3838</v>
      </c>
      <c r="I71" s="237" t="s">
        <v>21</v>
      </c>
      <c r="J71" s="237" t="s">
        <v>3839</v>
      </c>
      <c r="K71" s="240" t="str">
        <f>IF(COUNTIF(L71:AY71,"&lt;&gt;")=0,"",SUMPRODUCT(((Recommendations[ImplStatus]="Implemented")+(Recommendations[ImplStatus]="Compensated"))*ISNUMBER(MATCH(Recommendations[Id],L71:AY71,0)))/COUNTIF(L71:AY71,"&lt;&gt;"))</f>
        <v/>
      </c>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3840</v>
      </c>
      <c r="B72" s="237" t="s">
        <v>3841</v>
      </c>
      <c r="C72" s="237" t="s">
        <v>3842</v>
      </c>
      <c r="D72" s="237" t="s">
        <v>3843</v>
      </c>
      <c r="E72" s="237" t="s">
        <v>3844</v>
      </c>
      <c r="F72" s="237" t="s">
        <v>21</v>
      </c>
      <c r="G72" s="237" t="s">
        <v>21</v>
      </c>
      <c r="H72" s="237" t="s">
        <v>3845</v>
      </c>
      <c r="I72" s="237" t="s">
        <v>21</v>
      </c>
      <c r="J72" s="237" t="s">
        <v>3846</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3847</v>
      </c>
      <c r="B73" s="237" t="s">
        <v>3848</v>
      </c>
      <c r="C73" s="237" t="s">
        <v>3849</v>
      </c>
      <c r="D73" s="237" t="s">
        <v>3850</v>
      </c>
      <c r="E73" s="237" t="s">
        <v>3844</v>
      </c>
      <c r="F73" s="237" t="s">
        <v>21</v>
      </c>
      <c r="G73" s="237" t="s">
        <v>3851</v>
      </c>
      <c r="H73" s="237" t="s">
        <v>3852</v>
      </c>
      <c r="I73" s="237" t="s">
        <v>21</v>
      </c>
      <c r="J73" s="237" t="s">
        <v>3853</v>
      </c>
      <c r="K73" s="240" t="str">
        <f>IF(COUNTIF(L73:AY73,"&lt;&gt;")=0,"",SUMPRODUCT(((Recommendations[ImplStatus]="Implemented")+(Recommendations[ImplStatus]="Compensated"))*ISNUMBER(MATCH(Recommendations[Id],L73:AY73,0)))/COUNTIF(L73:AY73,"&lt;&gt;"))</f>
        <v/>
      </c>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3854</v>
      </c>
      <c r="B74" s="237" t="s">
        <v>3855</v>
      </c>
      <c r="C74" s="237" t="s">
        <v>3856</v>
      </c>
      <c r="D74" s="237" t="s">
        <v>3850</v>
      </c>
      <c r="E74" s="237" t="s">
        <v>3857</v>
      </c>
      <c r="F74" s="237" t="s">
        <v>21</v>
      </c>
      <c r="G74" s="237" t="s">
        <v>3858</v>
      </c>
      <c r="H74" s="237" t="s">
        <v>3859</v>
      </c>
      <c r="I74" s="237" t="s">
        <v>3860</v>
      </c>
      <c r="J74" s="237" t="s">
        <v>3861</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3862</v>
      </c>
      <c r="B75" s="237" t="s">
        <v>3863</v>
      </c>
      <c r="C75" s="237" t="s">
        <v>3864</v>
      </c>
      <c r="D75" s="237" t="s">
        <v>3865</v>
      </c>
      <c r="E75" s="237" t="s">
        <v>3857</v>
      </c>
      <c r="F75" s="237" t="s">
        <v>3866</v>
      </c>
      <c r="G75" s="237" t="s">
        <v>3867</v>
      </c>
      <c r="H75" s="237" t="s">
        <v>3868</v>
      </c>
      <c r="I75" s="237" t="s">
        <v>3869</v>
      </c>
      <c r="J75" s="237" t="s">
        <v>3870</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3871</v>
      </c>
      <c r="B76" s="237" t="s">
        <v>3872</v>
      </c>
      <c r="C76" s="237" t="s">
        <v>3873</v>
      </c>
      <c r="D76" s="237" t="s">
        <v>3874</v>
      </c>
      <c r="E76" s="237" t="s">
        <v>21</v>
      </c>
      <c r="F76" s="237" t="s">
        <v>21</v>
      </c>
      <c r="G76" s="237" t="s">
        <v>21</v>
      </c>
      <c r="H76" s="237" t="s">
        <v>3875</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3876</v>
      </c>
      <c r="B77" s="237" t="s">
        <v>3877</v>
      </c>
      <c r="C77" s="237" t="s">
        <v>3878</v>
      </c>
      <c r="D77" s="237" t="s">
        <v>21</v>
      </c>
      <c r="E77" s="237" t="s">
        <v>21</v>
      </c>
      <c r="F77" s="237" t="s">
        <v>21</v>
      </c>
      <c r="G77" s="237" t="s">
        <v>3879</v>
      </c>
      <c r="H77" s="237" t="s">
        <v>3880</v>
      </c>
      <c r="I77" s="237" t="s">
        <v>21</v>
      </c>
      <c r="J77" s="237" t="s">
        <v>3881</v>
      </c>
      <c r="K77" s="240" t="str">
        <f>IF(COUNTIF(L77:AY77,"&lt;&gt;")=0,"",SUMPRODUCT(((Recommendations[ImplStatus]="Implemented")+(Recommendations[ImplStatus]="Compensated"))*ISNUMBER(MATCH(Recommendations[Id],L77:AY77,0)))/COUNTIF(L77:AY77,"&lt;&gt;"))</f>
        <v/>
      </c>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3882</v>
      </c>
      <c r="B78" s="237" t="s">
        <v>3883</v>
      </c>
      <c r="C78" s="237" t="s">
        <v>3884</v>
      </c>
      <c r="D78" s="237" t="s">
        <v>21</v>
      </c>
      <c r="E78" s="237" t="s">
        <v>21</v>
      </c>
      <c r="F78" s="237" t="s">
        <v>21</v>
      </c>
      <c r="G78" s="237" t="s">
        <v>3885</v>
      </c>
      <c r="H78" s="237" t="s">
        <v>3886</v>
      </c>
      <c r="I78" s="237" t="s">
        <v>3887</v>
      </c>
      <c r="J78" s="237" t="s">
        <v>3888</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3889</v>
      </c>
      <c r="B79" s="235" t="s">
        <v>3890</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817</v>
      </c>
      <c r="B80" s="236" t="s">
        <v>3891</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3892</v>
      </c>
      <c r="B81" s="237" t="s">
        <v>3893</v>
      </c>
      <c r="C81" s="237" t="s">
        <v>3894</v>
      </c>
      <c r="D81" s="237" t="s">
        <v>3689</v>
      </c>
      <c r="E81" s="237" t="s">
        <v>3895</v>
      </c>
      <c r="F81" s="237" t="s">
        <v>21</v>
      </c>
      <c r="G81" s="237" t="s">
        <v>21</v>
      </c>
      <c r="H81" s="237" t="s">
        <v>3896</v>
      </c>
      <c r="I81" s="237" t="s">
        <v>21</v>
      </c>
      <c r="J81" s="237" t="s">
        <v>3897</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3898</v>
      </c>
      <c r="B82" s="237" t="s">
        <v>3899</v>
      </c>
      <c r="C82" s="237" t="s">
        <v>3480</v>
      </c>
      <c r="D82" s="237" t="s">
        <v>3481</v>
      </c>
      <c r="E82" s="237" t="s">
        <v>21</v>
      </c>
      <c r="F82" s="237" t="s">
        <v>3483</v>
      </c>
      <c r="G82" s="237" t="s">
        <v>21</v>
      </c>
      <c r="H82" s="237" t="s">
        <v>3900</v>
      </c>
      <c r="I82" s="237" t="s">
        <v>21</v>
      </c>
      <c r="J82" s="237" t="s">
        <v>3901</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822</v>
      </c>
      <c r="B83" s="236" t="s">
        <v>3902</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3903</v>
      </c>
      <c r="B84" s="237" t="s">
        <v>3904</v>
      </c>
      <c r="C84" s="237" t="s">
        <v>3905</v>
      </c>
      <c r="D84" s="237" t="s">
        <v>3906</v>
      </c>
      <c r="E84" s="237" t="s">
        <v>21</v>
      </c>
      <c r="F84" s="237" t="s">
        <v>3907</v>
      </c>
      <c r="G84" s="237" t="s">
        <v>3908</v>
      </c>
      <c r="H84" s="237" t="s">
        <v>3909</v>
      </c>
      <c r="I84" s="237" t="s">
        <v>3910</v>
      </c>
      <c r="J84" s="237" t="s">
        <v>3911</v>
      </c>
      <c r="K84" s="240">
        <f>IF(COUNTIF(L84:AY84,"&lt;&gt;")=0,"",SUMPRODUCT(((Recommendations[ImplStatus]="Implemented")+(Recommendations[ImplStatus]="Compensated"))*ISNUMBER(MATCH(Recommendations[Id],L84:AY84,0)))/COUNTIF(L84:AY84,"&lt;&gt;"))</f>
        <v>0</v>
      </c>
      <c r="L84" s="243" t="s">
        <v>14</v>
      </c>
      <c r="M84" s="243" t="s">
        <v>147</v>
      </c>
      <c r="N84" s="243" t="s">
        <v>152</v>
      </c>
      <c r="O84" s="243" t="s">
        <v>290</v>
      </c>
      <c r="P84" s="243" t="s">
        <v>310</v>
      </c>
      <c r="Q84" s="243" t="s">
        <v>358</v>
      </c>
      <c r="R84" s="243" t="s">
        <v>368</v>
      </c>
      <c r="S84" s="243" t="s">
        <v>378</v>
      </c>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53"/>
    </row>
    <row r="85" spans="1:51" ht="60" customHeight="1" x14ac:dyDescent="0.35">
      <c r="A85" s="249" t="s">
        <v>3912</v>
      </c>
      <c r="B85" s="237" t="s">
        <v>3913</v>
      </c>
      <c r="C85" s="237" t="s">
        <v>3914</v>
      </c>
      <c r="D85" s="237" t="s">
        <v>3915</v>
      </c>
      <c r="E85" s="237" t="s">
        <v>21</v>
      </c>
      <c r="F85" s="237" t="s">
        <v>21</v>
      </c>
      <c r="G85" s="237" t="s">
        <v>21</v>
      </c>
      <c r="H85" s="237" t="s">
        <v>3916</v>
      </c>
      <c r="I85" s="237" t="s">
        <v>3917</v>
      </c>
      <c r="J85" s="237" t="s">
        <v>3918</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3919</v>
      </c>
      <c r="B86" s="237" t="s">
        <v>3920</v>
      </c>
      <c r="C86" s="237" t="s">
        <v>3921</v>
      </c>
      <c r="D86" s="237" t="s">
        <v>3922</v>
      </c>
      <c r="E86" s="237" t="s">
        <v>21</v>
      </c>
      <c r="F86" s="237" t="s">
        <v>21</v>
      </c>
      <c r="G86" s="237" t="s">
        <v>3923</v>
      </c>
      <c r="H86" s="237" t="s">
        <v>3924</v>
      </c>
      <c r="I86" s="237" t="s">
        <v>21</v>
      </c>
      <c r="J86" s="237" t="s">
        <v>3925</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3926</v>
      </c>
      <c r="B87" s="237" t="s">
        <v>3927</v>
      </c>
      <c r="C87" s="237" t="s">
        <v>3928</v>
      </c>
      <c r="D87" s="237" t="s">
        <v>3929</v>
      </c>
      <c r="E87" s="237" t="s">
        <v>21</v>
      </c>
      <c r="F87" s="237" t="s">
        <v>3930</v>
      </c>
      <c r="G87" s="237" t="s">
        <v>21</v>
      </c>
      <c r="H87" s="237" t="s">
        <v>3931</v>
      </c>
      <c r="I87" s="237" t="s">
        <v>3932</v>
      </c>
      <c r="J87" s="237" t="s">
        <v>3933</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3934</v>
      </c>
      <c r="B88" s="235" t="s">
        <v>3935</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869</v>
      </c>
      <c r="B89" s="236" t="s">
        <v>3936</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3937</v>
      </c>
      <c r="B90" s="237" t="s">
        <v>3938</v>
      </c>
      <c r="C90" s="237" t="s">
        <v>3939</v>
      </c>
      <c r="D90" s="237" t="s">
        <v>3689</v>
      </c>
      <c r="E90" s="237" t="s">
        <v>3475</v>
      </c>
      <c r="F90" s="237" t="s">
        <v>21</v>
      </c>
      <c r="G90" s="237" t="s">
        <v>21</v>
      </c>
      <c r="H90" s="237" t="s">
        <v>3940</v>
      </c>
      <c r="I90" s="237" t="s">
        <v>21</v>
      </c>
      <c r="J90" s="237" t="s">
        <v>3941</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3942</v>
      </c>
      <c r="B91" s="237" t="s">
        <v>3943</v>
      </c>
      <c r="C91" s="237" t="s">
        <v>3944</v>
      </c>
      <c r="D91" s="237" t="s">
        <v>3481</v>
      </c>
      <c r="E91" s="237" t="s">
        <v>21</v>
      </c>
      <c r="F91" s="237" t="s">
        <v>3483</v>
      </c>
      <c r="G91" s="237" t="s">
        <v>21</v>
      </c>
      <c r="H91" s="237" t="s">
        <v>3945</v>
      </c>
      <c r="I91" s="237" t="s">
        <v>21</v>
      </c>
      <c r="J91" s="237" t="s">
        <v>3946</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873</v>
      </c>
      <c r="B92" s="236" t="s">
        <v>3947</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3948</v>
      </c>
      <c r="B93" s="237" t="s">
        <v>3949</v>
      </c>
      <c r="C93" s="237" t="s">
        <v>3950</v>
      </c>
      <c r="D93" s="237" t="s">
        <v>3951</v>
      </c>
      <c r="E93" s="237" t="s">
        <v>3952</v>
      </c>
      <c r="F93" s="237" t="s">
        <v>21</v>
      </c>
      <c r="G93" s="237" t="s">
        <v>21</v>
      </c>
      <c r="H93" s="237" t="s">
        <v>3953</v>
      </c>
      <c r="I93" s="237" t="s">
        <v>21</v>
      </c>
      <c r="J93" s="237" t="s">
        <v>3954</v>
      </c>
      <c r="K93" s="240">
        <f>IF(COUNTIF(L93:AY93,"&lt;&gt;")=0,"",SUMPRODUCT(((Recommendations[ImplStatus]="Implemented")+(Recommendations[ImplStatus]="Compensated"))*ISNUMBER(MATCH(Recommendations[Id],L93:AY93,0)))/COUNTIF(L93:AY93,"&lt;&gt;"))</f>
        <v>0</v>
      </c>
      <c r="L93" s="243" t="s">
        <v>35</v>
      </c>
      <c r="M93" s="243" t="s">
        <v>40</v>
      </c>
      <c r="N93" s="243" t="s">
        <v>45</v>
      </c>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3955</v>
      </c>
      <c r="B94" s="237" t="s">
        <v>3956</v>
      </c>
      <c r="C94" s="237" t="s">
        <v>3957</v>
      </c>
      <c r="D94" s="237" t="s">
        <v>3958</v>
      </c>
      <c r="E94" s="237" t="s">
        <v>21</v>
      </c>
      <c r="F94" s="237" t="s">
        <v>3959</v>
      </c>
      <c r="G94" s="237" t="s">
        <v>21</v>
      </c>
      <c r="H94" s="237" t="s">
        <v>3960</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3961</v>
      </c>
      <c r="B95" s="237" t="s">
        <v>3962</v>
      </c>
      <c r="C95" s="237" t="s">
        <v>3963</v>
      </c>
      <c r="D95" s="237" t="s">
        <v>3964</v>
      </c>
      <c r="E95" s="237" t="s">
        <v>21</v>
      </c>
      <c r="F95" s="237" t="s">
        <v>21</v>
      </c>
      <c r="G95" s="237" t="s">
        <v>21</v>
      </c>
      <c r="H95" s="237" t="s">
        <v>3965</v>
      </c>
      <c r="I95" s="237" t="s">
        <v>3966</v>
      </c>
      <c r="J95" s="237" t="s">
        <v>3967</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3968</v>
      </c>
      <c r="B96" s="237" t="s">
        <v>3969</v>
      </c>
      <c r="C96" s="237" t="s">
        <v>3970</v>
      </c>
      <c r="D96" s="237" t="s">
        <v>21</v>
      </c>
      <c r="E96" s="237" t="s">
        <v>21</v>
      </c>
      <c r="F96" s="237" t="s">
        <v>21</v>
      </c>
      <c r="G96" s="237" t="s">
        <v>21</v>
      </c>
      <c r="H96" s="237" t="s">
        <v>3971</v>
      </c>
      <c r="I96" s="237" t="s">
        <v>3917</v>
      </c>
      <c r="J96" s="237" t="s">
        <v>3972</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877</v>
      </c>
      <c r="B97" s="236" t="s">
        <v>3973</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3974</v>
      </c>
      <c r="B98" s="237" t="s">
        <v>3975</v>
      </c>
      <c r="C98" s="237" t="s">
        <v>3976</v>
      </c>
      <c r="D98" s="237" t="s">
        <v>3977</v>
      </c>
      <c r="E98" s="237" t="s">
        <v>21</v>
      </c>
      <c r="F98" s="237" t="s">
        <v>21</v>
      </c>
      <c r="G98" s="237" t="s">
        <v>21</v>
      </c>
      <c r="H98" s="237" t="s">
        <v>3978</v>
      </c>
      <c r="I98" s="237" t="s">
        <v>21</v>
      </c>
      <c r="J98" s="237" t="s">
        <v>3979</v>
      </c>
      <c r="K98" s="240">
        <f>IF(COUNTIF(L98:AY98,"&lt;&gt;")=0,"",SUMPRODUCT(((Recommendations[ImplStatus]="Implemented")+(Recommendations[ImplStatus]="Compensated"))*ISNUMBER(MATCH(Recommendations[Id],L98:AY98,0)))/COUNTIF(L98:AY98,"&lt;&gt;"))</f>
        <v>0</v>
      </c>
      <c r="L98" s="243" t="s">
        <v>40</v>
      </c>
      <c r="M98" s="243" t="s">
        <v>45</v>
      </c>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3980</v>
      </c>
      <c r="B99" s="237" t="s">
        <v>3981</v>
      </c>
      <c r="C99" s="237" t="s">
        <v>3982</v>
      </c>
      <c r="D99" s="237" t="s">
        <v>3983</v>
      </c>
      <c r="E99" s="237" t="s">
        <v>3984</v>
      </c>
      <c r="F99" s="237" t="s">
        <v>21</v>
      </c>
      <c r="G99" s="237" t="s">
        <v>21</v>
      </c>
      <c r="H99" s="237" t="s">
        <v>3985</v>
      </c>
      <c r="I99" s="237" t="s">
        <v>21</v>
      </c>
      <c r="J99" s="237" t="s">
        <v>3986</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3987</v>
      </c>
      <c r="B100" s="237" t="s">
        <v>3988</v>
      </c>
      <c r="C100" s="237" t="s">
        <v>3989</v>
      </c>
      <c r="D100" s="237" t="s">
        <v>21</v>
      </c>
      <c r="E100" s="237" t="s">
        <v>21</v>
      </c>
      <c r="F100" s="237" t="s">
        <v>21</v>
      </c>
      <c r="G100" s="237" t="s">
        <v>21</v>
      </c>
      <c r="H100" s="237" t="s">
        <v>3990</v>
      </c>
      <c r="I100" s="237" t="s">
        <v>3991</v>
      </c>
      <c r="J100" s="237" t="s">
        <v>3992</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3993</v>
      </c>
      <c r="B101" s="237" t="s">
        <v>3994</v>
      </c>
      <c r="C101" s="237" t="s">
        <v>3995</v>
      </c>
      <c r="D101" s="237" t="s">
        <v>21</v>
      </c>
      <c r="E101" s="237" t="s">
        <v>21</v>
      </c>
      <c r="F101" s="237" t="s">
        <v>21</v>
      </c>
      <c r="G101" s="237" t="s">
        <v>21</v>
      </c>
      <c r="H101" s="237" t="s">
        <v>3996</v>
      </c>
      <c r="I101" s="237" t="s">
        <v>3917</v>
      </c>
      <c r="J101" s="237" t="s">
        <v>3997</v>
      </c>
      <c r="K101" s="240" t="str">
        <f>IF(COUNTIF(L101:AY101,"&lt;&gt;")=0,"",SUMPRODUCT(((Recommendations[ImplStatus]="Implemented")+(Recommendations[ImplStatus]="Compensated"))*ISNUMBER(MATCH(Recommendations[Id],L101:AY101,0)))/COUNTIF(L101:AY101,"&lt;&gt;"))</f>
        <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3998</v>
      </c>
      <c r="B102" s="237" t="s">
        <v>3999</v>
      </c>
      <c r="C102" s="237" t="s">
        <v>4000</v>
      </c>
      <c r="D102" s="237" t="s">
        <v>4001</v>
      </c>
      <c r="E102" s="237" t="s">
        <v>21</v>
      </c>
      <c r="F102" s="237" t="s">
        <v>21</v>
      </c>
      <c r="G102" s="237" t="s">
        <v>21</v>
      </c>
      <c r="H102" s="237" t="s">
        <v>4002</v>
      </c>
      <c r="I102" s="237" t="s">
        <v>21</v>
      </c>
      <c r="J102" s="237" t="s">
        <v>4003</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4004</v>
      </c>
      <c r="B103" s="237" t="s">
        <v>4005</v>
      </c>
      <c r="C103" s="237" t="s">
        <v>4006</v>
      </c>
      <c r="D103" s="237" t="s">
        <v>4001</v>
      </c>
      <c r="E103" s="237" t="s">
        <v>21</v>
      </c>
      <c r="F103" s="237" t="s">
        <v>4007</v>
      </c>
      <c r="G103" s="237" t="s">
        <v>21</v>
      </c>
      <c r="H103" s="237" t="s">
        <v>4008</v>
      </c>
      <c r="I103" s="237" t="s">
        <v>4009</v>
      </c>
      <c r="J103" s="237" t="s">
        <v>4010</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881</v>
      </c>
      <c r="B104" s="236" t="s">
        <v>4011</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4012</v>
      </c>
      <c r="B105" s="237" t="s">
        <v>4013</v>
      </c>
      <c r="C105" s="237" t="s">
        <v>4014</v>
      </c>
      <c r="D105" s="237" t="s">
        <v>4015</v>
      </c>
      <c r="E105" s="237" t="s">
        <v>4016</v>
      </c>
      <c r="F105" s="237" t="s">
        <v>21</v>
      </c>
      <c r="G105" s="237" t="s">
        <v>21</v>
      </c>
      <c r="H105" s="237" t="s">
        <v>4017</v>
      </c>
      <c r="I105" s="237" t="s">
        <v>4018</v>
      </c>
      <c r="J105" s="237" t="s">
        <v>4019</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4020</v>
      </c>
      <c r="B106" s="235" t="s">
        <v>4021</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895</v>
      </c>
      <c r="B107" s="236" t="s">
        <v>4022</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4023</v>
      </c>
      <c r="B108" s="237" t="s">
        <v>4024</v>
      </c>
      <c r="C108" s="237" t="s">
        <v>4025</v>
      </c>
      <c r="D108" s="237" t="s">
        <v>3689</v>
      </c>
      <c r="E108" s="237" t="s">
        <v>3475</v>
      </c>
      <c r="F108" s="237" t="s">
        <v>21</v>
      </c>
      <c r="G108" s="237" t="s">
        <v>21</v>
      </c>
      <c r="H108" s="237" t="s">
        <v>4026</v>
      </c>
      <c r="I108" s="237" t="s">
        <v>21</v>
      </c>
      <c r="J108" s="237" t="s">
        <v>4027</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4028</v>
      </c>
      <c r="B109" s="237" t="s">
        <v>4029</v>
      </c>
      <c r="C109" s="237" t="s">
        <v>4030</v>
      </c>
      <c r="D109" s="237" t="s">
        <v>3481</v>
      </c>
      <c r="E109" s="237" t="s">
        <v>21</v>
      </c>
      <c r="F109" s="237" t="s">
        <v>3483</v>
      </c>
      <c r="G109" s="237" t="s">
        <v>21</v>
      </c>
      <c r="H109" s="237" t="s">
        <v>4031</v>
      </c>
      <c r="I109" s="237" t="s">
        <v>21</v>
      </c>
      <c r="J109" s="237" t="s">
        <v>4032</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899</v>
      </c>
      <c r="B110" s="236" t="s">
        <v>4033</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4034</v>
      </c>
      <c r="B111" s="237" t="s">
        <v>4035</v>
      </c>
      <c r="C111" s="237" t="s">
        <v>4036</v>
      </c>
      <c r="D111" s="237" t="s">
        <v>4037</v>
      </c>
      <c r="E111" s="237" t="s">
        <v>21</v>
      </c>
      <c r="F111" s="237" t="s">
        <v>4038</v>
      </c>
      <c r="G111" s="237" t="s">
        <v>21</v>
      </c>
      <c r="H111" s="237" t="s">
        <v>4039</v>
      </c>
      <c r="I111" s="237" t="s">
        <v>4040</v>
      </c>
      <c r="J111" s="237" t="s">
        <v>4041</v>
      </c>
      <c r="K111" s="240">
        <f>IF(COUNTIF(L111:AY111,"&lt;&gt;")=0,"",SUMPRODUCT(((Recommendations[ImplStatus]="Implemented")+(Recommendations[ImplStatus]="Compensated"))*ISNUMBER(MATCH(Recommendations[Id],L111:AY111,0)))/COUNTIF(L111:AY111,"&lt;&gt;"))</f>
        <v>0</v>
      </c>
      <c r="L111" s="243" t="s">
        <v>30</v>
      </c>
      <c r="M111" s="243" t="s">
        <v>85</v>
      </c>
      <c r="N111" s="243" t="s">
        <v>157</v>
      </c>
      <c r="O111" s="243" t="s">
        <v>162</v>
      </c>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4042</v>
      </c>
      <c r="B112" s="237" t="s">
        <v>4043</v>
      </c>
      <c r="C112" s="237" t="s">
        <v>4044</v>
      </c>
      <c r="D112" s="237" t="s">
        <v>4045</v>
      </c>
      <c r="E112" s="237" t="s">
        <v>21</v>
      </c>
      <c r="F112" s="237" t="s">
        <v>21</v>
      </c>
      <c r="G112" s="237" t="s">
        <v>21</v>
      </c>
      <c r="H112" s="237" t="s">
        <v>4046</v>
      </c>
      <c r="I112" s="237" t="s">
        <v>21</v>
      </c>
      <c r="J112" s="237" t="s">
        <v>4047</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4048</v>
      </c>
      <c r="B113" s="237" t="s">
        <v>4049</v>
      </c>
      <c r="C113" s="237" t="s">
        <v>4050</v>
      </c>
      <c r="D113" s="237" t="s">
        <v>4051</v>
      </c>
      <c r="E113" s="237" t="s">
        <v>21</v>
      </c>
      <c r="F113" s="237" t="s">
        <v>21</v>
      </c>
      <c r="G113" s="237" t="s">
        <v>21</v>
      </c>
      <c r="H113" s="237" t="s">
        <v>4052</v>
      </c>
      <c r="I113" s="237" t="s">
        <v>4053</v>
      </c>
      <c r="J113" s="237" t="s">
        <v>4054</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4055</v>
      </c>
      <c r="B114" s="237" t="s">
        <v>4056</v>
      </c>
      <c r="C114" s="237" t="s">
        <v>4057</v>
      </c>
      <c r="D114" s="237" t="s">
        <v>4058</v>
      </c>
      <c r="E114" s="237" t="s">
        <v>21</v>
      </c>
      <c r="F114" s="237" t="s">
        <v>21</v>
      </c>
      <c r="G114" s="237" t="s">
        <v>4059</v>
      </c>
      <c r="H114" s="237" t="s">
        <v>4060</v>
      </c>
      <c r="I114" s="237" t="s">
        <v>4061</v>
      </c>
      <c r="J114" s="237" t="s">
        <v>4062</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4063</v>
      </c>
      <c r="B115" s="237" t="s">
        <v>4064</v>
      </c>
      <c r="C115" s="237" t="s">
        <v>4065</v>
      </c>
      <c r="D115" s="237" t="s">
        <v>4066</v>
      </c>
      <c r="E115" s="237" t="s">
        <v>21</v>
      </c>
      <c r="F115" s="237" t="s">
        <v>4067</v>
      </c>
      <c r="G115" s="237" t="s">
        <v>21</v>
      </c>
      <c r="H115" s="237" t="s">
        <v>4068</v>
      </c>
      <c r="I115" s="237" t="s">
        <v>4068</v>
      </c>
      <c r="J115" s="237" t="s">
        <v>4069</v>
      </c>
      <c r="K115" s="240">
        <f>IF(COUNTIF(L115:AY115,"&lt;&gt;")=0,"",SUMPRODUCT(((Recommendations[ImplStatus]="Implemented")+(Recommendations[ImplStatus]="Compensated"))*ISNUMBER(MATCH(Recommendations[Id],L115:AY115,0)))/COUNTIF(L115:AY115,"&lt;&gt;"))</f>
        <v>0</v>
      </c>
      <c r="L115" s="243" t="s">
        <v>295</v>
      </c>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903</v>
      </c>
      <c r="B116" s="236" t="s">
        <v>4070</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4071</v>
      </c>
      <c r="B117" s="237" t="s">
        <v>4072</v>
      </c>
      <c r="C117" s="237" t="s">
        <v>4073</v>
      </c>
      <c r="D117" s="237" t="s">
        <v>4074</v>
      </c>
      <c r="E117" s="237" t="s">
        <v>21</v>
      </c>
      <c r="F117" s="237" t="s">
        <v>4075</v>
      </c>
      <c r="G117" s="237" t="s">
        <v>4076</v>
      </c>
      <c r="H117" s="237" t="s">
        <v>4077</v>
      </c>
      <c r="I117" s="237" t="s">
        <v>4078</v>
      </c>
      <c r="J117" s="237" t="s">
        <v>4079</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4080</v>
      </c>
      <c r="B118" s="237" t="s">
        <v>4081</v>
      </c>
      <c r="C118" s="237" t="s">
        <v>4082</v>
      </c>
      <c r="D118" s="237" t="s">
        <v>4083</v>
      </c>
      <c r="E118" s="237" t="s">
        <v>21</v>
      </c>
      <c r="F118" s="237" t="s">
        <v>21</v>
      </c>
      <c r="G118" s="237" t="s">
        <v>21</v>
      </c>
      <c r="H118" s="237" t="s">
        <v>4084</v>
      </c>
      <c r="I118" s="237" t="s">
        <v>3917</v>
      </c>
      <c r="J118" s="237" t="s">
        <v>4085</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4086</v>
      </c>
      <c r="B119" s="237" t="s">
        <v>4087</v>
      </c>
      <c r="C119" s="237" t="s">
        <v>4088</v>
      </c>
      <c r="D119" s="237" t="s">
        <v>4089</v>
      </c>
      <c r="E119" s="237" t="s">
        <v>21</v>
      </c>
      <c r="F119" s="237" t="s">
        <v>4090</v>
      </c>
      <c r="G119" s="237" t="s">
        <v>21</v>
      </c>
      <c r="H119" s="237" t="s">
        <v>4091</v>
      </c>
      <c r="I119" s="237" t="s">
        <v>4092</v>
      </c>
      <c r="J119" s="237" t="s">
        <v>4093</v>
      </c>
      <c r="K119" s="240">
        <f>IF(COUNTIF(L119:AY119,"&lt;&gt;")=0,"",SUMPRODUCT(((Recommendations[ImplStatus]="Implemented")+(Recommendations[ImplStatus]="Compensated"))*ISNUMBER(MATCH(Recommendations[Id],L119:AY119,0)))/COUNTIF(L119:AY119,"&lt;&gt;"))</f>
        <v>0</v>
      </c>
      <c r="L119" s="243" t="s">
        <v>265</v>
      </c>
      <c r="M119" s="243" t="s">
        <v>275</v>
      </c>
      <c r="N119" s="243"/>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907</v>
      </c>
      <c r="B120" s="236" t="s">
        <v>4094</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4095</v>
      </c>
      <c r="B121" s="237" t="s">
        <v>4096</v>
      </c>
      <c r="C121" s="237" t="s">
        <v>21</v>
      </c>
      <c r="D121" s="237" t="s">
        <v>21</v>
      </c>
      <c r="E121" s="237" t="s">
        <v>21</v>
      </c>
      <c r="F121" s="237" t="s">
        <v>21</v>
      </c>
      <c r="G121" s="237" t="s">
        <v>21</v>
      </c>
      <c r="H121" s="237" t="s">
        <v>21</v>
      </c>
      <c r="I121" s="237" t="s">
        <v>21</v>
      </c>
      <c r="J121" s="237" t="s">
        <v>21</v>
      </c>
      <c r="K121" s="240" t="str">
        <f>IF(COUNTIF(L121:AY121,"&lt;&gt;")=0,"",SUMPRODUCT(((Recommendations[ImplStatus]="Implemented")+(Recommendations[ImplStatus]="Compensated"))*ISNUMBER(MATCH(Recommendations[Id],L121:AY121,0)))/COUNTIF(L121:AY121,"&lt;&gt;"))</f>
        <v/>
      </c>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4097</v>
      </c>
      <c r="B122" s="237" t="s">
        <v>4098</v>
      </c>
      <c r="C122" s="237" t="s">
        <v>4099</v>
      </c>
      <c r="D122" s="237" t="s">
        <v>4100</v>
      </c>
      <c r="E122" s="237" t="s">
        <v>21</v>
      </c>
      <c r="F122" s="237" t="s">
        <v>4101</v>
      </c>
      <c r="G122" s="237" t="s">
        <v>21</v>
      </c>
      <c r="H122" s="237" t="s">
        <v>4102</v>
      </c>
      <c r="I122" s="237" t="s">
        <v>4103</v>
      </c>
      <c r="J122" s="237" t="s">
        <v>4104</v>
      </c>
      <c r="K122" s="240" t="str">
        <f>IF(COUNTIF(L122:AY122,"&lt;&gt;")=0,"",SUMPRODUCT(((Recommendations[ImplStatus]="Implemented")+(Recommendations[ImplStatus]="Compensated"))*ISNUMBER(MATCH(Recommendations[Id],L122:AY122,0)))/COUNTIF(L122:AY122,"&lt;&gt;"))</f>
        <v/>
      </c>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4105</v>
      </c>
      <c r="B123" s="237" t="s">
        <v>4106</v>
      </c>
      <c r="C123" s="237" t="s">
        <v>4107</v>
      </c>
      <c r="D123" s="237" t="s">
        <v>4108</v>
      </c>
      <c r="E123" s="237" t="s">
        <v>21</v>
      </c>
      <c r="F123" s="237" t="s">
        <v>4109</v>
      </c>
      <c r="G123" s="237" t="s">
        <v>21</v>
      </c>
      <c r="H123" s="237" t="s">
        <v>4110</v>
      </c>
      <c r="I123" s="237" t="s">
        <v>21</v>
      </c>
      <c r="J123" s="237" t="s">
        <v>4111</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911</v>
      </c>
      <c r="B124" s="236" t="s">
        <v>4112</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4113</v>
      </c>
      <c r="B125" s="237" t="s">
        <v>4114</v>
      </c>
      <c r="C125" s="237" t="s">
        <v>4115</v>
      </c>
      <c r="D125" s="237" t="s">
        <v>4116</v>
      </c>
      <c r="E125" s="237" t="s">
        <v>21</v>
      </c>
      <c r="F125" s="237" t="s">
        <v>21</v>
      </c>
      <c r="G125" s="237" t="s">
        <v>21</v>
      </c>
      <c r="H125" s="237" t="s">
        <v>4117</v>
      </c>
      <c r="I125" s="237" t="s">
        <v>21</v>
      </c>
      <c r="J125" s="237" t="s">
        <v>4118</v>
      </c>
      <c r="K125" s="240" t="str">
        <f>IF(COUNTIF(L125:AY125,"&lt;&gt;")=0,"",SUMPRODUCT(((Recommendations[ImplStatus]="Implemented")+(Recommendations[ImplStatus]="Compensated"))*ISNUMBER(MATCH(Recommendations[Id],L125:AY125,0)))/COUNTIF(L125:AY125,"&lt;&gt;"))</f>
        <v/>
      </c>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4119</v>
      </c>
      <c r="B126" s="237" t="s">
        <v>4120</v>
      </c>
      <c r="C126" s="237" t="s">
        <v>4121</v>
      </c>
      <c r="D126" s="237" t="s">
        <v>4122</v>
      </c>
      <c r="E126" s="237" t="s">
        <v>21</v>
      </c>
      <c r="F126" s="237" t="s">
        <v>4123</v>
      </c>
      <c r="G126" s="237" t="s">
        <v>21</v>
      </c>
      <c r="H126" s="237" t="s">
        <v>4124</v>
      </c>
      <c r="I126" s="237" t="s">
        <v>4125</v>
      </c>
      <c r="J126" s="237" t="s">
        <v>4126</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4127</v>
      </c>
      <c r="B127" s="237" t="s">
        <v>4128</v>
      </c>
      <c r="C127" s="237" t="s">
        <v>4129</v>
      </c>
      <c r="D127" s="237" t="s">
        <v>4130</v>
      </c>
      <c r="E127" s="237" t="s">
        <v>4131</v>
      </c>
      <c r="F127" s="237" t="s">
        <v>21</v>
      </c>
      <c r="G127" s="237" t="s">
        <v>21</v>
      </c>
      <c r="H127" s="237" t="s">
        <v>4132</v>
      </c>
      <c r="I127" s="237" t="s">
        <v>21</v>
      </c>
      <c r="J127" s="237" t="s">
        <v>4133</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4134</v>
      </c>
      <c r="B128" s="237" t="s">
        <v>4135</v>
      </c>
      <c r="C128" s="237" t="s">
        <v>4136</v>
      </c>
      <c r="D128" s="237" t="s">
        <v>21</v>
      </c>
      <c r="E128" s="237" t="s">
        <v>21</v>
      </c>
      <c r="F128" s="237" t="s">
        <v>21</v>
      </c>
      <c r="G128" s="237" t="s">
        <v>21</v>
      </c>
      <c r="H128" s="237" t="s">
        <v>4137</v>
      </c>
      <c r="I128" s="237" t="s">
        <v>4138</v>
      </c>
      <c r="J128" s="237" t="s">
        <v>4139</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4140</v>
      </c>
      <c r="B129" s="237" t="s">
        <v>4141</v>
      </c>
      <c r="C129" s="237" t="s">
        <v>4142</v>
      </c>
      <c r="D129" s="237" t="s">
        <v>21</v>
      </c>
      <c r="E129" s="237" t="s">
        <v>4143</v>
      </c>
      <c r="F129" s="237" t="s">
        <v>21</v>
      </c>
      <c r="G129" s="237" t="s">
        <v>21</v>
      </c>
      <c r="H129" s="237" t="s">
        <v>4144</v>
      </c>
      <c r="I129" s="237" t="s">
        <v>21</v>
      </c>
      <c r="J129" s="237" t="s">
        <v>4145</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4146</v>
      </c>
      <c r="B130" s="237" t="s">
        <v>4147</v>
      </c>
      <c r="C130" s="237" t="s">
        <v>4148</v>
      </c>
      <c r="D130" s="237" t="s">
        <v>21</v>
      </c>
      <c r="E130" s="237" t="s">
        <v>21</v>
      </c>
      <c r="F130" s="237" t="s">
        <v>21</v>
      </c>
      <c r="G130" s="237" t="s">
        <v>21</v>
      </c>
      <c r="H130" s="237" t="s">
        <v>4149</v>
      </c>
      <c r="I130" s="237" t="s">
        <v>21</v>
      </c>
      <c r="J130" s="237" t="s">
        <v>4150</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4151</v>
      </c>
      <c r="B131" s="235" t="s">
        <v>4152</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929</v>
      </c>
      <c r="B132" s="236" t="s">
        <v>4153</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4154</v>
      </c>
      <c r="B133" s="237" t="s">
        <v>4155</v>
      </c>
      <c r="C133" s="237" t="s">
        <v>4156</v>
      </c>
      <c r="D133" s="237" t="s">
        <v>3689</v>
      </c>
      <c r="E133" s="237" t="s">
        <v>3475</v>
      </c>
      <c r="F133" s="237" t="s">
        <v>21</v>
      </c>
      <c r="G133" s="237" t="s">
        <v>21</v>
      </c>
      <c r="H133" s="237" t="s">
        <v>4157</v>
      </c>
      <c r="I133" s="237" t="s">
        <v>21</v>
      </c>
      <c r="J133" s="237" t="s">
        <v>4158</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4159</v>
      </c>
      <c r="B134" s="237" t="s">
        <v>4160</v>
      </c>
      <c r="C134" s="237" t="s">
        <v>3694</v>
      </c>
      <c r="D134" s="237" t="s">
        <v>3481</v>
      </c>
      <c r="E134" s="237" t="s">
        <v>21</v>
      </c>
      <c r="F134" s="237" t="s">
        <v>3483</v>
      </c>
      <c r="G134" s="237" t="s">
        <v>21</v>
      </c>
      <c r="H134" s="237" t="s">
        <v>4161</v>
      </c>
      <c r="I134" s="237" t="s">
        <v>21</v>
      </c>
      <c r="J134" s="237" t="s">
        <v>4162</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933</v>
      </c>
      <c r="B135" s="236" t="s">
        <v>4163</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4164</v>
      </c>
      <c r="B136" s="237" t="s">
        <v>4165</v>
      </c>
      <c r="C136" s="237" t="s">
        <v>4166</v>
      </c>
      <c r="D136" s="237" t="s">
        <v>4167</v>
      </c>
      <c r="E136" s="237" t="s">
        <v>4168</v>
      </c>
      <c r="F136" s="237" t="s">
        <v>4169</v>
      </c>
      <c r="G136" s="237" t="s">
        <v>21</v>
      </c>
      <c r="H136" s="237" t="s">
        <v>4170</v>
      </c>
      <c r="I136" s="237" t="s">
        <v>21</v>
      </c>
      <c r="J136" s="237" t="s">
        <v>4171</v>
      </c>
      <c r="K136" s="240" t="str">
        <f>IF(COUNTIF(L136:AY136,"&lt;&gt;")=0,"",SUMPRODUCT(((Recommendations[ImplStatus]="Implemented")+(Recommendations[ImplStatus]="Compensated"))*ISNUMBER(MATCH(Recommendations[Id],L136:AY136,0)))/COUNTIF(L136:AY136,"&lt;&gt;"))</f>
        <v/>
      </c>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4172</v>
      </c>
      <c r="B137" s="237" t="s">
        <v>4173</v>
      </c>
      <c r="C137" s="237" t="s">
        <v>4174</v>
      </c>
      <c r="D137" s="237" t="s">
        <v>4175</v>
      </c>
      <c r="E137" s="237" t="s">
        <v>21</v>
      </c>
      <c r="F137" s="237" t="s">
        <v>21</v>
      </c>
      <c r="G137" s="237" t="s">
        <v>21</v>
      </c>
      <c r="H137" s="237" t="s">
        <v>4176</v>
      </c>
      <c r="I137" s="237" t="s">
        <v>21</v>
      </c>
      <c r="J137" s="237" t="s">
        <v>4177</v>
      </c>
      <c r="K137" s="240" t="str">
        <f>IF(COUNTIF(L137:AY137,"&lt;&gt;")=0,"",SUMPRODUCT(((Recommendations[ImplStatus]="Implemented")+(Recommendations[ImplStatus]="Compensated"))*ISNUMBER(MATCH(Recommendations[Id],L137:AY137,0)))/COUNTIF(L137:AY137,"&lt;&gt;"))</f>
        <v/>
      </c>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4178</v>
      </c>
      <c r="B138" s="237" t="s">
        <v>4179</v>
      </c>
      <c r="C138" s="237" t="s">
        <v>4180</v>
      </c>
      <c r="D138" s="237" t="s">
        <v>21</v>
      </c>
      <c r="E138" s="237" t="s">
        <v>21</v>
      </c>
      <c r="F138" s="237" t="s">
        <v>21</v>
      </c>
      <c r="G138" s="237" t="s">
        <v>21</v>
      </c>
      <c r="H138" s="237" t="s">
        <v>4181</v>
      </c>
      <c r="I138" s="237" t="s">
        <v>21</v>
      </c>
      <c r="J138" s="237" t="s">
        <v>4182</v>
      </c>
      <c r="K138" s="240" t="str">
        <f>IF(COUNTIF(L138:AY138,"&lt;&gt;")=0,"",SUMPRODUCT(((Recommendations[ImplStatus]="Implemented")+(Recommendations[ImplStatus]="Compensated"))*ISNUMBER(MATCH(Recommendations[Id],L138:AY138,0)))/COUNTIF(L138:AY138,"&lt;&gt;"))</f>
        <v/>
      </c>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4183</v>
      </c>
      <c r="B139" s="237" t="s">
        <v>4184</v>
      </c>
      <c r="C139" s="237" t="s">
        <v>4185</v>
      </c>
      <c r="D139" s="237" t="s">
        <v>4186</v>
      </c>
      <c r="E139" s="237" t="s">
        <v>21</v>
      </c>
      <c r="F139" s="237" t="s">
        <v>21</v>
      </c>
      <c r="G139" s="237" t="s">
        <v>21</v>
      </c>
      <c r="H139" s="237" t="s">
        <v>4187</v>
      </c>
      <c r="I139" s="237" t="s">
        <v>4188</v>
      </c>
      <c r="J139" s="237" t="s">
        <v>4189</v>
      </c>
      <c r="K139" s="240">
        <f>IF(COUNTIF(L139:AY139,"&lt;&gt;")=0,"",SUMPRODUCT(((Recommendations[ImplStatus]="Implemented")+(Recommendations[ImplStatus]="Compensated"))*ISNUMBER(MATCH(Recommendations[Id],L139:AY139,0)))/COUNTIF(L139:AY139,"&lt;&gt;"))</f>
        <v>0</v>
      </c>
      <c r="L139" s="243" t="s">
        <v>200</v>
      </c>
      <c r="M139" s="243" t="s">
        <v>205</v>
      </c>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4190</v>
      </c>
      <c r="B140" s="237" t="s">
        <v>4191</v>
      </c>
      <c r="C140" s="237" t="s">
        <v>4192</v>
      </c>
      <c r="D140" s="237" t="s">
        <v>4193</v>
      </c>
      <c r="E140" s="237" t="s">
        <v>21</v>
      </c>
      <c r="F140" s="237" t="s">
        <v>21</v>
      </c>
      <c r="G140" s="237" t="s">
        <v>21</v>
      </c>
      <c r="H140" s="237" t="s">
        <v>4194</v>
      </c>
      <c r="I140" s="237" t="s">
        <v>3917</v>
      </c>
      <c r="J140" s="237" t="s">
        <v>4195</v>
      </c>
      <c r="K140" s="240" t="str">
        <f>IF(COUNTIF(L140:AY140,"&lt;&gt;")=0,"",SUMPRODUCT(((Recommendations[ImplStatus]="Implemented")+(Recommendations[ImplStatus]="Compensated"))*ISNUMBER(MATCH(Recommendations[Id],L140:AY140,0)))/COUNTIF(L140:AY140,"&lt;&gt;"))</f>
        <v/>
      </c>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4196</v>
      </c>
      <c r="B141" s="237" t="s">
        <v>4197</v>
      </c>
      <c r="C141" s="237" t="s">
        <v>4198</v>
      </c>
      <c r="D141" s="237" t="s">
        <v>21</v>
      </c>
      <c r="E141" s="237" t="s">
        <v>4199</v>
      </c>
      <c r="F141" s="237" t="s">
        <v>21</v>
      </c>
      <c r="G141" s="237" t="s">
        <v>21</v>
      </c>
      <c r="H141" s="237" t="s">
        <v>4200</v>
      </c>
      <c r="I141" s="237" t="s">
        <v>3917</v>
      </c>
      <c r="J141" s="237" t="s">
        <v>4201</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4202</v>
      </c>
      <c r="B142" s="237" t="s">
        <v>4203</v>
      </c>
      <c r="C142" s="237" t="s">
        <v>4204</v>
      </c>
      <c r="D142" s="237" t="s">
        <v>4205</v>
      </c>
      <c r="E142" s="237" t="s">
        <v>4199</v>
      </c>
      <c r="F142" s="237" t="s">
        <v>21</v>
      </c>
      <c r="G142" s="237" t="s">
        <v>21</v>
      </c>
      <c r="H142" s="237" t="s">
        <v>4206</v>
      </c>
      <c r="I142" s="237" t="s">
        <v>4207</v>
      </c>
      <c r="J142" s="237" t="s">
        <v>4208</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937</v>
      </c>
      <c r="B143" s="236" t="s">
        <v>4209</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4210</v>
      </c>
      <c r="B144" s="237" t="s">
        <v>4211</v>
      </c>
      <c r="C144" s="237" t="s">
        <v>4212</v>
      </c>
      <c r="D144" s="237" t="s">
        <v>21</v>
      </c>
      <c r="E144" s="237" t="s">
        <v>21</v>
      </c>
      <c r="F144" s="237" t="s">
        <v>21</v>
      </c>
      <c r="G144" s="237" t="s">
        <v>21</v>
      </c>
      <c r="H144" s="237" t="s">
        <v>4213</v>
      </c>
      <c r="I144" s="237" t="s">
        <v>21</v>
      </c>
      <c r="J144" s="237" t="s">
        <v>4214</v>
      </c>
      <c r="K144" s="240" t="str">
        <f>IF(COUNTIF(L144:AY144,"&lt;&gt;")=0,"",SUMPRODUCT(((Recommendations[ImplStatus]="Implemented")+(Recommendations[ImplStatus]="Compensated"))*ISNUMBER(MATCH(Recommendations[Id],L144:AY144,0)))/COUNTIF(L144:AY144,"&lt;&gt;"))</f>
        <v/>
      </c>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4215</v>
      </c>
      <c r="B145" s="237" t="s">
        <v>4216</v>
      </c>
      <c r="C145" s="237" t="s">
        <v>4217</v>
      </c>
      <c r="D145" s="237" t="s">
        <v>21</v>
      </c>
      <c r="E145" s="237" t="s">
        <v>21</v>
      </c>
      <c r="F145" s="237" t="s">
        <v>21</v>
      </c>
      <c r="G145" s="237" t="s">
        <v>21</v>
      </c>
      <c r="H145" s="237" t="s">
        <v>4218</v>
      </c>
      <c r="I145" s="237" t="s">
        <v>21</v>
      </c>
      <c r="J145" s="237" t="s">
        <v>4219</v>
      </c>
      <c r="K145" s="240" t="str">
        <f>IF(COUNTIF(L145:AY145,"&lt;&gt;")=0,"",SUMPRODUCT(((Recommendations[ImplStatus]="Implemented")+(Recommendations[ImplStatus]="Compensated"))*ISNUMBER(MATCH(Recommendations[Id],L145:AY145,0)))/COUNTIF(L145:AY145,"&lt;&gt;"))</f>
        <v/>
      </c>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4220</v>
      </c>
      <c r="B146" s="237" t="s">
        <v>4221</v>
      </c>
      <c r="C146" s="237" t="s">
        <v>4222</v>
      </c>
      <c r="D146" s="237" t="s">
        <v>4223</v>
      </c>
      <c r="E146" s="237" t="s">
        <v>21</v>
      </c>
      <c r="F146" s="237" t="s">
        <v>21</v>
      </c>
      <c r="G146" s="237" t="s">
        <v>21</v>
      </c>
      <c r="H146" s="237" t="s">
        <v>4224</v>
      </c>
      <c r="I146" s="237" t="s">
        <v>21</v>
      </c>
      <c r="J146" s="237" t="s">
        <v>4225</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4226</v>
      </c>
      <c r="B147" s="235" t="s">
        <v>4227</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959</v>
      </c>
      <c r="B148" s="236" t="s">
        <v>4228</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4229</v>
      </c>
      <c r="B149" s="237" t="s">
        <v>4230</v>
      </c>
      <c r="C149" s="237" t="s">
        <v>4231</v>
      </c>
      <c r="D149" s="237" t="s">
        <v>3689</v>
      </c>
      <c r="E149" s="237" t="s">
        <v>3475</v>
      </c>
      <c r="F149" s="237" t="s">
        <v>21</v>
      </c>
      <c r="G149" s="237" t="s">
        <v>21</v>
      </c>
      <c r="H149" s="237" t="s">
        <v>4232</v>
      </c>
      <c r="I149" s="237" t="s">
        <v>21</v>
      </c>
      <c r="J149" s="237" t="s">
        <v>4233</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4234</v>
      </c>
      <c r="B150" s="237" t="s">
        <v>4235</v>
      </c>
      <c r="C150" s="237" t="s">
        <v>3480</v>
      </c>
      <c r="D150" s="237" t="s">
        <v>3481</v>
      </c>
      <c r="E150" s="237" t="s">
        <v>21</v>
      </c>
      <c r="F150" s="237" t="s">
        <v>3483</v>
      </c>
      <c r="G150" s="237" t="s">
        <v>21</v>
      </c>
      <c r="H150" s="237" t="s">
        <v>4236</v>
      </c>
      <c r="I150" s="237" t="s">
        <v>21</v>
      </c>
      <c r="J150" s="237" t="s">
        <v>4237</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963</v>
      </c>
      <c r="B151" s="236" t="s">
        <v>4238</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4239</v>
      </c>
      <c r="B152" s="237" t="s">
        <v>4240</v>
      </c>
      <c r="C152" s="237" t="s">
        <v>4241</v>
      </c>
      <c r="D152" s="237" t="s">
        <v>21</v>
      </c>
      <c r="E152" s="237" t="s">
        <v>21</v>
      </c>
      <c r="F152" s="237" t="s">
        <v>21</v>
      </c>
      <c r="G152" s="237" t="s">
        <v>21</v>
      </c>
      <c r="H152" s="237" t="s">
        <v>4242</v>
      </c>
      <c r="I152" s="237" t="s">
        <v>4243</v>
      </c>
      <c r="J152" s="237" t="s">
        <v>4244</v>
      </c>
      <c r="K152" s="240">
        <f>IF(COUNTIF(L152:AY152,"&lt;&gt;")=0,"",SUMPRODUCT(((Recommendations[ImplStatus]="Implemented")+(Recommendations[ImplStatus]="Compensated"))*ISNUMBER(MATCH(Recommendations[Id],L152:AY152,0)))/COUNTIF(L152:AY152,"&lt;&gt;"))</f>
        <v>0</v>
      </c>
      <c r="L152" s="243" t="s">
        <v>178</v>
      </c>
      <c r="M152" s="243" t="s">
        <v>183</v>
      </c>
      <c r="N152" s="243" t="s">
        <v>186</v>
      </c>
      <c r="O152" s="243" t="s">
        <v>189</v>
      </c>
      <c r="P152" s="243" t="s">
        <v>192</v>
      </c>
      <c r="Q152" s="243" t="s">
        <v>195</v>
      </c>
      <c r="R152" s="243" t="s">
        <v>215</v>
      </c>
      <c r="S152" s="243" t="s">
        <v>270</v>
      </c>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4245</v>
      </c>
      <c r="B153" s="237" t="s">
        <v>4246</v>
      </c>
      <c r="C153" s="237" t="s">
        <v>4247</v>
      </c>
      <c r="D153" s="237" t="s">
        <v>4248</v>
      </c>
      <c r="E153" s="237" t="s">
        <v>21</v>
      </c>
      <c r="F153" s="237" t="s">
        <v>4249</v>
      </c>
      <c r="G153" s="237" t="s">
        <v>21</v>
      </c>
      <c r="H153" s="237" t="s">
        <v>4250</v>
      </c>
      <c r="I153" s="237" t="s">
        <v>4251</v>
      </c>
      <c r="J153" s="237" t="s">
        <v>4252</v>
      </c>
      <c r="K153" s="240" t="str">
        <f>IF(COUNTIF(L153:AY153,"&lt;&gt;")=0,"",SUMPRODUCT(((Recommendations[ImplStatus]="Implemented")+(Recommendations[ImplStatus]="Compensated"))*ISNUMBER(MATCH(Recommendations[Id],L153:AY153,0)))/COUNTIF(L153:AY153,"&lt;&gt;"))</f>
        <v/>
      </c>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4253</v>
      </c>
      <c r="B154" s="237" t="s">
        <v>4254</v>
      </c>
      <c r="C154" s="237" t="s">
        <v>4255</v>
      </c>
      <c r="D154" s="237" t="s">
        <v>21</v>
      </c>
      <c r="E154" s="237" t="s">
        <v>21</v>
      </c>
      <c r="F154" s="237" t="s">
        <v>4256</v>
      </c>
      <c r="G154" s="237" t="s">
        <v>21</v>
      </c>
      <c r="H154" s="237" t="s">
        <v>4257</v>
      </c>
      <c r="I154" s="237" t="s">
        <v>21</v>
      </c>
      <c r="J154" s="237" t="s">
        <v>4258</v>
      </c>
      <c r="K154" s="240">
        <f>IF(COUNTIF(L154:AY154,"&lt;&gt;")=0,"",SUMPRODUCT(((Recommendations[ImplStatus]="Implemented")+(Recommendations[ImplStatus]="Compensated"))*ISNUMBER(MATCH(Recommendations[Id],L154:AY154,0)))/COUNTIF(L154:AY154,"&lt;&gt;"))</f>
        <v>0</v>
      </c>
      <c r="L154" s="243" t="s">
        <v>200</v>
      </c>
      <c r="M154" s="243" t="s">
        <v>205</v>
      </c>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4259</v>
      </c>
      <c r="B155" s="237" t="s">
        <v>4260</v>
      </c>
      <c r="C155" s="237" t="s">
        <v>4261</v>
      </c>
      <c r="D155" s="237" t="s">
        <v>21</v>
      </c>
      <c r="E155" s="237" t="s">
        <v>21</v>
      </c>
      <c r="F155" s="237" t="s">
        <v>21</v>
      </c>
      <c r="G155" s="237" t="s">
        <v>21</v>
      </c>
      <c r="H155" s="237" t="s">
        <v>4262</v>
      </c>
      <c r="I155" s="237" t="s">
        <v>4263</v>
      </c>
      <c r="J155" s="237" t="s">
        <v>4264</v>
      </c>
      <c r="K155" s="240" t="str">
        <f>IF(COUNTIF(L155:AY155,"&lt;&gt;")=0,"",SUMPRODUCT(((Recommendations[ImplStatus]="Implemented")+(Recommendations[ImplStatus]="Compensated"))*ISNUMBER(MATCH(Recommendations[Id],L155:AY155,0)))/COUNTIF(L155:AY155,"&lt;&gt;"))</f>
        <v/>
      </c>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4265</v>
      </c>
      <c r="B156" s="237" t="s">
        <v>4266</v>
      </c>
      <c r="C156" s="237" t="s">
        <v>4267</v>
      </c>
      <c r="D156" s="237" t="s">
        <v>21</v>
      </c>
      <c r="E156" s="237" t="s">
        <v>21</v>
      </c>
      <c r="F156" s="237" t="s">
        <v>21</v>
      </c>
      <c r="G156" s="237" t="s">
        <v>21</v>
      </c>
      <c r="H156" s="237" t="s">
        <v>4268</v>
      </c>
      <c r="I156" s="237" t="s">
        <v>21</v>
      </c>
      <c r="J156" s="237" t="s">
        <v>4269</v>
      </c>
      <c r="K156" s="240" t="str">
        <f>IF(COUNTIF(L156:AY156,"&lt;&gt;")=0,"",SUMPRODUCT(((Recommendations[ImplStatus]="Implemented")+(Recommendations[ImplStatus]="Compensated"))*ISNUMBER(MATCH(Recommendations[Id],L156:AY156,0)))/COUNTIF(L156:AY156,"&lt;&gt;"))</f>
        <v/>
      </c>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4270</v>
      </c>
      <c r="B157" s="237" t="s">
        <v>4271</v>
      </c>
      <c r="C157" s="237" t="s">
        <v>4272</v>
      </c>
      <c r="D157" s="237" t="s">
        <v>4273</v>
      </c>
      <c r="E157" s="237" t="s">
        <v>21</v>
      </c>
      <c r="F157" s="237" t="s">
        <v>21</v>
      </c>
      <c r="G157" s="237" t="s">
        <v>21</v>
      </c>
      <c r="H157" s="237" t="s">
        <v>4274</v>
      </c>
      <c r="I157" s="237" t="s">
        <v>21</v>
      </c>
      <c r="J157" s="237" t="s">
        <v>4275</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4276</v>
      </c>
      <c r="B158" s="237" t="s">
        <v>4277</v>
      </c>
      <c r="C158" s="237" t="s">
        <v>4278</v>
      </c>
      <c r="D158" s="237" t="s">
        <v>4279</v>
      </c>
      <c r="E158" s="237" t="s">
        <v>21</v>
      </c>
      <c r="F158" s="237" t="s">
        <v>21</v>
      </c>
      <c r="G158" s="237" t="s">
        <v>21</v>
      </c>
      <c r="H158" s="237" t="s">
        <v>21</v>
      </c>
      <c r="I158" s="237" t="s">
        <v>21</v>
      </c>
      <c r="J158" s="237" t="s">
        <v>4280</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4281</v>
      </c>
      <c r="B159" s="237" t="s">
        <v>4282</v>
      </c>
      <c r="C159" s="237" t="s">
        <v>4283</v>
      </c>
      <c r="D159" s="237" t="s">
        <v>4284</v>
      </c>
      <c r="E159" s="237" t="s">
        <v>21</v>
      </c>
      <c r="F159" s="237" t="s">
        <v>4285</v>
      </c>
      <c r="G159" s="237" t="s">
        <v>21</v>
      </c>
      <c r="H159" s="237" t="s">
        <v>4286</v>
      </c>
      <c r="I159" s="237" t="s">
        <v>4287</v>
      </c>
      <c r="J159" s="237" t="s">
        <v>4288</v>
      </c>
      <c r="K159" s="240">
        <f>IF(COUNTIF(L159:AY159,"&lt;&gt;")=0,"",SUMPRODUCT(((Recommendations[ImplStatus]="Implemented")+(Recommendations[ImplStatus]="Compensated"))*ISNUMBER(MATCH(Recommendations[Id],L159:AY159,0)))/COUNTIF(L159:AY159,"&lt;&gt;"))</f>
        <v>0</v>
      </c>
      <c r="L159" s="243" t="s">
        <v>373</v>
      </c>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967</v>
      </c>
      <c r="B160" s="236" t="s">
        <v>4289</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4290</v>
      </c>
      <c r="B161" s="237" t="s">
        <v>4291</v>
      </c>
      <c r="C161" s="237" t="s">
        <v>4292</v>
      </c>
      <c r="D161" s="237" t="s">
        <v>4293</v>
      </c>
      <c r="E161" s="237" t="s">
        <v>21</v>
      </c>
      <c r="F161" s="237" t="s">
        <v>21</v>
      </c>
      <c r="G161" s="237" t="s">
        <v>4294</v>
      </c>
      <c r="H161" s="237" t="s">
        <v>4295</v>
      </c>
      <c r="I161" s="237" t="s">
        <v>4296</v>
      </c>
      <c r="J161" s="237" t="s">
        <v>4297</v>
      </c>
      <c r="K161" s="240" t="str">
        <f>IF(COUNTIF(L161:AY161,"&lt;&gt;")=0,"",SUMPRODUCT(((Recommendations[ImplStatus]="Implemented")+(Recommendations[ImplStatus]="Compensated"))*ISNUMBER(MATCH(Recommendations[Id],L161:AY161,0)))/COUNTIF(L161:AY161,"&lt;&gt;"))</f>
        <v/>
      </c>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4298</v>
      </c>
      <c r="B162" s="237" t="s">
        <v>4299</v>
      </c>
      <c r="C162" s="237" t="s">
        <v>4300</v>
      </c>
      <c r="D162" s="237" t="s">
        <v>4301</v>
      </c>
      <c r="E162" s="237" t="s">
        <v>21</v>
      </c>
      <c r="F162" s="237" t="s">
        <v>21</v>
      </c>
      <c r="G162" s="237" t="s">
        <v>21</v>
      </c>
      <c r="H162" s="237" t="s">
        <v>4302</v>
      </c>
      <c r="I162" s="237" t="s">
        <v>21</v>
      </c>
      <c r="J162" s="237" t="s">
        <v>4303</v>
      </c>
      <c r="K162" s="240">
        <f>IF(COUNTIF(L162:AY162,"&lt;&gt;")=0,"",SUMPRODUCT(((Recommendations[ImplStatus]="Implemented")+(Recommendations[ImplStatus]="Compensated"))*ISNUMBER(MATCH(Recommendations[Id],L162:AY162,0)))/COUNTIF(L162:AY162,"&lt;&gt;"))</f>
        <v>0</v>
      </c>
      <c r="L162" s="243" t="s">
        <v>343</v>
      </c>
      <c r="M162" s="243" t="s">
        <v>353</v>
      </c>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4304</v>
      </c>
      <c r="B163" s="237" t="s">
        <v>4305</v>
      </c>
      <c r="C163" s="237" t="s">
        <v>4306</v>
      </c>
      <c r="D163" s="237" t="s">
        <v>4301</v>
      </c>
      <c r="E163" s="237" t="s">
        <v>21</v>
      </c>
      <c r="F163" s="237" t="s">
        <v>4307</v>
      </c>
      <c r="G163" s="237" t="s">
        <v>21</v>
      </c>
      <c r="H163" s="237" t="s">
        <v>4308</v>
      </c>
      <c r="I163" s="237" t="s">
        <v>21</v>
      </c>
      <c r="J163" s="237" t="s">
        <v>4309</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4310</v>
      </c>
      <c r="B164" s="237" t="s">
        <v>4311</v>
      </c>
      <c r="C164" s="237" t="s">
        <v>4312</v>
      </c>
      <c r="D164" s="237" t="s">
        <v>4313</v>
      </c>
      <c r="E164" s="237" t="s">
        <v>21</v>
      </c>
      <c r="F164" s="237" t="s">
        <v>21</v>
      </c>
      <c r="G164" s="237" t="s">
        <v>21</v>
      </c>
      <c r="H164" s="237" t="s">
        <v>4314</v>
      </c>
      <c r="I164" s="237" t="s">
        <v>4315</v>
      </c>
      <c r="J164" s="237" t="s">
        <v>4316</v>
      </c>
      <c r="K164" s="240">
        <f>IF(COUNTIF(L164:AY164,"&lt;&gt;")=0,"",SUMPRODUCT(((Recommendations[ImplStatus]="Implemented")+(Recommendations[ImplStatus]="Compensated"))*ISNUMBER(MATCH(Recommendations[Id],L164:AY164,0)))/COUNTIF(L164:AY164,"&lt;&gt;"))</f>
        <v>0</v>
      </c>
      <c r="L164" s="243" t="s">
        <v>210</v>
      </c>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4317</v>
      </c>
      <c r="B165" s="237" t="s">
        <v>4318</v>
      </c>
      <c r="C165" s="237" t="s">
        <v>4319</v>
      </c>
      <c r="D165" s="237" t="s">
        <v>21</v>
      </c>
      <c r="E165" s="237" t="s">
        <v>21</v>
      </c>
      <c r="F165" s="237" t="s">
        <v>21</v>
      </c>
      <c r="G165" s="237" t="s">
        <v>21</v>
      </c>
      <c r="H165" s="237" t="s">
        <v>4320</v>
      </c>
      <c r="I165" s="237" t="s">
        <v>21</v>
      </c>
      <c r="J165" s="237" t="s">
        <v>4321</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4322</v>
      </c>
      <c r="B166" s="237" t="s">
        <v>4323</v>
      </c>
      <c r="C166" s="237" t="s">
        <v>4324</v>
      </c>
      <c r="D166" s="237" t="s">
        <v>4325</v>
      </c>
      <c r="E166" s="237" t="s">
        <v>21</v>
      </c>
      <c r="F166" s="237" t="s">
        <v>21</v>
      </c>
      <c r="G166" s="237" t="s">
        <v>21</v>
      </c>
      <c r="H166" s="237" t="s">
        <v>4326</v>
      </c>
      <c r="I166" s="237" t="s">
        <v>4327</v>
      </c>
      <c r="J166" s="237" t="s">
        <v>4328</v>
      </c>
      <c r="K166" s="240">
        <f>IF(COUNTIF(L166:AY166,"&lt;&gt;")=0,"",SUMPRODUCT(((Recommendations[ImplStatus]="Implemented")+(Recommendations[ImplStatus]="Compensated"))*ISNUMBER(MATCH(Recommendations[Id],L166:AY166,0)))/COUNTIF(L166:AY166,"&lt;&gt;"))</f>
        <v>0</v>
      </c>
      <c r="L166" s="243" t="s">
        <v>320</v>
      </c>
      <c r="M166" s="243" t="s">
        <v>325</v>
      </c>
      <c r="N166" s="243" t="s">
        <v>330</v>
      </c>
      <c r="O166" s="243" t="s">
        <v>335</v>
      </c>
      <c r="P166" s="243" t="s">
        <v>339</v>
      </c>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4329</v>
      </c>
      <c r="B167" s="237" t="s">
        <v>4330</v>
      </c>
      <c r="C167" s="237" t="s">
        <v>4331</v>
      </c>
      <c r="D167" s="237" t="s">
        <v>21</v>
      </c>
      <c r="E167" s="237" t="s">
        <v>21</v>
      </c>
      <c r="F167" s="237" t="s">
        <v>21</v>
      </c>
      <c r="G167" s="237" t="s">
        <v>21</v>
      </c>
      <c r="H167" s="237" t="s">
        <v>4332</v>
      </c>
      <c r="I167" s="237" t="s">
        <v>4333</v>
      </c>
      <c r="J167" s="237" t="s">
        <v>4334</v>
      </c>
      <c r="K167" s="240">
        <f>IF(COUNTIF(L167:AY167,"&lt;&gt;")=0,"",SUMPRODUCT(((Recommendations[ImplStatus]="Implemented")+(Recommendations[ImplStatus]="Compensated"))*ISNUMBER(MATCH(Recommendations[Id],L167:AY167,0)))/COUNTIF(L167:AY167,"&lt;&gt;"))</f>
        <v>0</v>
      </c>
      <c r="L167" s="243" t="s">
        <v>320</v>
      </c>
      <c r="M167" s="243" t="s">
        <v>325</v>
      </c>
      <c r="N167" s="243" t="s">
        <v>330</v>
      </c>
      <c r="O167" s="243" t="s">
        <v>335</v>
      </c>
      <c r="P167" s="243" t="s">
        <v>339</v>
      </c>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4335</v>
      </c>
      <c r="B168" s="237" t="s">
        <v>4336</v>
      </c>
      <c r="C168" s="237" t="s">
        <v>4337</v>
      </c>
      <c r="D168" s="237" t="s">
        <v>4338</v>
      </c>
      <c r="E168" s="237" t="s">
        <v>21</v>
      </c>
      <c r="F168" s="237" t="s">
        <v>21</v>
      </c>
      <c r="G168" s="237" t="s">
        <v>21</v>
      </c>
      <c r="H168" s="237" t="s">
        <v>4339</v>
      </c>
      <c r="I168" s="237" t="s">
        <v>21</v>
      </c>
      <c r="J168" s="237" t="s">
        <v>4340</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4341</v>
      </c>
      <c r="B169" s="237" t="s">
        <v>4342</v>
      </c>
      <c r="C169" s="237" t="s">
        <v>4343</v>
      </c>
      <c r="D169" s="237" t="s">
        <v>4344</v>
      </c>
      <c r="E169" s="237" t="s">
        <v>21</v>
      </c>
      <c r="F169" s="237" t="s">
        <v>21</v>
      </c>
      <c r="G169" s="237" t="s">
        <v>4345</v>
      </c>
      <c r="H169" s="237" t="s">
        <v>4346</v>
      </c>
      <c r="I169" s="237" t="s">
        <v>4347</v>
      </c>
      <c r="J169" s="237" t="s">
        <v>4348</v>
      </c>
      <c r="K169" s="240">
        <f>IF(COUNTIF(L169:AY169,"&lt;&gt;")=0,"",SUMPRODUCT(((Recommendations[ImplStatus]="Implemented")+(Recommendations[ImplStatus]="Compensated"))*ISNUMBER(MATCH(Recommendations[Id],L169:AY169,0)))/COUNTIF(L169:AY169,"&lt;&gt;"))</f>
        <v>0</v>
      </c>
      <c r="L169" s="243" t="s">
        <v>348</v>
      </c>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4349</v>
      </c>
      <c r="B170" s="237" t="s">
        <v>4350</v>
      </c>
      <c r="C170" s="237" t="s">
        <v>4351</v>
      </c>
      <c r="D170" s="237" t="s">
        <v>4352</v>
      </c>
      <c r="E170" s="237" t="s">
        <v>21</v>
      </c>
      <c r="F170" s="237" t="s">
        <v>21</v>
      </c>
      <c r="G170" s="237" t="s">
        <v>21</v>
      </c>
      <c r="H170" s="237" t="s">
        <v>4353</v>
      </c>
      <c r="I170" s="237" t="s">
        <v>4354</v>
      </c>
      <c r="J170" s="237" t="s">
        <v>4355</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4356</v>
      </c>
      <c r="B171" s="237" t="s">
        <v>4357</v>
      </c>
      <c r="C171" s="237" t="s">
        <v>4351</v>
      </c>
      <c r="D171" s="237" t="s">
        <v>4358</v>
      </c>
      <c r="E171" s="237" t="s">
        <v>21</v>
      </c>
      <c r="F171" s="237" t="s">
        <v>21</v>
      </c>
      <c r="G171" s="237" t="s">
        <v>4359</v>
      </c>
      <c r="H171" s="237" t="s">
        <v>4353</v>
      </c>
      <c r="I171" s="237" t="s">
        <v>4360</v>
      </c>
      <c r="J171" s="237" t="s">
        <v>4361</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4362</v>
      </c>
      <c r="B172" s="237" t="s">
        <v>4363</v>
      </c>
      <c r="C172" s="237" t="s">
        <v>4364</v>
      </c>
      <c r="D172" s="237" t="s">
        <v>4365</v>
      </c>
      <c r="E172" s="237" t="s">
        <v>21</v>
      </c>
      <c r="F172" s="237" t="s">
        <v>21</v>
      </c>
      <c r="G172" s="237" t="s">
        <v>21</v>
      </c>
      <c r="H172" s="237" t="s">
        <v>4366</v>
      </c>
      <c r="I172" s="237" t="s">
        <v>21</v>
      </c>
      <c r="J172" s="237" t="s">
        <v>4367</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971</v>
      </c>
      <c r="B173" s="236" t="s">
        <v>4368</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4369</v>
      </c>
      <c r="B174" s="237" t="s">
        <v>4370</v>
      </c>
      <c r="C174" s="237" t="s">
        <v>4371</v>
      </c>
      <c r="D174" s="237" t="s">
        <v>4372</v>
      </c>
      <c r="E174" s="237" t="s">
        <v>4373</v>
      </c>
      <c r="F174" s="237" t="s">
        <v>21</v>
      </c>
      <c r="G174" s="237" t="s">
        <v>21</v>
      </c>
      <c r="H174" s="237" t="s">
        <v>4374</v>
      </c>
      <c r="I174" s="237" t="s">
        <v>4375</v>
      </c>
      <c r="J174" s="237" t="s">
        <v>4376</v>
      </c>
      <c r="K174" s="240">
        <f>IF(COUNTIF(L174:AY174,"&lt;&gt;")=0,"",SUMPRODUCT(((Recommendations[ImplStatus]="Implemented")+(Recommendations[ImplStatus]="Compensated"))*ISNUMBER(MATCH(Recommendations[Id],L174:AY174,0)))/COUNTIF(L174:AY174,"&lt;&gt;"))</f>
        <v>0</v>
      </c>
      <c r="L174" s="243" t="s">
        <v>133</v>
      </c>
      <c r="M174" s="243" t="s">
        <v>137</v>
      </c>
      <c r="N174" s="243" t="s">
        <v>305</v>
      </c>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4377</v>
      </c>
      <c r="B175" s="237" t="s">
        <v>4378</v>
      </c>
      <c r="C175" s="237" t="s">
        <v>4379</v>
      </c>
      <c r="D175" s="237" t="s">
        <v>21</v>
      </c>
      <c r="E175" s="237" t="s">
        <v>4380</v>
      </c>
      <c r="F175" s="237" t="s">
        <v>21</v>
      </c>
      <c r="G175" s="237" t="s">
        <v>21</v>
      </c>
      <c r="H175" s="237" t="s">
        <v>4381</v>
      </c>
      <c r="I175" s="237" t="s">
        <v>21</v>
      </c>
      <c r="J175" s="237" t="s">
        <v>4382</v>
      </c>
      <c r="K175" s="240">
        <f>IF(COUNTIF(L175:AY175,"&lt;&gt;")=0,"",SUMPRODUCT(((Recommendations[ImplStatus]="Implemented")+(Recommendations[ImplStatus]="Compensated"))*ISNUMBER(MATCH(Recommendations[Id],L175:AY175,0)))/COUNTIF(L175:AY175,"&lt;&gt;"))</f>
        <v>0</v>
      </c>
      <c r="L175" s="243" t="s">
        <v>270</v>
      </c>
      <c r="M175" s="243" t="s">
        <v>305</v>
      </c>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4383</v>
      </c>
      <c r="B176" s="237" t="s">
        <v>4384</v>
      </c>
      <c r="C176" s="237" t="s">
        <v>4385</v>
      </c>
      <c r="D176" s="237" t="s">
        <v>21</v>
      </c>
      <c r="E176" s="237" t="s">
        <v>4386</v>
      </c>
      <c r="F176" s="237" t="s">
        <v>21</v>
      </c>
      <c r="G176" s="237" t="s">
        <v>21</v>
      </c>
      <c r="H176" s="237" t="s">
        <v>4387</v>
      </c>
      <c r="I176" s="237" t="s">
        <v>4388</v>
      </c>
      <c r="J176" s="237" t="s">
        <v>4389</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976</v>
      </c>
      <c r="B177" s="236" t="s">
        <v>4390</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4391</v>
      </c>
      <c r="B178" s="237" t="s">
        <v>4392</v>
      </c>
      <c r="C178" s="237" t="s">
        <v>4393</v>
      </c>
      <c r="D178" s="237" t="s">
        <v>4394</v>
      </c>
      <c r="E178" s="237" t="s">
        <v>4395</v>
      </c>
      <c r="F178" s="237" t="s">
        <v>4396</v>
      </c>
      <c r="G178" s="237" t="s">
        <v>21</v>
      </c>
      <c r="H178" s="237" t="s">
        <v>4397</v>
      </c>
      <c r="I178" s="237" t="s">
        <v>4398</v>
      </c>
      <c r="J178" s="237" t="s">
        <v>4399</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980</v>
      </c>
      <c r="B179" s="236" t="s">
        <v>4400</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4401</v>
      </c>
      <c r="B180" s="237" t="s">
        <v>4402</v>
      </c>
      <c r="C180" s="237" t="s">
        <v>4403</v>
      </c>
      <c r="D180" s="237" t="s">
        <v>4394</v>
      </c>
      <c r="E180" s="237" t="s">
        <v>4404</v>
      </c>
      <c r="F180" s="237" t="s">
        <v>21</v>
      </c>
      <c r="G180" s="237" t="s">
        <v>21</v>
      </c>
      <c r="H180" s="237" t="s">
        <v>4405</v>
      </c>
      <c r="I180" s="237" t="s">
        <v>3917</v>
      </c>
      <c r="J180" s="237" t="s">
        <v>4406</v>
      </c>
      <c r="K180" s="240" t="str">
        <f>IF(COUNTIF(L180:AY180,"&lt;&gt;")=0,"",SUMPRODUCT(((Recommendations[ImplStatus]="Implemented")+(Recommendations[ImplStatus]="Compensated"))*ISNUMBER(MATCH(Recommendations[Id],L180:AY180,0)))/COUNTIF(L180:AY180,"&lt;&gt;"))</f>
        <v/>
      </c>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4407</v>
      </c>
      <c r="B181" s="237" t="s">
        <v>4408</v>
      </c>
      <c r="C181" s="237" t="s">
        <v>4409</v>
      </c>
      <c r="D181" s="237" t="s">
        <v>4410</v>
      </c>
      <c r="E181" s="237" t="s">
        <v>21</v>
      </c>
      <c r="F181" s="237" t="s">
        <v>21</v>
      </c>
      <c r="G181" s="237" t="s">
        <v>21</v>
      </c>
      <c r="H181" s="237" t="s">
        <v>4411</v>
      </c>
      <c r="I181" s="237" t="s">
        <v>4412</v>
      </c>
      <c r="J181" s="237" t="s">
        <v>4413</v>
      </c>
      <c r="K181" s="240" t="str">
        <f>IF(COUNTIF(L181:AY181,"&lt;&gt;")=0,"",SUMPRODUCT(((Recommendations[ImplStatus]="Implemented")+(Recommendations[ImplStatus]="Compensated"))*ISNUMBER(MATCH(Recommendations[Id],L181:AY181,0)))/COUNTIF(L181:AY181,"&lt;&gt;"))</f>
        <v/>
      </c>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4414</v>
      </c>
      <c r="B182" s="237" t="s">
        <v>4415</v>
      </c>
      <c r="C182" s="237" t="s">
        <v>4416</v>
      </c>
      <c r="D182" s="237" t="s">
        <v>4417</v>
      </c>
      <c r="E182" s="237" t="s">
        <v>21</v>
      </c>
      <c r="F182" s="237" t="s">
        <v>21</v>
      </c>
      <c r="G182" s="237" t="s">
        <v>21</v>
      </c>
      <c r="H182" s="237" t="s">
        <v>4418</v>
      </c>
      <c r="I182" s="237" t="s">
        <v>3917</v>
      </c>
      <c r="J182" s="237" t="s">
        <v>4419</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4420</v>
      </c>
      <c r="B183" s="235" t="s">
        <v>4421</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1010</v>
      </c>
      <c r="B184" s="236" t="s">
        <v>4422</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4423</v>
      </c>
      <c r="B185" s="237" t="s">
        <v>4424</v>
      </c>
      <c r="C185" s="237" t="s">
        <v>4425</v>
      </c>
      <c r="D185" s="237" t="s">
        <v>3689</v>
      </c>
      <c r="E185" s="237" t="s">
        <v>4426</v>
      </c>
      <c r="F185" s="237" t="s">
        <v>21</v>
      </c>
      <c r="G185" s="237" t="s">
        <v>21</v>
      </c>
      <c r="H185" s="237" t="s">
        <v>4427</v>
      </c>
      <c r="I185" s="237" t="s">
        <v>21</v>
      </c>
      <c r="J185" s="237" t="s">
        <v>4428</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4429</v>
      </c>
      <c r="B186" s="237" t="s">
        <v>4430</v>
      </c>
      <c r="C186" s="237" t="s">
        <v>3694</v>
      </c>
      <c r="D186" s="237" t="s">
        <v>4431</v>
      </c>
      <c r="E186" s="237" t="s">
        <v>21</v>
      </c>
      <c r="F186" s="237" t="s">
        <v>21</v>
      </c>
      <c r="G186" s="237" t="s">
        <v>21</v>
      </c>
      <c r="H186" s="237" t="s">
        <v>4432</v>
      </c>
      <c r="I186" s="237" t="s">
        <v>21</v>
      </c>
      <c r="J186" s="237" t="s">
        <v>4433</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1014</v>
      </c>
      <c r="B187" s="236" t="s">
        <v>4434</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4435</v>
      </c>
      <c r="B188" s="237" t="s">
        <v>4436</v>
      </c>
      <c r="C188" s="237" t="s">
        <v>4437</v>
      </c>
      <c r="D188" s="237" t="s">
        <v>4438</v>
      </c>
      <c r="E188" s="237" t="s">
        <v>21</v>
      </c>
      <c r="F188" s="237" t="s">
        <v>4439</v>
      </c>
      <c r="G188" s="237" t="s">
        <v>21</v>
      </c>
      <c r="H188" s="237" t="s">
        <v>4440</v>
      </c>
      <c r="I188" s="237" t="s">
        <v>4441</v>
      </c>
      <c r="J188" s="237" t="s">
        <v>4442</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4443</v>
      </c>
      <c r="B189" s="237" t="s">
        <v>4444</v>
      </c>
      <c r="C189" s="237" t="s">
        <v>4445</v>
      </c>
      <c r="D189" s="237" t="s">
        <v>4446</v>
      </c>
      <c r="E189" s="237" t="s">
        <v>21</v>
      </c>
      <c r="F189" s="237" t="s">
        <v>21</v>
      </c>
      <c r="G189" s="237" t="s">
        <v>21</v>
      </c>
      <c r="H189" s="237" t="s">
        <v>4447</v>
      </c>
      <c r="I189" s="237" t="s">
        <v>21</v>
      </c>
      <c r="J189" s="237" t="s">
        <v>4448</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4449</v>
      </c>
      <c r="B190" s="237" t="s">
        <v>4450</v>
      </c>
      <c r="C190" s="237" t="s">
        <v>4451</v>
      </c>
      <c r="D190" s="237" t="s">
        <v>4452</v>
      </c>
      <c r="E190" s="237" t="s">
        <v>21</v>
      </c>
      <c r="F190" s="237" t="s">
        <v>4453</v>
      </c>
      <c r="G190" s="237" t="s">
        <v>21</v>
      </c>
      <c r="H190" s="237" t="s">
        <v>4454</v>
      </c>
      <c r="I190" s="237" t="s">
        <v>21</v>
      </c>
      <c r="J190" s="237" t="s">
        <v>4455</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4456</v>
      </c>
      <c r="B191" s="237" t="s">
        <v>4457</v>
      </c>
      <c r="C191" s="237" t="s">
        <v>4458</v>
      </c>
      <c r="D191" s="237" t="s">
        <v>21</v>
      </c>
      <c r="E191" s="237" t="s">
        <v>21</v>
      </c>
      <c r="F191" s="237" t="s">
        <v>21</v>
      </c>
      <c r="G191" s="237" t="s">
        <v>21</v>
      </c>
      <c r="H191" s="237" t="s">
        <v>4459</v>
      </c>
      <c r="I191" s="237" t="s">
        <v>21</v>
      </c>
      <c r="J191" s="237" t="s">
        <v>4460</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4461</v>
      </c>
      <c r="B192" s="237" t="s">
        <v>4462</v>
      </c>
      <c r="C192" s="237" t="s">
        <v>4463</v>
      </c>
      <c r="D192" s="237" t="s">
        <v>4464</v>
      </c>
      <c r="E192" s="237" t="s">
        <v>4465</v>
      </c>
      <c r="F192" s="237" t="s">
        <v>21</v>
      </c>
      <c r="G192" s="237" t="s">
        <v>21</v>
      </c>
      <c r="H192" s="237" t="s">
        <v>4466</v>
      </c>
      <c r="I192" s="237" t="s">
        <v>21</v>
      </c>
      <c r="J192" s="237" t="s">
        <v>4467</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1018</v>
      </c>
      <c r="B193" s="236" t="s">
        <v>4468</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4469</v>
      </c>
      <c r="B194" s="237" t="s">
        <v>4470</v>
      </c>
      <c r="C194" s="237" t="s">
        <v>4471</v>
      </c>
      <c r="D194" s="237" t="s">
        <v>4464</v>
      </c>
      <c r="E194" s="237" t="s">
        <v>4465</v>
      </c>
      <c r="F194" s="237" t="s">
        <v>4472</v>
      </c>
      <c r="G194" s="237" t="s">
        <v>21</v>
      </c>
      <c r="H194" s="237" t="s">
        <v>4473</v>
      </c>
      <c r="I194" s="237" t="s">
        <v>21</v>
      </c>
      <c r="J194" s="237" t="s">
        <v>4474</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4475</v>
      </c>
      <c r="B195" s="237" t="s">
        <v>4476</v>
      </c>
      <c r="C195" s="237" t="s">
        <v>4477</v>
      </c>
      <c r="D195" s="237" t="s">
        <v>4478</v>
      </c>
      <c r="E195" s="237" t="s">
        <v>21</v>
      </c>
      <c r="F195" s="237" t="s">
        <v>21</v>
      </c>
      <c r="G195" s="237" t="s">
        <v>21</v>
      </c>
      <c r="H195" s="237" t="s">
        <v>4479</v>
      </c>
      <c r="I195" s="237" t="s">
        <v>21</v>
      </c>
      <c r="J195" s="237" t="s">
        <v>4480</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4481</v>
      </c>
      <c r="B196" s="237" t="s">
        <v>4482</v>
      </c>
      <c r="C196" s="237" t="s">
        <v>4483</v>
      </c>
      <c r="D196" s="237" t="s">
        <v>21</v>
      </c>
      <c r="E196" s="237" t="s">
        <v>4484</v>
      </c>
      <c r="F196" s="237" t="s">
        <v>21</v>
      </c>
      <c r="G196" s="237" t="s">
        <v>21</v>
      </c>
      <c r="H196" s="237" t="s">
        <v>4485</v>
      </c>
      <c r="I196" s="237" t="s">
        <v>21</v>
      </c>
      <c r="J196" s="237" t="s">
        <v>4486</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4487</v>
      </c>
      <c r="B197" s="237" t="s">
        <v>4488</v>
      </c>
      <c r="C197" s="237" t="s">
        <v>4489</v>
      </c>
      <c r="D197" s="237" t="s">
        <v>21</v>
      </c>
      <c r="E197" s="237" t="s">
        <v>21</v>
      </c>
      <c r="F197" s="237" t="s">
        <v>21</v>
      </c>
      <c r="G197" s="237" t="s">
        <v>21</v>
      </c>
      <c r="H197" s="237" t="s">
        <v>4490</v>
      </c>
      <c r="I197" s="237" t="s">
        <v>21</v>
      </c>
      <c r="J197" s="237" t="s">
        <v>4491</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4492</v>
      </c>
      <c r="B198" s="237" t="s">
        <v>4493</v>
      </c>
      <c r="C198" s="237" t="s">
        <v>4494</v>
      </c>
      <c r="D198" s="237" t="s">
        <v>4495</v>
      </c>
      <c r="E198" s="237" t="s">
        <v>21</v>
      </c>
      <c r="F198" s="237" t="s">
        <v>21</v>
      </c>
      <c r="G198" s="237" t="s">
        <v>21</v>
      </c>
      <c r="H198" s="237" t="s">
        <v>4496</v>
      </c>
      <c r="I198" s="237" t="s">
        <v>21</v>
      </c>
      <c r="J198" s="237" t="s">
        <v>4497</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1022</v>
      </c>
      <c r="B199" s="236" t="s">
        <v>4498</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4499</v>
      </c>
      <c r="B200" s="237" t="s">
        <v>4500</v>
      </c>
      <c r="C200" s="237" t="s">
        <v>4501</v>
      </c>
      <c r="D200" s="237" t="s">
        <v>21</v>
      </c>
      <c r="E200" s="237" t="s">
        <v>21</v>
      </c>
      <c r="F200" s="237" t="s">
        <v>21</v>
      </c>
      <c r="G200" s="237" t="s">
        <v>21</v>
      </c>
      <c r="H200" s="237" t="s">
        <v>4502</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4503</v>
      </c>
      <c r="B201" s="237" t="s">
        <v>4504</v>
      </c>
      <c r="C201" s="237" t="s">
        <v>4505</v>
      </c>
      <c r="D201" s="237" t="s">
        <v>4506</v>
      </c>
      <c r="E201" s="237" t="s">
        <v>21</v>
      </c>
      <c r="F201" s="237" t="s">
        <v>21</v>
      </c>
      <c r="G201" s="237" t="s">
        <v>21</v>
      </c>
      <c r="H201" s="237" t="s">
        <v>4507</v>
      </c>
      <c r="I201" s="237" t="s">
        <v>21</v>
      </c>
      <c r="J201" s="237" t="s">
        <v>4508</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4509</v>
      </c>
      <c r="B202" s="237" t="s">
        <v>4510</v>
      </c>
      <c r="C202" s="237" t="s">
        <v>4511</v>
      </c>
      <c r="D202" s="237" t="s">
        <v>21</v>
      </c>
      <c r="E202" s="237" t="s">
        <v>21</v>
      </c>
      <c r="F202" s="237" t="s">
        <v>21</v>
      </c>
      <c r="G202" s="237" t="s">
        <v>21</v>
      </c>
      <c r="H202" s="237" t="s">
        <v>4512</v>
      </c>
      <c r="I202" s="237" t="s">
        <v>21</v>
      </c>
      <c r="J202" s="237" t="s">
        <v>4513</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4514</v>
      </c>
      <c r="B203" s="237" t="s">
        <v>4515</v>
      </c>
      <c r="C203" s="237" t="s">
        <v>4516</v>
      </c>
      <c r="D203" s="237" t="s">
        <v>4517</v>
      </c>
      <c r="E203" s="237" t="s">
        <v>21</v>
      </c>
      <c r="F203" s="237" t="s">
        <v>21</v>
      </c>
      <c r="G203" s="237" t="s">
        <v>21</v>
      </c>
      <c r="H203" s="237" t="s">
        <v>4518</v>
      </c>
      <c r="I203" s="237" t="s">
        <v>21</v>
      </c>
      <c r="J203" s="237" t="s">
        <v>4519</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4520</v>
      </c>
      <c r="B204" s="237" t="s">
        <v>4521</v>
      </c>
      <c r="C204" s="237" t="s">
        <v>4522</v>
      </c>
      <c r="D204" s="237" t="s">
        <v>21</v>
      </c>
      <c r="E204" s="237" t="s">
        <v>21</v>
      </c>
      <c r="F204" s="237" t="s">
        <v>21</v>
      </c>
      <c r="G204" s="237" t="s">
        <v>21</v>
      </c>
      <c r="H204" s="237" t="s">
        <v>4523</v>
      </c>
      <c r="I204" s="237" t="s">
        <v>21</v>
      </c>
      <c r="J204" s="237" t="s">
        <v>4524</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4525</v>
      </c>
      <c r="B205" s="237" t="s">
        <v>4526</v>
      </c>
      <c r="C205" s="237" t="s">
        <v>4527</v>
      </c>
      <c r="D205" s="237" t="s">
        <v>21</v>
      </c>
      <c r="E205" s="237" t="s">
        <v>21</v>
      </c>
      <c r="F205" s="237" t="s">
        <v>21</v>
      </c>
      <c r="G205" s="237" t="s">
        <v>21</v>
      </c>
      <c r="H205" s="237" t="s">
        <v>4528</v>
      </c>
      <c r="I205" s="237" t="s">
        <v>4529</v>
      </c>
      <c r="J205" s="237" t="s">
        <v>4530</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4531</v>
      </c>
      <c r="B206" s="237" t="s">
        <v>4532</v>
      </c>
      <c r="C206" s="237" t="s">
        <v>4533</v>
      </c>
      <c r="D206" s="237" t="s">
        <v>21</v>
      </c>
      <c r="E206" s="237" t="s">
        <v>21</v>
      </c>
      <c r="F206" s="237" t="s">
        <v>21</v>
      </c>
      <c r="G206" s="237" t="s">
        <v>21</v>
      </c>
      <c r="H206" s="237" t="s">
        <v>4534</v>
      </c>
      <c r="I206" s="237" t="s">
        <v>21</v>
      </c>
      <c r="J206" s="237" t="s">
        <v>4535</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4536</v>
      </c>
      <c r="B207" s="237" t="s">
        <v>4537</v>
      </c>
      <c r="C207" s="237" t="s">
        <v>4533</v>
      </c>
      <c r="D207" s="237" t="s">
        <v>4538</v>
      </c>
      <c r="E207" s="237" t="s">
        <v>21</v>
      </c>
      <c r="F207" s="237" t="s">
        <v>21</v>
      </c>
      <c r="G207" s="237" t="s">
        <v>21</v>
      </c>
      <c r="H207" s="237" t="s">
        <v>4539</v>
      </c>
      <c r="I207" s="237" t="s">
        <v>21</v>
      </c>
      <c r="J207" s="237" t="s">
        <v>4540</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4541</v>
      </c>
      <c r="B208" s="237" t="s">
        <v>4542</v>
      </c>
      <c r="C208" s="237" t="s">
        <v>4543</v>
      </c>
      <c r="D208" s="237" t="s">
        <v>4538</v>
      </c>
      <c r="E208" s="237" t="s">
        <v>21</v>
      </c>
      <c r="F208" s="237" t="s">
        <v>4544</v>
      </c>
      <c r="G208" s="237" t="s">
        <v>4545</v>
      </c>
      <c r="H208" s="237" t="s">
        <v>4546</v>
      </c>
      <c r="I208" s="237" t="s">
        <v>4547</v>
      </c>
      <c r="J208" s="237" t="s">
        <v>4548</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4549</v>
      </c>
      <c r="B209" s="237" t="s">
        <v>4550</v>
      </c>
      <c r="C209" s="237" t="s">
        <v>4551</v>
      </c>
      <c r="D209" s="237" t="s">
        <v>4552</v>
      </c>
      <c r="E209" s="237" t="s">
        <v>21</v>
      </c>
      <c r="F209" s="237" t="s">
        <v>4544</v>
      </c>
      <c r="G209" s="237" t="s">
        <v>4553</v>
      </c>
      <c r="H209" s="237" t="s">
        <v>4554</v>
      </c>
      <c r="I209" s="237" t="s">
        <v>4547</v>
      </c>
      <c r="J209" s="237" t="s">
        <v>4555</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1026</v>
      </c>
      <c r="B210" s="236" t="s">
        <v>4556</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4557</v>
      </c>
      <c r="B211" s="237" t="s">
        <v>4558</v>
      </c>
      <c r="C211" s="237" t="s">
        <v>4559</v>
      </c>
      <c r="D211" s="237" t="s">
        <v>4560</v>
      </c>
      <c r="E211" s="237" t="s">
        <v>21</v>
      </c>
      <c r="F211" s="237" t="s">
        <v>21</v>
      </c>
      <c r="G211" s="237" t="s">
        <v>4561</v>
      </c>
      <c r="H211" s="237" t="s">
        <v>4562</v>
      </c>
      <c r="I211" s="237" t="s">
        <v>4563</v>
      </c>
      <c r="J211" s="237" t="s">
        <v>4564</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4565</v>
      </c>
      <c r="B212" s="237" t="s">
        <v>4566</v>
      </c>
      <c r="C212" s="237" t="s">
        <v>4567</v>
      </c>
      <c r="D212" s="237" t="s">
        <v>4568</v>
      </c>
      <c r="E212" s="237" t="s">
        <v>21</v>
      </c>
      <c r="F212" s="237" t="s">
        <v>4569</v>
      </c>
      <c r="G212" s="237" t="s">
        <v>21</v>
      </c>
      <c r="H212" s="237" t="s">
        <v>21</v>
      </c>
      <c r="I212" s="237" t="s">
        <v>21</v>
      </c>
      <c r="J212" s="237" t="s">
        <v>4570</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4571</v>
      </c>
      <c r="B213" s="237" t="s">
        <v>4572</v>
      </c>
      <c r="C213" s="237" t="s">
        <v>4573</v>
      </c>
      <c r="D213" s="237" t="s">
        <v>4574</v>
      </c>
      <c r="E213" s="237" t="s">
        <v>21</v>
      </c>
      <c r="F213" s="237" t="s">
        <v>4575</v>
      </c>
      <c r="G213" s="237" t="s">
        <v>21</v>
      </c>
      <c r="H213" s="237" t="s">
        <v>4576</v>
      </c>
      <c r="I213" s="237" t="s">
        <v>21</v>
      </c>
      <c r="J213" s="237" t="s">
        <v>4577</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4578</v>
      </c>
      <c r="B214" s="237" t="s">
        <v>4579</v>
      </c>
      <c r="C214" s="237" t="s">
        <v>4580</v>
      </c>
      <c r="D214" s="237" t="s">
        <v>4581</v>
      </c>
      <c r="E214" s="237" t="s">
        <v>21</v>
      </c>
      <c r="F214" s="237" t="s">
        <v>21</v>
      </c>
      <c r="G214" s="237" t="s">
        <v>21</v>
      </c>
      <c r="H214" s="237" t="s">
        <v>4582</v>
      </c>
      <c r="I214" s="237" t="s">
        <v>3917</v>
      </c>
      <c r="J214" s="237" t="s">
        <v>4583</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4584</v>
      </c>
      <c r="B215" s="237" t="s">
        <v>4585</v>
      </c>
      <c r="C215" s="237" t="s">
        <v>4586</v>
      </c>
      <c r="D215" s="237" t="s">
        <v>4587</v>
      </c>
      <c r="E215" s="237" t="s">
        <v>21</v>
      </c>
      <c r="F215" s="237" t="s">
        <v>21</v>
      </c>
      <c r="G215" s="237" t="s">
        <v>21</v>
      </c>
      <c r="H215" s="237" t="s">
        <v>4588</v>
      </c>
      <c r="I215" s="237" t="s">
        <v>21</v>
      </c>
      <c r="J215" s="237" t="s">
        <v>4589</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4590</v>
      </c>
      <c r="B216" s="235" t="s">
        <v>4591</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1040</v>
      </c>
      <c r="B217" s="236" t="s">
        <v>4592</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4593</v>
      </c>
      <c r="B218" s="237" t="s">
        <v>4594</v>
      </c>
      <c r="C218" s="237" t="s">
        <v>4595</v>
      </c>
      <c r="D218" s="237" t="s">
        <v>3689</v>
      </c>
      <c r="E218" s="237" t="s">
        <v>3475</v>
      </c>
      <c r="F218" s="237" t="s">
        <v>21</v>
      </c>
      <c r="G218" s="237" t="s">
        <v>21</v>
      </c>
      <c r="H218" s="237" t="s">
        <v>4596</v>
      </c>
      <c r="I218" s="237" t="s">
        <v>21</v>
      </c>
      <c r="J218" s="237" t="s">
        <v>4597</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4598</v>
      </c>
      <c r="B219" s="237" t="s">
        <v>4599</v>
      </c>
      <c r="C219" s="237" t="s">
        <v>3480</v>
      </c>
      <c r="D219" s="237" t="s">
        <v>3481</v>
      </c>
      <c r="E219" s="237" t="s">
        <v>21</v>
      </c>
      <c r="F219" s="237" t="s">
        <v>3483</v>
      </c>
      <c r="G219" s="237" t="s">
        <v>21</v>
      </c>
      <c r="H219" s="237" t="s">
        <v>4600</v>
      </c>
      <c r="I219" s="237" t="s">
        <v>21</v>
      </c>
      <c r="J219" s="237" t="s">
        <v>4601</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1044</v>
      </c>
      <c r="B220" s="236" t="s">
        <v>4602</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4603</v>
      </c>
      <c r="B221" s="237" t="s">
        <v>4604</v>
      </c>
      <c r="C221" s="237" t="s">
        <v>4605</v>
      </c>
      <c r="D221" s="237" t="s">
        <v>4606</v>
      </c>
      <c r="E221" s="237" t="s">
        <v>21</v>
      </c>
      <c r="F221" s="237" t="s">
        <v>21</v>
      </c>
      <c r="G221" s="237" t="s">
        <v>21</v>
      </c>
      <c r="H221" s="237" t="s">
        <v>4607</v>
      </c>
      <c r="I221" s="237" t="s">
        <v>21</v>
      </c>
      <c r="J221" s="237" t="s">
        <v>4608</v>
      </c>
      <c r="K221" s="240">
        <f>IF(COUNTIF(L221:AY221,"&lt;&gt;")=0,"",SUMPRODUCT(((Recommendations[ImplStatus]="Implemented")+(Recommendations[ImplStatus]="Compensated"))*ISNUMBER(MATCH(Recommendations[Id],L221:AY221,0)))/COUNTIF(L221:AY221,"&lt;&gt;"))</f>
        <v>0</v>
      </c>
      <c r="L221" s="243" t="s">
        <v>90</v>
      </c>
      <c r="M221" s="243" t="s">
        <v>95</v>
      </c>
      <c r="N221" s="243" t="s">
        <v>123</v>
      </c>
      <c r="O221" s="243" t="s">
        <v>178</v>
      </c>
      <c r="P221" s="243" t="s">
        <v>183</v>
      </c>
      <c r="Q221" s="243" t="s">
        <v>186</v>
      </c>
      <c r="R221" s="243" t="s">
        <v>189</v>
      </c>
      <c r="S221" s="243" t="s">
        <v>192</v>
      </c>
      <c r="T221" s="243" t="s">
        <v>225</v>
      </c>
      <c r="U221" s="243" t="s">
        <v>228</v>
      </c>
      <c r="V221" s="243" t="s">
        <v>231</v>
      </c>
      <c r="W221" s="243" t="s">
        <v>233</v>
      </c>
      <c r="X221" s="243" t="s">
        <v>235</v>
      </c>
      <c r="Y221" s="243" t="s">
        <v>237</v>
      </c>
      <c r="Z221" s="243" t="s">
        <v>241</v>
      </c>
      <c r="AA221" s="243" t="s">
        <v>246</v>
      </c>
      <c r="AB221" s="243" t="s">
        <v>260</v>
      </c>
      <c r="AC221" s="243" t="s">
        <v>280</v>
      </c>
      <c r="AD221" s="243" t="s">
        <v>397</v>
      </c>
      <c r="AE221" s="243" t="s">
        <v>402</v>
      </c>
      <c r="AF221" s="243"/>
      <c r="AG221" s="243"/>
      <c r="AH221" s="243"/>
      <c r="AI221" s="243"/>
      <c r="AJ221" s="243"/>
      <c r="AK221" s="243"/>
      <c r="AL221" s="243"/>
      <c r="AM221" s="243"/>
      <c r="AN221" s="243"/>
      <c r="AO221" s="243"/>
      <c r="AP221" s="243"/>
      <c r="AQ221" s="243"/>
      <c r="AR221" s="243"/>
      <c r="AS221" s="243"/>
      <c r="AT221" s="243"/>
      <c r="AU221" s="243"/>
      <c r="AV221" s="243"/>
      <c r="AW221" s="243"/>
      <c r="AX221" s="243"/>
      <c r="AY221" s="253"/>
    </row>
    <row r="222" spans="1:51" ht="60" customHeight="1" x14ac:dyDescent="0.35">
      <c r="A222" s="249" t="s">
        <v>4609</v>
      </c>
      <c r="B222" s="237" t="s">
        <v>4610</v>
      </c>
      <c r="C222" s="237" t="s">
        <v>4611</v>
      </c>
      <c r="D222" s="237" t="s">
        <v>4612</v>
      </c>
      <c r="E222" s="237" t="s">
        <v>21</v>
      </c>
      <c r="F222" s="237" t="s">
        <v>21</v>
      </c>
      <c r="G222" s="237" t="s">
        <v>21</v>
      </c>
      <c r="H222" s="237" t="s">
        <v>4613</v>
      </c>
      <c r="I222" s="237" t="s">
        <v>21</v>
      </c>
      <c r="J222" s="237" t="s">
        <v>4614</v>
      </c>
      <c r="K222" s="240" t="str">
        <f>IF(COUNTIF(L222:AY222,"&lt;&gt;")=0,"",SUMPRODUCT(((Recommendations[ImplStatus]="Implemented")+(Recommendations[ImplStatus]="Compensated"))*ISNUMBER(MATCH(Recommendations[Id],L222:AY222,0)))/COUNTIF(L222:AY222,"&lt;&gt;"))</f>
        <v/>
      </c>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4615</v>
      </c>
      <c r="B223" s="237" t="s">
        <v>4616</v>
      </c>
      <c r="C223" s="237" t="s">
        <v>4617</v>
      </c>
      <c r="D223" s="237" t="s">
        <v>21</v>
      </c>
      <c r="E223" s="237" t="s">
        <v>4618</v>
      </c>
      <c r="F223" s="237" t="s">
        <v>21</v>
      </c>
      <c r="G223" s="237" t="s">
        <v>21</v>
      </c>
      <c r="H223" s="237" t="s">
        <v>4619</v>
      </c>
      <c r="I223" s="237" t="s">
        <v>21</v>
      </c>
      <c r="J223" s="237" t="s">
        <v>4620</v>
      </c>
      <c r="K223" s="240" t="str">
        <f>IF(COUNTIF(L223:AY223,"&lt;&gt;")=0,"",SUMPRODUCT(((Recommendations[ImplStatus]="Implemented")+(Recommendations[ImplStatus]="Compensated"))*ISNUMBER(MATCH(Recommendations[Id],L223:AY223,0)))/COUNTIF(L223:AY223,"&lt;&gt;"))</f>
        <v/>
      </c>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4621</v>
      </c>
      <c r="B224" s="237" t="s">
        <v>4622</v>
      </c>
      <c r="C224" s="237" t="s">
        <v>4623</v>
      </c>
      <c r="D224" s="237" t="s">
        <v>21</v>
      </c>
      <c r="E224" s="237" t="s">
        <v>21</v>
      </c>
      <c r="F224" s="237" t="s">
        <v>21</v>
      </c>
      <c r="G224" s="237" t="s">
        <v>21</v>
      </c>
      <c r="H224" s="237" t="s">
        <v>4624</v>
      </c>
      <c r="I224" s="237" t="s">
        <v>21</v>
      </c>
      <c r="J224" s="237" t="s">
        <v>4625</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4626</v>
      </c>
      <c r="B225" s="237" t="s">
        <v>4627</v>
      </c>
      <c r="C225" s="237" t="s">
        <v>4628</v>
      </c>
      <c r="D225" s="237" t="s">
        <v>21</v>
      </c>
      <c r="E225" s="237" t="s">
        <v>21</v>
      </c>
      <c r="F225" s="237" t="s">
        <v>21</v>
      </c>
      <c r="G225" s="237" t="s">
        <v>21</v>
      </c>
      <c r="H225" s="237" t="s">
        <v>4629</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4630</v>
      </c>
      <c r="B226" s="237" t="s">
        <v>4631</v>
      </c>
      <c r="C226" s="237" t="s">
        <v>4632</v>
      </c>
      <c r="D226" s="237" t="s">
        <v>21</v>
      </c>
      <c r="E226" s="237" t="s">
        <v>21</v>
      </c>
      <c r="F226" s="237" t="s">
        <v>21</v>
      </c>
      <c r="G226" s="237" t="s">
        <v>21</v>
      </c>
      <c r="H226" s="237" t="s">
        <v>4633</v>
      </c>
      <c r="I226" s="237" t="s">
        <v>21</v>
      </c>
      <c r="J226" s="237" t="s">
        <v>4634</v>
      </c>
      <c r="K226" s="240" t="str">
        <f>IF(COUNTIF(L226:AY226,"&lt;&gt;")=0,"",SUMPRODUCT(((Recommendations[ImplStatus]="Implemented")+(Recommendations[ImplStatus]="Compensated"))*ISNUMBER(MATCH(Recommendations[Id],L226:AY226,0)))/COUNTIF(L226:AY226,"&lt;&gt;"))</f>
        <v/>
      </c>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4635</v>
      </c>
      <c r="B227" s="237" t="s">
        <v>4636</v>
      </c>
      <c r="C227" s="237" t="s">
        <v>4637</v>
      </c>
      <c r="D227" s="237" t="s">
        <v>21</v>
      </c>
      <c r="E227" s="237" t="s">
        <v>21</v>
      </c>
      <c r="F227" s="237" t="s">
        <v>21</v>
      </c>
      <c r="G227" s="237" t="s">
        <v>21</v>
      </c>
      <c r="H227" s="237" t="s">
        <v>4638</v>
      </c>
      <c r="I227" s="237" t="s">
        <v>21</v>
      </c>
      <c r="J227" s="237" t="s">
        <v>4639</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4640</v>
      </c>
      <c r="B228" s="237" t="s">
        <v>4641</v>
      </c>
      <c r="C228" s="237" t="s">
        <v>4642</v>
      </c>
      <c r="D228" s="237" t="s">
        <v>21</v>
      </c>
      <c r="E228" s="237" t="s">
        <v>21</v>
      </c>
      <c r="F228" s="237" t="s">
        <v>21</v>
      </c>
      <c r="G228" s="237" t="s">
        <v>21</v>
      </c>
      <c r="H228" s="237" t="s">
        <v>4643</v>
      </c>
      <c r="I228" s="237" t="s">
        <v>21</v>
      </c>
      <c r="J228" s="237" t="s">
        <v>4644</v>
      </c>
      <c r="K228" s="240" t="str">
        <f>IF(COUNTIF(L228:AY228,"&lt;&gt;")=0,"",SUMPRODUCT(((Recommendations[ImplStatus]="Implemented")+(Recommendations[ImplStatus]="Compensated"))*ISNUMBER(MATCH(Recommendations[Id],L228:AY228,0)))/COUNTIF(L228:AY228,"&lt;&gt;"))</f>
        <v/>
      </c>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4645</v>
      </c>
      <c r="B229" s="237" t="s">
        <v>4646</v>
      </c>
      <c r="C229" s="237" t="s">
        <v>4647</v>
      </c>
      <c r="D229" s="237" t="s">
        <v>21</v>
      </c>
      <c r="E229" s="237" t="s">
        <v>21</v>
      </c>
      <c r="F229" s="237" t="s">
        <v>21</v>
      </c>
      <c r="G229" s="237" t="s">
        <v>21</v>
      </c>
      <c r="H229" s="237" t="s">
        <v>4648</v>
      </c>
      <c r="I229" s="237" t="s">
        <v>21</v>
      </c>
      <c r="J229" s="237" t="s">
        <v>4649</v>
      </c>
      <c r="K229" s="240" t="str">
        <f>IF(COUNTIF(L229:AY229,"&lt;&gt;")=0,"",SUMPRODUCT(((Recommendations[ImplStatus]="Implemented")+(Recommendations[ImplStatus]="Compensated"))*ISNUMBER(MATCH(Recommendations[Id],L229:AY229,0)))/COUNTIF(L229:AY229,"&lt;&gt;"))</f>
        <v/>
      </c>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53"/>
    </row>
    <row r="230" spans="1:51" ht="60" customHeight="1" outlineLevel="1" x14ac:dyDescent="0.35">
      <c r="A230" s="248" t="s">
        <v>1048</v>
      </c>
      <c r="B230" s="236" t="s">
        <v>4650</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4651</v>
      </c>
      <c r="B231" s="237" t="s">
        <v>4652</v>
      </c>
      <c r="C231" s="237" t="s">
        <v>4653</v>
      </c>
      <c r="D231" s="237" t="s">
        <v>4654</v>
      </c>
      <c r="E231" s="237" t="s">
        <v>21</v>
      </c>
      <c r="F231" s="237" t="s">
        <v>21</v>
      </c>
      <c r="G231" s="237" t="s">
        <v>21</v>
      </c>
      <c r="H231" s="237" t="s">
        <v>4655</v>
      </c>
      <c r="I231" s="237" t="s">
        <v>21</v>
      </c>
      <c r="J231" s="237" t="s">
        <v>4656</v>
      </c>
      <c r="K231" s="240">
        <f>IF(COUNTIF(L231:AY231,"&lt;&gt;")=0,"",SUMPRODUCT(((Recommendations[ImplStatus]="Implemented")+(Recommendations[ImplStatus]="Compensated"))*ISNUMBER(MATCH(Recommendations[Id],L231:AY231,0)))/COUNTIF(L231:AY231,"&lt;&gt;"))</f>
        <v>0</v>
      </c>
      <c r="L231" s="243" t="s">
        <v>90</v>
      </c>
      <c r="M231" s="243" t="s">
        <v>95</v>
      </c>
      <c r="N231" s="243" t="s">
        <v>123</v>
      </c>
      <c r="O231" s="243" t="s">
        <v>225</v>
      </c>
      <c r="P231" s="243" t="s">
        <v>228</v>
      </c>
      <c r="Q231" s="243" t="s">
        <v>231</v>
      </c>
      <c r="R231" s="243" t="s">
        <v>235</v>
      </c>
      <c r="S231" s="243" t="s">
        <v>237</v>
      </c>
      <c r="T231" s="243" t="s">
        <v>241</v>
      </c>
      <c r="U231" s="243" t="s">
        <v>246</v>
      </c>
      <c r="V231" s="243" t="s">
        <v>280</v>
      </c>
      <c r="W231" s="243" t="s">
        <v>402</v>
      </c>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4657</v>
      </c>
      <c r="B232" s="237" t="s">
        <v>4658</v>
      </c>
      <c r="C232" s="237" t="s">
        <v>4659</v>
      </c>
      <c r="D232" s="237" t="s">
        <v>4660</v>
      </c>
      <c r="E232" s="237" t="s">
        <v>21</v>
      </c>
      <c r="F232" s="237" t="s">
        <v>21</v>
      </c>
      <c r="G232" s="237" t="s">
        <v>21</v>
      </c>
      <c r="H232" s="237" t="s">
        <v>4661</v>
      </c>
      <c r="I232" s="237" t="s">
        <v>21</v>
      </c>
      <c r="J232" s="237" t="s">
        <v>4662</v>
      </c>
      <c r="K232" s="240">
        <f>IF(COUNTIF(L232:AY232,"&lt;&gt;")=0,"",SUMPRODUCT(((Recommendations[ImplStatus]="Implemented")+(Recommendations[ImplStatus]="Compensated"))*ISNUMBER(MATCH(Recommendations[Id],L232:AY232,0)))/COUNTIF(L232:AY232,"&lt;&gt;"))</f>
        <v>0</v>
      </c>
      <c r="L232" s="243" t="s">
        <v>110</v>
      </c>
      <c r="M232" s="243" t="s">
        <v>113</v>
      </c>
      <c r="N232" s="243" t="s">
        <v>392</v>
      </c>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4663</v>
      </c>
      <c r="B233" s="237" t="s">
        <v>4664</v>
      </c>
      <c r="C233" s="237" t="s">
        <v>4665</v>
      </c>
      <c r="D233" s="237" t="s">
        <v>4666</v>
      </c>
      <c r="E233" s="237" t="s">
        <v>21</v>
      </c>
      <c r="F233" s="237" t="s">
        <v>21</v>
      </c>
      <c r="G233" s="237" t="s">
        <v>21</v>
      </c>
      <c r="H233" s="237" t="s">
        <v>4667</v>
      </c>
      <c r="I233" s="237" t="s">
        <v>21</v>
      </c>
      <c r="J233" s="237" t="s">
        <v>4668</v>
      </c>
      <c r="K233" s="240">
        <f>IF(COUNTIF(L233:AY233,"&lt;&gt;")=0,"",SUMPRODUCT(((Recommendations[ImplStatus]="Implemented")+(Recommendations[ImplStatus]="Compensated"))*ISNUMBER(MATCH(Recommendations[Id],L233:AY233,0)))/COUNTIF(L233:AY233,"&lt;&gt;"))</f>
        <v>0</v>
      </c>
      <c r="L233" s="243" t="s">
        <v>110</v>
      </c>
      <c r="M233" s="243" t="s">
        <v>113</v>
      </c>
      <c r="N233" s="243" t="s">
        <v>392</v>
      </c>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4669</v>
      </c>
      <c r="B234" s="237" t="s">
        <v>4670</v>
      </c>
      <c r="C234" s="237" t="s">
        <v>4671</v>
      </c>
      <c r="D234" s="237" t="s">
        <v>4672</v>
      </c>
      <c r="E234" s="237" t="s">
        <v>21</v>
      </c>
      <c r="F234" s="237" t="s">
        <v>21</v>
      </c>
      <c r="G234" s="237" t="s">
        <v>21</v>
      </c>
      <c r="H234" s="237" t="s">
        <v>4673</v>
      </c>
      <c r="I234" s="237" t="s">
        <v>21</v>
      </c>
      <c r="J234" s="237" t="s">
        <v>4674</v>
      </c>
      <c r="K234" s="240" t="str">
        <f>IF(COUNTIF(L234:AY234,"&lt;&gt;")=0,"",SUMPRODUCT(((Recommendations[ImplStatus]="Implemented")+(Recommendations[ImplStatus]="Compensated"))*ISNUMBER(MATCH(Recommendations[Id],L234:AY234,0)))/COUNTIF(L234:AY234,"&lt;&gt;"))</f>
        <v/>
      </c>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1052</v>
      </c>
      <c r="B235" s="236" t="s">
        <v>4675</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4676</v>
      </c>
      <c r="B236" s="237" t="s">
        <v>4677</v>
      </c>
      <c r="C236" s="237" t="s">
        <v>4678</v>
      </c>
      <c r="D236" s="237" t="s">
        <v>4679</v>
      </c>
      <c r="E236" s="237" t="s">
        <v>21</v>
      </c>
      <c r="F236" s="237" t="s">
        <v>21</v>
      </c>
      <c r="G236" s="237" t="s">
        <v>21</v>
      </c>
      <c r="H236" s="237" t="s">
        <v>4680</v>
      </c>
      <c r="I236" s="237" t="s">
        <v>21</v>
      </c>
      <c r="J236" s="237" t="s">
        <v>4681</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4682</v>
      </c>
      <c r="B237" s="237" t="s">
        <v>4683</v>
      </c>
      <c r="C237" s="237" t="s">
        <v>4684</v>
      </c>
      <c r="D237" s="237" t="s">
        <v>4685</v>
      </c>
      <c r="E237" s="237" t="s">
        <v>21</v>
      </c>
      <c r="F237" s="237" t="s">
        <v>21</v>
      </c>
      <c r="G237" s="237" t="s">
        <v>4686</v>
      </c>
      <c r="H237" s="237" t="s">
        <v>4687</v>
      </c>
      <c r="I237" s="237" t="s">
        <v>3917</v>
      </c>
      <c r="J237" s="237" t="s">
        <v>4688</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4689</v>
      </c>
      <c r="B238" s="237" t="s">
        <v>4690</v>
      </c>
      <c r="C238" s="237" t="s">
        <v>4691</v>
      </c>
      <c r="D238" s="237" t="s">
        <v>21</v>
      </c>
      <c r="E238" s="237" t="s">
        <v>21</v>
      </c>
      <c r="F238" s="237" t="s">
        <v>21</v>
      </c>
      <c r="G238" s="237" t="s">
        <v>21</v>
      </c>
      <c r="H238" s="237" t="s">
        <v>4692</v>
      </c>
      <c r="I238" s="237" t="s">
        <v>4693</v>
      </c>
      <c r="J238" s="237" t="s">
        <v>4694</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4695</v>
      </c>
      <c r="B239" s="237" t="s">
        <v>4696</v>
      </c>
      <c r="C239" s="237" t="s">
        <v>4697</v>
      </c>
      <c r="D239" s="237" t="s">
        <v>21</v>
      </c>
      <c r="E239" s="237" t="s">
        <v>21</v>
      </c>
      <c r="F239" s="237" t="s">
        <v>21</v>
      </c>
      <c r="G239" s="237" t="s">
        <v>21</v>
      </c>
      <c r="H239" s="237" t="s">
        <v>4698</v>
      </c>
      <c r="I239" s="237" t="s">
        <v>3917</v>
      </c>
      <c r="J239" s="237" t="s">
        <v>4699</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4700</v>
      </c>
      <c r="B240" s="237" t="s">
        <v>4701</v>
      </c>
      <c r="C240" s="237" t="s">
        <v>4702</v>
      </c>
      <c r="D240" s="237" t="s">
        <v>4703</v>
      </c>
      <c r="E240" s="237" t="s">
        <v>21</v>
      </c>
      <c r="F240" s="237" t="s">
        <v>21</v>
      </c>
      <c r="G240" s="237" t="s">
        <v>21</v>
      </c>
      <c r="H240" s="237" t="s">
        <v>4704</v>
      </c>
      <c r="I240" s="237" t="s">
        <v>21</v>
      </c>
      <c r="J240" s="237" t="s">
        <v>4705</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1056</v>
      </c>
      <c r="B241" s="236" t="s">
        <v>4706</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4707</v>
      </c>
      <c r="B242" s="237" t="s">
        <v>4708</v>
      </c>
      <c r="C242" s="237" t="s">
        <v>4709</v>
      </c>
      <c r="D242" s="237" t="s">
        <v>21</v>
      </c>
      <c r="E242" s="237" t="s">
        <v>21</v>
      </c>
      <c r="F242" s="237" t="s">
        <v>4710</v>
      </c>
      <c r="G242" s="237" t="s">
        <v>21</v>
      </c>
      <c r="H242" s="237" t="s">
        <v>4711</v>
      </c>
      <c r="I242" s="237" t="s">
        <v>21</v>
      </c>
      <c r="J242" s="237" t="s">
        <v>4712</v>
      </c>
      <c r="K242" s="240" t="str">
        <f>IF(COUNTIF(L242:AY242,"&lt;&gt;")=0,"",SUMPRODUCT(((Recommendations[ImplStatus]="Implemented")+(Recommendations[ImplStatus]="Compensated"))*ISNUMBER(MATCH(Recommendations[Id],L242:AY242,0)))/COUNTIF(L242:AY242,"&lt;&gt;"))</f>
        <v/>
      </c>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1060</v>
      </c>
      <c r="B243" s="236" t="s">
        <v>4713</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4714</v>
      </c>
      <c r="B244" s="237" t="s">
        <v>4715</v>
      </c>
      <c r="C244" s="237" t="s">
        <v>4716</v>
      </c>
      <c r="D244" s="237" t="s">
        <v>21</v>
      </c>
      <c r="E244" s="237" t="s">
        <v>21</v>
      </c>
      <c r="F244" s="237" t="s">
        <v>4717</v>
      </c>
      <c r="G244" s="237" t="s">
        <v>21</v>
      </c>
      <c r="H244" s="237" t="s">
        <v>4718</v>
      </c>
      <c r="I244" s="237" t="s">
        <v>4719</v>
      </c>
      <c r="J244" s="237" t="s">
        <v>4720</v>
      </c>
      <c r="K244" s="240">
        <f>IF(COUNTIF(L244:AY244,"&lt;&gt;")=0,"",SUMPRODUCT(((Recommendations[ImplStatus]="Implemented")+(Recommendations[ImplStatus]="Compensated"))*ISNUMBER(MATCH(Recommendations[Id],L244:AY244,0)))/COUNTIF(L244:AY244,"&lt;&gt;"))</f>
        <v>0</v>
      </c>
      <c r="L244" s="243" t="s">
        <v>255</v>
      </c>
      <c r="M244" s="243" t="s">
        <v>260</v>
      </c>
      <c r="N244" s="243" t="s">
        <v>315</v>
      </c>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4721</v>
      </c>
      <c r="B245" s="237" t="s">
        <v>4722</v>
      </c>
      <c r="C245" s="237" t="s">
        <v>4723</v>
      </c>
      <c r="D245" s="237" t="s">
        <v>4724</v>
      </c>
      <c r="E245" s="237" t="s">
        <v>21</v>
      </c>
      <c r="F245" s="237" t="s">
        <v>21</v>
      </c>
      <c r="G245" s="237" t="s">
        <v>21</v>
      </c>
      <c r="H245" s="237" t="s">
        <v>4725</v>
      </c>
      <c r="I245" s="237" t="s">
        <v>21</v>
      </c>
      <c r="J245" s="237" t="s">
        <v>4726</v>
      </c>
      <c r="K245" s="240" t="str">
        <f>IF(COUNTIF(L245:AY245,"&lt;&gt;")=0,"",SUMPRODUCT(((Recommendations[ImplStatus]="Implemented")+(Recommendations[ImplStatus]="Compensated"))*ISNUMBER(MATCH(Recommendations[Id],L245:AY245,0)))/COUNTIF(L245:AY245,"&lt;&gt;"))</f>
        <v/>
      </c>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4727</v>
      </c>
      <c r="B246" s="237" t="s">
        <v>4728</v>
      </c>
      <c r="C246" s="237" t="s">
        <v>4729</v>
      </c>
      <c r="D246" s="237" t="s">
        <v>21</v>
      </c>
      <c r="E246" s="237" t="s">
        <v>21</v>
      </c>
      <c r="F246" s="237" t="s">
        <v>21</v>
      </c>
      <c r="G246" s="237" t="s">
        <v>21</v>
      </c>
      <c r="H246" s="237" t="s">
        <v>4730</v>
      </c>
      <c r="I246" s="237" t="s">
        <v>21</v>
      </c>
      <c r="J246" s="237" t="s">
        <v>4731</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1064</v>
      </c>
      <c r="B247" s="236" t="s">
        <v>4732</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4733</v>
      </c>
      <c r="B248" s="237" t="s">
        <v>4734</v>
      </c>
      <c r="C248" s="237" t="s">
        <v>4735</v>
      </c>
      <c r="D248" s="237" t="s">
        <v>4736</v>
      </c>
      <c r="E248" s="237" t="s">
        <v>21</v>
      </c>
      <c r="F248" s="237" t="s">
        <v>21</v>
      </c>
      <c r="G248" s="237" t="s">
        <v>21</v>
      </c>
      <c r="H248" s="237" t="s">
        <v>4737</v>
      </c>
      <c r="I248" s="237" t="s">
        <v>4738</v>
      </c>
      <c r="J248" s="237" t="s">
        <v>4739</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4740</v>
      </c>
      <c r="B249" s="237" t="s">
        <v>4741</v>
      </c>
      <c r="C249" s="237" t="s">
        <v>4735</v>
      </c>
      <c r="D249" s="237" t="s">
        <v>4742</v>
      </c>
      <c r="E249" s="237" t="s">
        <v>21</v>
      </c>
      <c r="F249" s="237" t="s">
        <v>21</v>
      </c>
      <c r="G249" s="237" t="s">
        <v>21</v>
      </c>
      <c r="H249" s="237" t="s">
        <v>4737</v>
      </c>
      <c r="I249" s="237" t="s">
        <v>4743</v>
      </c>
      <c r="J249" s="237" t="s">
        <v>4744</v>
      </c>
      <c r="K249" s="240" t="str">
        <f>IF(COUNTIF(L249:AY249,"&lt;&gt;")=0,"",SUMPRODUCT(((Recommendations[ImplStatus]="Implemented")+(Recommendations[ImplStatus]="Compensated"))*ISNUMBER(MATCH(Recommendations[Id],L249:AY249,0)))/COUNTIF(L249:AY249,"&lt;&gt;"))</f>
        <v/>
      </c>
      <c r="L249" s="243"/>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4745</v>
      </c>
      <c r="B250" s="237" t="s">
        <v>4746</v>
      </c>
      <c r="C250" s="237" t="s">
        <v>4747</v>
      </c>
      <c r="D250" s="237" t="s">
        <v>4748</v>
      </c>
      <c r="E250" s="237" t="s">
        <v>21</v>
      </c>
      <c r="F250" s="237" t="s">
        <v>21</v>
      </c>
      <c r="G250" s="237" t="s">
        <v>21</v>
      </c>
      <c r="H250" s="237" t="s">
        <v>4749</v>
      </c>
      <c r="I250" s="237" t="s">
        <v>21</v>
      </c>
      <c r="J250" s="237" t="s">
        <v>4750</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4751</v>
      </c>
      <c r="B251" s="235" t="s">
        <v>4752</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1070</v>
      </c>
      <c r="B252" s="236" t="s">
        <v>4753</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4754</v>
      </c>
      <c r="B253" s="237" t="s">
        <v>4755</v>
      </c>
      <c r="C253" s="237" t="s">
        <v>4756</v>
      </c>
      <c r="D253" s="237" t="s">
        <v>3689</v>
      </c>
      <c r="E253" s="237" t="s">
        <v>3475</v>
      </c>
      <c r="F253" s="237" t="s">
        <v>21</v>
      </c>
      <c r="G253" s="237" t="s">
        <v>21</v>
      </c>
      <c r="H253" s="237" t="s">
        <v>4757</v>
      </c>
      <c r="I253" s="237" t="s">
        <v>21</v>
      </c>
      <c r="J253" s="237" t="s">
        <v>4758</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4759</v>
      </c>
      <c r="B254" s="237" t="s">
        <v>4760</v>
      </c>
      <c r="C254" s="237" t="s">
        <v>3480</v>
      </c>
      <c r="D254" s="237" t="s">
        <v>3481</v>
      </c>
      <c r="E254" s="237" t="s">
        <v>21</v>
      </c>
      <c r="F254" s="237" t="s">
        <v>3483</v>
      </c>
      <c r="G254" s="237" t="s">
        <v>21</v>
      </c>
      <c r="H254" s="237" t="s">
        <v>4761</v>
      </c>
      <c r="I254" s="237" t="s">
        <v>21</v>
      </c>
      <c r="J254" s="237" t="s">
        <v>4762</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1074</v>
      </c>
      <c r="B255" s="236" t="s">
        <v>4763</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4764</v>
      </c>
      <c r="B256" s="237" t="s">
        <v>4765</v>
      </c>
      <c r="C256" s="237" t="s">
        <v>4766</v>
      </c>
      <c r="D256" s="237" t="s">
        <v>4767</v>
      </c>
      <c r="E256" s="237" t="s">
        <v>4768</v>
      </c>
      <c r="F256" s="237" t="s">
        <v>4769</v>
      </c>
      <c r="G256" s="237" t="s">
        <v>21</v>
      </c>
      <c r="H256" s="237" t="s">
        <v>4770</v>
      </c>
      <c r="I256" s="237" t="s">
        <v>21</v>
      </c>
      <c r="J256" s="237" t="s">
        <v>4771</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4772</v>
      </c>
      <c r="B257" s="237" t="s">
        <v>4773</v>
      </c>
      <c r="C257" s="237" t="s">
        <v>4774</v>
      </c>
      <c r="D257" s="237" t="s">
        <v>4775</v>
      </c>
      <c r="E257" s="237" t="s">
        <v>21</v>
      </c>
      <c r="F257" s="237" t="s">
        <v>21</v>
      </c>
      <c r="G257" s="237" t="s">
        <v>21</v>
      </c>
      <c r="H257" s="237" t="s">
        <v>4776</v>
      </c>
      <c r="I257" s="237" t="s">
        <v>21</v>
      </c>
      <c r="J257" s="237" t="s">
        <v>4777</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1079</v>
      </c>
      <c r="B258" s="236" t="s">
        <v>4778</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4779</v>
      </c>
      <c r="B259" s="237" t="s">
        <v>4780</v>
      </c>
      <c r="C259" s="237" t="s">
        <v>4781</v>
      </c>
      <c r="D259" s="237" t="s">
        <v>4782</v>
      </c>
      <c r="E259" s="237" t="s">
        <v>4783</v>
      </c>
      <c r="F259" s="237" t="s">
        <v>21</v>
      </c>
      <c r="G259" s="237" t="s">
        <v>21</v>
      </c>
      <c r="H259" s="237" t="s">
        <v>4784</v>
      </c>
      <c r="I259" s="237" t="s">
        <v>21</v>
      </c>
      <c r="J259" s="237" t="s">
        <v>4785</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4786</v>
      </c>
      <c r="B260" s="237" t="s">
        <v>4787</v>
      </c>
      <c r="C260" s="237" t="s">
        <v>4788</v>
      </c>
      <c r="D260" s="237" t="s">
        <v>21</v>
      </c>
      <c r="E260" s="237" t="s">
        <v>21</v>
      </c>
      <c r="F260" s="237" t="s">
        <v>21</v>
      </c>
      <c r="G260" s="237" t="s">
        <v>21</v>
      </c>
      <c r="H260" s="237" t="s">
        <v>4789</v>
      </c>
      <c r="I260" s="237" t="s">
        <v>4790</v>
      </c>
      <c r="J260" s="237" t="s">
        <v>4791</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4792</v>
      </c>
      <c r="B261" s="237" t="s">
        <v>4793</v>
      </c>
      <c r="C261" s="237" t="s">
        <v>4794</v>
      </c>
      <c r="D261" s="237" t="s">
        <v>4795</v>
      </c>
      <c r="E261" s="237" t="s">
        <v>21</v>
      </c>
      <c r="F261" s="237" t="s">
        <v>21</v>
      </c>
      <c r="G261" s="237" t="s">
        <v>21</v>
      </c>
      <c r="H261" s="237" t="s">
        <v>4796</v>
      </c>
      <c r="I261" s="237" t="s">
        <v>4797</v>
      </c>
      <c r="J261" s="237" t="s">
        <v>4798</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4799</v>
      </c>
      <c r="B262" s="237" t="s">
        <v>4800</v>
      </c>
      <c r="C262" s="237" t="s">
        <v>4801</v>
      </c>
      <c r="D262" s="237" t="s">
        <v>4802</v>
      </c>
      <c r="E262" s="237" t="s">
        <v>21</v>
      </c>
      <c r="F262" s="237" t="s">
        <v>21</v>
      </c>
      <c r="G262" s="237" t="s">
        <v>21</v>
      </c>
      <c r="H262" s="237" t="s">
        <v>4803</v>
      </c>
      <c r="I262" s="237" t="s">
        <v>4804</v>
      </c>
      <c r="J262" s="237" t="s">
        <v>4805</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4806</v>
      </c>
      <c r="B263" s="237" t="s">
        <v>4807</v>
      </c>
      <c r="C263" s="237" t="s">
        <v>4808</v>
      </c>
      <c r="D263" s="237" t="s">
        <v>4809</v>
      </c>
      <c r="E263" s="237" t="s">
        <v>21</v>
      </c>
      <c r="F263" s="237" t="s">
        <v>21</v>
      </c>
      <c r="G263" s="237" t="s">
        <v>4810</v>
      </c>
      <c r="H263" s="237" t="s">
        <v>3713</v>
      </c>
      <c r="I263" s="237" t="s">
        <v>4811</v>
      </c>
      <c r="J263" s="237" t="s">
        <v>4812</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4813</v>
      </c>
      <c r="B264" s="237" t="s">
        <v>4814</v>
      </c>
      <c r="C264" s="237" t="s">
        <v>4801</v>
      </c>
      <c r="D264" s="237" t="s">
        <v>4815</v>
      </c>
      <c r="E264" s="237" t="s">
        <v>21</v>
      </c>
      <c r="F264" s="237" t="s">
        <v>21</v>
      </c>
      <c r="G264" s="237" t="s">
        <v>21</v>
      </c>
      <c r="H264" s="237" t="s">
        <v>4816</v>
      </c>
      <c r="I264" s="237" t="s">
        <v>21</v>
      </c>
      <c r="J264" s="237" t="s">
        <v>4817</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1083</v>
      </c>
      <c r="B265" s="236" t="s">
        <v>4818</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4819</v>
      </c>
      <c r="B266" s="237" t="s">
        <v>4820</v>
      </c>
      <c r="C266" s="237" t="s">
        <v>4821</v>
      </c>
      <c r="D266" s="237" t="s">
        <v>4822</v>
      </c>
      <c r="E266" s="237" t="s">
        <v>4823</v>
      </c>
      <c r="F266" s="237" t="s">
        <v>21</v>
      </c>
      <c r="G266" s="237" t="s">
        <v>4824</v>
      </c>
      <c r="H266" s="237" t="s">
        <v>4825</v>
      </c>
      <c r="I266" s="237" t="s">
        <v>4826</v>
      </c>
      <c r="J266" s="237" t="s">
        <v>4827</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4828</v>
      </c>
      <c r="B267" s="237" t="s">
        <v>4829</v>
      </c>
      <c r="C267" s="237" t="s">
        <v>4830</v>
      </c>
      <c r="D267" s="237" t="s">
        <v>4831</v>
      </c>
      <c r="E267" s="237" t="s">
        <v>21</v>
      </c>
      <c r="F267" s="237" t="s">
        <v>21</v>
      </c>
      <c r="G267" s="237" t="s">
        <v>21</v>
      </c>
      <c r="H267" s="237" t="s">
        <v>4832</v>
      </c>
      <c r="I267" s="237" t="s">
        <v>21</v>
      </c>
      <c r="J267" s="237" t="s">
        <v>4833</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4834</v>
      </c>
      <c r="B268" s="237" t="s">
        <v>4835</v>
      </c>
      <c r="C268" s="237" t="s">
        <v>4836</v>
      </c>
      <c r="D268" s="237" t="s">
        <v>4831</v>
      </c>
      <c r="E268" s="237" t="s">
        <v>21</v>
      </c>
      <c r="F268" s="237" t="s">
        <v>21</v>
      </c>
      <c r="G268" s="237" t="s">
        <v>4837</v>
      </c>
      <c r="H268" s="237" t="s">
        <v>4838</v>
      </c>
      <c r="I268" s="237" t="s">
        <v>21</v>
      </c>
      <c r="J268" s="237" t="s">
        <v>4839</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4840</v>
      </c>
      <c r="B269" s="237" t="s">
        <v>4841</v>
      </c>
      <c r="C269" s="237" t="s">
        <v>4836</v>
      </c>
      <c r="D269" s="237" t="s">
        <v>4842</v>
      </c>
      <c r="E269" s="237" t="s">
        <v>21</v>
      </c>
      <c r="F269" s="237" t="s">
        <v>21</v>
      </c>
      <c r="G269" s="237" t="s">
        <v>21</v>
      </c>
      <c r="H269" s="237" t="s">
        <v>4843</v>
      </c>
      <c r="I269" s="237" t="s">
        <v>21</v>
      </c>
      <c r="J269" s="237" t="s">
        <v>4844</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4845</v>
      </c>
      <c r="B270" s="237" t="s">
        <v>4846</v>
      </c>
      <c r="C270" s="237" t="s">
        <v>4847</v>
      </c>
      <c r="D270" s="237" t="s">
        <v>4848</v>
      </c>
      <c r="E270" s="237" t="s">
        <v>21</v>
      </c>
      <c r="F270" s="237" t="s">
        <v>21</v>
      </c>
      <c r="G270" s="237" t="s">
        <v>21</v>
      </c>
      <c r="H270" s="237" t="s">
        <v>4849</v>
      </c>
      <c r="I270" s="237" t="s">
        <v>21</v>
      </c>
      <c r="J270" s="237" t="s">
        <v>4850</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4851</v>
      </c>
      <c r="B271" s="237" t="s">
        <v>4852</v>
      </c>
      <c r="C271" s="237" t="s">
        <v>4853</v>
      </c>
      <c r="D271" s="237" t="s">
        <v>4854</v>
      </c>
      <c r="E271" s="237" t="s">
        <v>21</v>
      </c>
      <c r="F271" s="237" t="s">
        <v>21</v>
      </c>
      <c r="G271" s="237" t="s">
        <v>21</v>
      </c>
      <c r="H271" s="237" t="s">
        <v>4855</v>
      </c>
      <c r="I271" s="237" t="s">
        <v>4856</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4857</v>
      </c>
      <c r="B272" s="237" t="s">
        <v>4858</v>
      </c>
      <c r="C272" s="237" t="s">
        <v>4859</v>
      </c>
      <c r="D272" s="237" t="s">
        <v>4860</v>
      </c>
      <c r="E272" s="237" t="s">
        <v>21</v>
      </c>
      <c r="F272" s="237" t="s">
        <v>21</v>
      </c>
      <c r="G272" s="237" t="s">
        <v>21</v>
      </c>
      <c r="H272" s="237" t="s">
        <v>4861</v>
      </c>
      <c r="I272" s="237" t="s">
        <v>4862</v>
      </c>
      <c r="J272" s="237" t="s">
        <v>4863</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1087</v>
      </c>
      <c r="B273" s="236" t="s">
        <v>4864</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4865</v>
      </c>
      <c r="B274" s="237" t="s">
        <v>4866</v>
      </c>
      <c r="C274" s="237" t="s">
        <v>4867</v>
      </c>
      <c r="D274" s="237" t="s">
        <v>4860</v>
      </c>
      <c r="E274" s="237" t="s">
        <v>4868</v>
      </c>
      <c r="F274" s="237" t="s">
        <v>21</v>
      </c>
      <c r="G274" s="237" t="s">
        <v>21</v>
      </c>
      <c r="H274" s="237" t="s">
        <v>4869</v>
      </c>
      <c r="I274" s="237" t="s">
        <v>21</v>
      </c>
      <c r="J274" s="237" t="s">
        <v>4870</v>
      </c>
      <c r="K274" s="240">
        <f>IF(COUNTIF(L274:AY274,"&lt;&gt;")=0,"",SUMPRODUCT(((Recommendations[ImplStatus]="Implemented")+(Recommendations[ImplStatus]="Compensated"))*ISNUMBER(MATCH(Recommendations[Id],L274:AY274,0)))/COUNTIF(L274:AY274,"&lt;&gt;"))</f>
        <v>0</v>
      </c>
      <c r="L274" s="243" t="s">
        <v>55</v>
      </c>
      <c r="M274" s="243" t="s">
        <v>75</v>
      </c>
      <c r="N274" s="243" t="s">
        <v>128</v>
      </c>
      <c r="O274" s="243" t="s">
        <v>387</v>
      </c>
      <c r="P274" s="243"/>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53"/>
    </row>
    <row r="275" spans="1:51" ht="60" customHeight="1" x14ac:dyDescent="0.35">
      <c r="A275" s="249" t="s">
        <v>4871</v>
      </c>
      <c r="B275" s="237" t="s">
        <v>4872</v>
      </c>
      <c r="C275" s="237" t="s">
        <v>4873</v>
      </c>
      <c r="D275" s="237" t="s">
        <v>4874</v>
      </c>
      <c r="E275" s="237" t="s">
        <v>21</v>
      </c>
      <c r="F275" s="237" t="s">
        <v>21</v>
      </c>
      <c r="G275" s="237" t="s">
        <v>21</v>
      </c>
      <c r="H275" s="237" t="s">
        <v>4875</v>
      </c>
      <c r="I275" s="237" t="s">
        <v>21</v>
      </c>
      <c r="J275" s="237" t="s">
        <v>4876</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4877</v>
      </c>
      <c r="B276" s="237" t="s">
        <v>4878</v>
      </c>
      <c r="C276" s="237" t="s">
        <v>4879</v>
      </c>
      <c r="D276" s="237" t="s">
        <v>4880</v>
      </c>
      <c r="E276" s="237" t="s">
        <v>21</v>
      </c>
      <c r="F276" s="237" t="s">
        <v>4881</v>
      </c>
      <c r="G276" s="237" t="s">
        <v>21</v>
      </c>
      <c r="H276" s="237" t="s">
        <v>4882</v>
      </c>
      <c r="I276" s="237" t="s">
        <v>4883</v>
      </c>
      <c r="J276" s="237" t="s">
        <v>4884</v>
      </c>
      <c r="K276" s="240" t="str">
        <f>IF(COUNTIF(L276:AY276,"&lt;&gt;")=0,"",SUMPRODUCT(((Recommendations[ImplStatus]="Implemented")+(Recommendations[ImplStatus]="Compensated"))*ISNUMBER(MATCH(Recommendations[Id],L276:AY276,0)))/COUNTIF(L276:AY276,"&lt;&gt;"))</f>
        <v/>
      </c>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4885</v>
      </c>
      <c r="B277" s="236" t="s">
        <v>4886</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4887</v>
      </c>
      <c r="B278" s="237" t="s">
        <v>4888</v>
      </c>
      <c r="C278" s="237" t="s">
        <v>4889</v>
      </c>
      <c r="D278" s="237" t="s">
        <v>4890</v>
      </c>
      <c r="E278" s="237" t="s">
        <v>21</v>
      </c>
      <c r="F278" s="237" t="s">
        <v>4891</v>
      </c>
      <c r="G278" s="237" t="s">
        <v>21</v>
      </c>
      <c r="H278" s="237" t="s">
        <v>4892</v>
      </c>
      <c r="I278" s="237" t="s">
        <v>21</v>
      </c>
      <c r="J278" s="237" t="s">
        <v>4893</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4894</v>
      </c>
      <c r="B279" s="235" t="s">
        <v>4895</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1093</v>
      </c>
      <c r="B280" s="236" t="s">
        <v>4896</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4897</v>
      </c>
      <c r="B281" s="237" t="s">
        <v>4898</v>
      </c>
      <c r="C281" s="237" t="s">
        <v>4899</v>
      </c>
      <c r="D281" s="237" t="s">
        <v>4900</v>
      </c>
      <c r="E281" s="237" t="s">
        <v>4901</v>
      </c>
      <c r="F281" s="237" t="s">
        <v>21</v>
      </c>
      <c r="G281" s="237" t="s">
        <v>21</v>
      </c>
      <c r="H281" s="237" t="s">
        <v>4902</v>
      </c>
      <c r="I281" s="237" t="s">
        <v>21</v>
      </c>
      <c r="J281" s="237" t="s">
        <v>4903</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4904</v>
      </c>
      <c r="B282" s="237" t="s">
        <v>4905</v>
      </c>
      <c r="C282" s="237" t="s">
        <v>4906</v>
      </c>
      <c r="D282" s="237" t="s">
        <v>21</v>
      </c>
      <c r="E282" s="237" t="s">
        <v>21</v>
      </c>
      <c r="F282" s="237" t="s">
        <v>21</v>
      </c>
      <c r="G282" s="237" t="s">
        <v>21</v>
      </c>
      <c r="H282" s="237" t="s">
        <v>4907</v>
      </c>
      <c r="I282" s="237" t="s">
        <v>21</v>
      </c>
      <c r="J282" s="237" t="s">
        <v>4908</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4909</v>
      </c>
      <c r="B283" s="237" t="s">
        <v>4910</v>
      </c>
      <c r="C283" s="237" t="s">
        <v>4911</v>
      </c>
      <c r="D283" s="237" t="s">
        <v>21</v>
      </c>
      <c r="E283" s="237" t="s">
        <v>21</v>
      </c>
      <c r="F283" s="237" t="s">
        <v>21</v>
      </c>
      <c r="G283" s="237" t="s">
        <v>21</v>
      </c>
      <c r="H283" s="237" t="s">
        <v>4912</v>
      </c>
      <c r="I283" s="237" t="s">
        <v>21</v>
      </c>
      <c r="J283" s="237" t="s">
        <v>4913</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4914</v>
      </c>
      <c r="B284" s="237" t="s">
        <v>4915</v>
      </c>
      <c r="C284" s="237" t="s">
        <v>4916</v>
      </c>
      <c r="D284" s="237" t="s">
        <v>4917</v>
      </c>
      <c r="E284" s="237" t="s">
        <v>21</v>
      </c>
      <c r="F284" s="237" t="s">
        <v>21</v>
      </c>
      <c r="G284" s="237" t="s">
        <v>21</v>
      </c>
      <c r="H284" s="237" t="s">
        <v>4918</v>
      </c>
      <c r="I284" s="237" t="s">
        <v>21</v>
      </c>
      <c r="J284" s="237" t="s">
        <v>4919</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1097</v>
      </c>
      <c r="B285" s="236" t="s">
        <v>4920</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4921</v>
      </c>
      <c r="B286" s="237" t="s">
        <v>4922</v>
      </c>
      <c r="C286" s="237" t="s">
        <v>4923</v>
      </c>
      <c r="D286" s="237" t="s">
        <v>4924</v>
      </c>
      <c r="E286" s="237" t="s">
        <v>21</v>
      </c>
      <c r="F286" s="237" t="s">
        <v>21</v>
      </c>
      <c r="G286" s="237" t="s">
        <v>21</v>
      </c>
      <c r="H286" s="237" t="s">
        <v>4925</v>
      </c>
      <c r="I286" s="237" t="s">
        <v>4926</v>
      </c>
      <c r="J286" s="237" t="s">
        <v>4927</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1101</v>
      </c>
      <c r="B287" s="236" t="s">
        <v>4928</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4929</v>
      </c>
      <c r="B288" s="237" t="s">
        <v>4930</v>
      </c>
      <c r="C288" s="237" t="s">
        <v>4931</v>
      </c>
      <c r="D288" s="237" t="s">
        <v>4932</v>
      </c>
      <c r="E288" s="237" t="s">
        <v>4933</v>
      </c>
      <c r="F288" s="237" t="s">
        <v>4934</v>
      </c>
      <c r="G288" s="237" t="s">
        <v>4935</v>
      </c>
      <c r="H288" s="237" t="s">
        <v>4936</v>
      </c>
      <c r="I288" s="237" t="s">
        <v>3917</v>
      </c>
      <c r="J288" s="237" t="s">
        <v>4937</v>
      </c>
      <c r="K288" s="240" t="str">
        <f>IF(COUNTIF(L288:AY288,"&lt;&gt;")=0,"",SUMPRODUCT(((Recommendations[ImplStatus]="Implemented")+(Recommendations[ImplStatus]="Compensated"))*ISNUMBER(MATCH(Recommendations[Id],L288:AY288,0)))/COUNTIF(L288:AY288,"&lt;&gt;"))</f>
        <v/>
      </c>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4938</v>
      </c>
      <c r="B289" s="237" t="s">
        <v>4939</v>
      </c>
      <c r="C289" s="237" t="s">
        <v>4940</v>
      </c>
      <c r="D289" s="237" t="s">
        <v>21</v>
      </c>
      <c r="E289" s="237" t="s">
        <v>4933</v>
      </c>
      <c r="F289" s="237" t="s">
        <v>21</v>
      </c>
      <c r="G289" s="237" t="s">
        <v>4941</v>
      </c>
      <c r="H289" s="237" t="s">
        <v>4942</v>
      </c>
      <c r="I289" s="237" t="s">
        <v>4943</v>
      </c>
      <c r="J289" s="237" t="s">
        <v>4944</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4945</v>
      </c>
      <c r="B290" s="237" t="s">
        <v>4946</v>
      </c>
      <c r="C290" s="237" t="s">
        <v>4947</v>
      </c>
      <c r="D290" s="237" t="s">
        <v>21</v>
      </c>
      <c r="E290" s="237" t="s">
        <v>4948</v>
      </c>
      <c r="F290" s="237" t="s">
        <v>21</v>
      </c>
      <c r="G290" s="237" t="s">
        <v>4949</v>
      </c>
      <c r="H290" s="237" t="s">
        <v>4950</v>
      </c>
      <c r="I290" s="237" t="s">
        <v>4951</v>
      </c>
      <c r="J290" s="237" t="s">
        <v>4952</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4953</v>
      </c>
      <c r="B291" s="237" t="s">
        <v>4954</v>
      </c>
      <c r="C291" s="237" t="s">
        <v>4955</v>
      </c>
      <c r="D291" s="237" t="s">
        <v>21</v>
      </c>
      <c r="E291" s="237" t="s">
        <v>21</v>
      </c>
      <c r="F291" s="237" t="s">
        <v>21</v>
      </c>
      <c r="G291" s="237" t="s">
        <v>21</v>
      </c>
      <c r="H291" s="237" t="s">
        <v>4956</v>
      </c>
      <c r="I291" s="237" t="s">
        <v>3917</v>
      </c>
      <c r="J291" s="237" t="s">
        <v>4957</v>
      </c>
      <c r="K291" s="240">
        <f>IF(COUNTIF(L291:AY291,"&lt;&gt;")=0,"",SUMPRODUCT(((Recommendations[ImplStatus]="Implemented")+(Recommendations[ImplStatus]="Compensated"))*ISNUMBER(MATCH(Recommendations[Id],L291:AY291,0)))/COUNTIF(L291:AY291,"&lt;&gt;"))</f>
        <v>0</v>
      </c>
      <c r="L291" s="243" t="s">
        <v>285</v>
      </c>
      <c r="M291" s="243" t="s">
        <v>363</v>
      </c>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1105</v>
      </c>
      <c r="B292" s="236" t="s">
        <v>4958</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4959</v>
      </c>
      <c r="B293" s="237" t="s">
        <v>4960</v>
      </c>
      <c r="C293" s="237" t="s">
        <v>4961</v>
      </c>
      <c r="D293" s="237" t="s">
        <v>4962</v>
      </c>
      <c r="E293" s="237" t="s">
        <v>21</v>
      </c>
      <c r="F293" s="237" t="s">
        <v>21</v>
      </c>
      <c r="G293" s="237" t="s">
        <v>21</v>
      </c>
      <c r="H293" s="237" t="s">
        <v>4963</v>
      </c>
      <c r="I293" s="237" t="s">
        <v>4964</v>
      </c>
      <c r="J293" s="237" t="s">
        <v>4965</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4966</v>
      </c>
      <c r="B294" s="237" t="s">
        <v>4967</v>
      </c>
      <c r="C294" s="237" t="s">
        <v>4968</v>
      </c>
      <c r="D294" s="237" t="s">
        <v>4962</v>
      </c>
      <c r="E294" s="237" t="s">
        <v>21</v>
      </c>
      <c r="F294" s="237" t="s">
        <v>4969</v>
      </c>
      <c r="G294" s="237" t="s">
        <v>21</v>
      </c>
      <c r="H294" s="237" t="s">
        <v>4970</v>
      </c>
      <c r="I294" s="237" t="s">
        <v>3887</v>
      </c>
      <c r="J294" s="237" t="s">
        <v>4971</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4972</v>
      </c>
      <c r="B295" s="237" t="s">
        <v>4973</v>
      </c>
      <c r="C295" s="237" t="s">
        <v>4974</v>
      </c>
      <c r="D295" s="237" t="s">
        <v>4975</v>
      </c>
      <c r="E295" s="237" t="s">
        <v>21</v>
      </c>
      <c r="F295" s="237" t="s">
        <v>21</v>
      </c>
      <c r="G295" s="237" t="s">
        <v>21</v>
      </c>
      <c r="H295" s="237" t="s">
        <v>4976</v>
      </c>
      <c r="I295" s="237" t="s">
        <v>3887</v>
      </c>
      <c r="J295" s="237" t="s">
        <v>4977</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1109</v>
      </c>
      <c r="B296" s="236" t="s">
        <v>4978</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4979</v>
      </c>
      <c r="B297" s="237" t="s">
        <v>4980</v>
      </c>
      <c r="C297" s="237" t="s">
        <v>4981</v>
      </c>
      <c r="D297" s="237" t="s">
        <v>4975</v>
      </c>
      <c r="E297" s="237" t="s">
        <v>21</v>
      </c>
      <c r="F297" s="237" t="s">
        <v>4982</v>
      </c>
      <c r="G297" s="237" t="s">
        <v>21</v>
      </c>
      <c r="H297" s="237" t="s">
        <v>4983</v>
      </c>
      <c r="I297" s="237" t="s">
        <v>21</v>
      </c>
      <c r="J297" s="237" t="s">
        <v>4984</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4985</v>
      </c>
      <c r="B298" s="237" t="s">
        <v>4986</v>
      </c>
      <c r="C298" s="237" t="s">
        <v>4987</v>
      </c>
      <c r="D298" s="237" t="s">
        <v>4988</v>
      </c>
      <c r="E298" s="237" t="s">
        <v>21</v>
      </c>
      <c r="F298" s="237" t="s">
        <v>21</v>
      </c>
      <c r="G298" s="237" t="s">
        <v>4989</v>
      </c>
      <c r="H298" s="237" t="s">
        <v>4990</v>
      </c>
      <c r="I298" s="237" t="s">
        <v>4990</v>
      </c>
      <c r="J298" s="237" t="s">
        <v>4991</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4992</v>
      </c>
      <c r="B299" s="237" t="s">
        <v>4993</v>
      </c>
      <c r="C299" s="237" t="s">
        <v>4994</v>
      </c>
      <c r="D299" s="237" t="s">
        <v>21</v>
      </c>
      <c r="E299" s="237" t="s">
        <v>21</v>
      </c>
      <c r="F299" s="237" t="s">
        <v>21</v>
      </c>
      <c r="G299" s="237" t="s">
        <v>21</v>
      </c>
      <c r="H299" s="237" t="s">
        <v>4995</v>
      </c>
      <c r="I299" s="237" t="s">
        <v>4996</v>
      </c>
      <c r="J299" s="237" t="s">
        <v>4997</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4998</v>
      </c>
      <c r="B300" s="237" t="s">
        <v>4999</v>
      </c>
      <c r="C300" s="237" t="s">
        <v>5000</v>
      </c>
      <c r="D300" s="237" t="s">
        <v>21</v>
      </c>
      <c r="E300" s="237" t="s">
        <v>21</v>
      </c>
      <c r="F300" s="237" t="s">
        <v>5001</v>
      </c>
      <c r="G300" s="237" t="s">
        <v>21</v>
      </c>
      <c r="H300" s="237" t="s">
        <v>5002</v>
      </c>
      <c r="I300" s="237" t="s">
        <v>4996</v>
      </c>
      <c r="J300" s="237" t="s">
        <v>5003</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1113</v>
      </c>
      <c r="B301" s="236" t="s">
        <v>5004</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5005</v>
      </c>
      <c r="B302" s="237" t="s">
        <v>5006</v>
      </c>
      <c r="C302" s="237" t="s">
        <v>5007</v>
      </c>
      <c r="D302" s="237" t="s">
        <v>21</v>
      </c>
      <c r="E302" s="237" t="s">
        <v>21</v>
      </c>
      <c r="F302" s="237" t="s">
        <v>21</v>
      </c>
      <c r="G302" s="237" t="s">
        <v>21</v>
      </c>
      <c r="H302" s="237" t="s">
        <v>5008</v>
      </c>
      <c r="I302" s="237" t="s">
        <v>21</v>
      </c>
      <c r="J302" s="237" t="s">
        <v>5009</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5010</v>
      </c>
      <c r="B303" s="237" t="s">
        <v>5011</v>
      </c>
      <c r="C303" s="237" t="s">
        <v>5012</v>
      </c>
      <c r="D303" s="237" t="s">
        <v>5013</v>
      </c>
      <c r="E303" s="237" t="s">
        <v>21</v>
      </c>
      <c r="F303" s="237" t="s">
        <v>21</v>
      </c>
      <c r="G303" s="237" t="s">
        <v>21</v>
      </c>
      <c r="H303" s="237" t="s">
        <v>5014</v>
      </c>
      <c r="I303" s="237" t="s">
        <v>3917</v>
      </c>
      <c r="J303" s="237" t="s">
        <v>5015</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5016</v>
      </c>
      <c r="B304" s="237" t="s">
        <v>5017</v>
      </c>
      <c r="C304" s="237" t="s">
        <v>5018</v>
      </c>
      <c r="D304" s="237" t="s">
        <v>5013</v>
      </c>
      <c r="E304" s="237" t="s">
        <v>21</v>
      </c>
      <c r="F304" s="237" t="s">
        <v>5019</v>
      </c>
      <c r="G304" s="237" t="s">
        <v>21</v>
      </c>
      <c r="H304" s="237" t="s">
        <v>5020</v>
      </c>
      <c r="I304" s="237" t="s">
        <v>21</v>
      </c>
      <c r="J304" s="237" t="s">
        <v>5021</v>
      </c>
      <c r="K304" s="240" t="str">
        <f>IF(COUNTIF(L304:AY304,"&lt;&gt;")=0,"",SUMPRODUCT(((Recommendations[ImplStatus]="Implemented")+(Recommendations[ImplStatus]="Compensated"))*ISNUMBER(MATCH(Recommendations[Id],L304:AY304,0)))/COUNTIF(L304:AY304,"&lt;&gt;"))</f>
        <v/>
      </c>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5022</v>
      </c>
      <c r="B305" s="237" t="s">
        <v>5023</v>
      </c>
      <c r="C305" s="237" t="s">
        <v>5024</v>
      </c>
      <c r="D305" s="237" t="s">
        <v>5025</v>
      </c>
      <c r="E305" s="237" t="s">
        <v>21</v>
      </c>
      <c r="F305" s="237" t="s">
        <v>21</v>
      </c>
      <c r="G305" s="237" t="s">
        <v>21</v>
      </c>
      <c r="H305" s="237" t="s">
        <v>5026</v>
      </c>
      <c r="I305" s="237" t="s">
        <v>5027</v>
      </c>
      <c r="J305" s="237" t="s">
        <v>5028</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5029</v>
      </c>
      <c r="B306" s="237" t="s">
        <v>5030</v>
      </c>
      <c r="C306" s="237" t="s">
        <v>5031</v>
      </c>
      <c r="D306" s="237" t="s">
        <v>5032</v>
      </c>
      <c r="E306" s="237" t="s">
        <v>21</v>
      </c>
      <c r="F306" s="237" t="s">
        <v>21</v>
      </c>
      <c r="G306" s="237" t="s">
        <v>21</v>
      </c>
      <c r="H306" s="237" t="s">
        <v>5033</v>
      </c>
      <c r="I306" s="237" t="s">
        <v>3917</v>
      </c>
      <c r="J306" s="237" t="s">
        <v>5034</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1117</v>
      </c>
      <c r="B307" s="236" t="s">
        <v>5035</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5036</v>
      </c>
      <c r="B308" s="237" t="s">
        <v>5037</v>
      </c>
      <c r="C308" s="237" t="s">
        <v>5038</v>
      </c>
      <c r="D308" s="237" t="s">
        <v>5032</v>
      </c>
      <c r="E308" s="237" t="s">
        <v>21</v>
      </c>
      <c r="F308" s="237" t="s">
        <v>5039</v>
      </c>
      <c r="G308" s="237" t="s">
        <v>21</v>
      </c>
      <c r="H308" s="237" t="s">
        <v>5040</v>
      </c>
      <c r="I308" s="237" t="s">
        <v>5041</v>
      </c>
      <c r="J308" s="237" t="s">
        <v>5042</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1121</v>
      </c>
      <c r="B309" s="236" t="s">
        <v>5043</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5044</v>
      </c>
      <c r="B310" s="237" t="s">
        <v>5045</v>
      </c>
      <c r="C310" s="237" t="s">
        <v>5046</v>
      </c>
      <c r="D310" s="237" t="s">
        <v>21</v>
      </c>
      <c r="E310" s="237" t="s">
        <v>21</v>
      </c>
      <c r="F310" s="237" t="s">
        <v>5047</v>
      </c>
      <c r="G310" s="237" t="s">
        <v>21</v>
      </c>
      <c r="H310" s="237" t="s">
        <v>5048</v>
      </c>
      <c r="I310" s="237" t="s">
        <v>5049</v>
      </c>
      <c r="J310" s="237" t="s">
        <v>5050</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5051</v>
      </c>
      <c r="B311" s="237" t="s">
        <v>5052</v>
      </c>
      <c r="C311" s="237" t="s">
        <v>5053</v>
      </c>
      <c r="D311" s="237" t="s">
        <v>5054</v>
      </c>
      <c r="E311" s="237" t="s">
        <v>21</v>
      </c>
      <c r="F311" s="237" t="s">
        <v>21</v>
      </c>
      <c r="G311" s="237" t="s">
        <v>5055</v>
      </c>
      <c r="H311" s="237" t="s">
        <v>5056</v>
      </c>
      <c r="I311" s="237" t="s">
        <v>21</v>
      </c>
      <c r="J311" s="237" t="s">
        <v>5057</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5058</v>
      </c>
      <c r="B312" s="237" t="s">
        <v>5059</v>
      </c>
      <c r="C312" s="237" t="s">
        <v>5060</v>
      </c>
      <c r="D312" s="237" t="s">
        <v>5061</v>
      </c>
      <c r="E312" s="237" t="s">
        <v>21</v>
      </c>
      <c r="F312" s="237" t="s">
        <v>21</v>
      </c>
      <c r="G312" s="237" t="s">
        <v>21</v>
      </c>
      <c r="H312" s="237" t="s">
        <v>5062</v>
      </c>
      <c r="I312" s="237" t="s">
        <v>21</v>
      </c>
      <c r="J312" s="237" t="s">
        <v>5063</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5064</v>
      </c>
      <c r="B313" s="237" t="s">
        <v>5065</v>
      </c>
      <c r="C313" s="237" t="s">
        <v>5066</v>
      </c>
      <c r="D313" s="237" t="s">
        <v>5067</v>
      </c>
      <c r="E313" s="237" t="s">
        <v>21</v>
      </c>
      <c r="F313" s="237" t="s">
        <v>21</v>
      </c>
      <c r="G313" s="237" t="s">
        <v>5068</v>
      </c>
      <c r="H313" s="237" t="s">
        <v>5069</v>
      </c>
      <c r="I313" s="237" t="s">
        <v>5070</v>
      </c>
      <c r="J313" s="237" t="s">
        <v>5071</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5072</v>
      </c>
      <c r="B314" s="237" t="s">
        <v>5073</v>
      </c>
      <c r="C314" s="237" t="s">
        <v>5074</v>
      </c>
      <c r="D314" s="237" t="s">
        <v>5075</v>
      </c>
      <c r="E314" s="237" t="s">
        <v>21</v>
      </c>
      <c r="F314" s="237" t="s">
        <v>21</v>
      </c>
      <c r="G314" s="237" t="s">
        <v>5076</v>
      </c>
      <c r="H314" s="237" t="s">
        <v>5077</v>
      </c>
      <c r="I314" s="237" t="s">
        <v>5078</v>
      </c>
      <c r="J314" s="237" t="s">
        <v>5079</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5080</v>
      </c>
      <c r="B315" s="236" t="s">
        <v>5081</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5082</v>
      </c>
      <c r="B316" s="237" t="s">
        <v>5083</v>
      </c>
      <c r="C316" s="237" t="s">
        <v>5084</v>
      </c>
      <c r="D316" s="237" t="s">
        <v>21</v>
      </c>
      <c r="E316" s="237" t="s">
        <v>21</v>
      </c>
      <c r="F316" s="237" t="s">
        <v>21</v>
      </c>
      <c r="G316" s="237" t="s">
        <v>21</v>
      </c>
      <c r="H316" s="237" t="s">
        <v>5085</v>
      </c>
      <c r="I316" s="237" t="s">
        <v>5086</v>
      </c>
      <c r="J316" s="237" t="s">
        <v>5087</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5088</v>
      </c>
      <c r="B317" s="237" t="s">
        <v>5089</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5090</v>
      </c>
      <c r="B318" s="236" t="s">
        <v>5091</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5092</v>
      </c>
      <c r="B319" s="237" t="s">
        <v>5093</v>
      </c>
      <c r="C319" s="237" t="s">
        <v>5094</v>
      </c>
      <c r="D319" s="237" t="s">
        <v>5095</v>
      </c>
      <c r="E319" s="237" t="s">
        <v>21</v>
      </c>
      <c r="F319" s="237" t="s">
        <v>5096</v>
      </c>
      <c r="G319" s="237" t="s">
        <v>5097</v>
      </c>
      <c r="H319" s="237" t="s">
        <v>5098</v>
      </c>
      <c r="I319" s="237" t="s">
        <v>21</v>
      </c>
      <c r="J319" s="237" t="s">
        <v>5099</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5100</v>
      </c>
      <c r="B320" s="237" t="s">
        <v>5101</v>
      </c>
      <c r="C320" s="237" t="s">
        <v>5102</v>
      </c>
      <c r="D320" s="237" t="s">
        <v>5103</v>
      </c>
      <c r="E320" s="237" t="s">
        <v>21</v>
      </c>
      <c r="F320" s="237" t="s">
        <v>21</v>
      </c>
      <c r="G320" s="237" t="s">
        <v>21</v>
      </c>
      <c r="H320" s="237" t="s">
        <v>5104</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5105</v>
      </c>
      <c r="B321" s="237" t="s">
        <v>5106</v>
      </c>
      <c r="C321" s="237" t="s">
        <v>5107</v>
      </c>
      <c r="D321" s="237" t="s">
        <v>5108</v>
      </c>
      <c r="E321" s="237" t="s">
        <v>21</v>
      </c>
      <c r="F321" s="237" t="s">
        <v>21</v>
      </c>
      <c r="G321" s="237" t="s">
        <v>21</v>
      </c>
      <c r="H321" s="237" t="s">
        <v>5109</v>
      </c>
      <c r="I321" s="237" t="s">
        <v>21</v>
      </c>
      <c r="J321" s="237" t="s">
        <v>5110</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5111</v>
      </c>
      <c r="B322" s="237" t="s">
        <v>5112</v>
      </c>
      <c r="C322" s="237" t="s">
        <v>5113</v>
      </c>
      <c r="D322" s="237" t="s">
        <v>5114</v>
      </c>
      <c r="E322" s="237" t="s">
        <v>21</v>
      </c>
      <c r="F322" s="237" t="s">
        <v>21</v>
      </c>
      <c r="G322" s="237" t="s">
        <v>21</v>
      </c>
      <c r="H322" s="237" t="s">
        <v>5115</v>
      </c>
      <c r="I322" s="237" t="s">
        <v>21</v>
      </c>
      <c r="J322" s="237" t="s">
        <v>5116</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5117</v>
      </c>
      <c r="B323" s="237" t="s">
        <v>5118</v>
      </c>
      <c r="C323" s="237" t="s">
        <v>5119</v>
      </c>
      <c r="D323" s="237" t="s">
        <v>21</v>
      </c>
      <c r="E323" s="237" t="s">
        <v>21</v>
      </c>
      <c r="F323" s="237" t="s">
        <v>21</v>
      </c>
      <c r="G323" s="237" t="s">
        <v>21</v>
      </c>
      <c r="H323" s="237" t="s">
        <v>5120</v>
      </c>
      <c r="I323" s="237" t="s">
        <v>3917</v>
      </c>
      <c r="J323" s="237" t="s">
        <v>5121</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5122</v>
      </c>
      <c r="B324" s="237" t="s">
        <v>5123</v>
      </c>
      <c r="C324" s="237" t="s">
        <v>5124</v>
      </c>
      <c r="D324" s="237" t="s">
        <v>21</v>
      </c>
      <c r="E324" s="237" t="s">
        <v>21</v>
      </c>
      <c r="F324" s="237" t="s">
        <v>21</v>
      </c>
      <c r="G324" s="237" t="s">
        <v>21</v>
      </c>
      <c r="H324" s="237" t="s">
        <v>5125</v>
      </c>
      <c r="I324" s="237" t="s">
        <v>5126</v>
      </c>
      <c r="J324" s="237" t="s">
        <v>5127</v>
      </c>
      <c r="K324" s="240">
        <f>IF(COUNTIF(L324:AY324,"&lt;&gt;")=0,"",SUMPRODUCT(((Recommendations[ImplStatus]="Implemented")+(Recommendations[ImplStatus]="Compensated"))*ISNUMBER(MATCH(Recommendations[Id],L324:AY324,0)))/COUNTIF(L324:AY324,"&lt;&gt;"))</f>
        <v>0</v>
      </c>
      <c r="L324" s="243" t="s">
        <v>66</v>
      </c>
      <c r="M324" s="243" t="s">
        <v>100</v>
      </c>
      <c r="N324" s="243" t="s">
        <v>105</v>
      </c>
      <c r="O324" s="243" t="s">
        <v>118</v>
      </c>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5128</v>
      </c>
      <c r="B325" s="237" t="s">
        <v>5129</v>
      </c>
      <c r="C325" s="237" t="s">
        <v>5130</v>
      </c>
      <c r="D325" s="237" t="s">
        <v>5131</v>
      </c>
      <c r="E325" s="237" t="s">
        <v>21</v>
      </c>
      <c r="F325" s="237" t="s">
        <v>21</v>
      </c>
      <c r="G325" s="237" t="s">
        <v>21</v>
      </c>
      <c r="H325" s="237" t="s">
        <v>5132</v>
      </c>
      <c r="I325" s="237" t="s">
        <v>21</v>
      </c>
      <c r="J325" s="237" t="s">
        <v>5133</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5134</v>
      </c>
      <c r="B326" s="244" t="s">
        <v>5135</v>
      </c>
      <c r="C326" s="244" t="s">
        <v>5136</v>
      </c>
      <c r="D326" s="244" t="s">
        <v>5137</v>
      </c>
      <c r="E326" s="244" t="s">
        <v>21</v>
      </c>
      <c r="F326" s="244" t="s">
        <v>21</v>
      </c>
      <c r="G326" s="244" t="s">
        <v>21</v>
      </c>
      <c r="H326" s="244" t="s">
        <v>5138</v>
      </c>
      <c r="I326" s="244" t="s">
        <v>3917</v>
      </c>
      <c r="J326" s="244" t="s">
        <v>5139</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407</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IFERROR(INDEX('Recommendations'!$H$2:$H$84, MATCH(L2,'Recommendations'!$A$2:$A$84,0))="Implemented", FALSE))</xm:f>
            <x14:dxf>
              <font>
                <color rgb="FF000000"/>
              </font>
              <fill>
                <patternFill>
                  <bgColor rgb="FF3C7D22"/>
                </patternFill>
              </fill>
            </x14:dxf>
          </x14:cfRule>
          <x14:cfRule type="expression" priority="2" id="{00000000-000E-0000-0A00-000002000000}">
            <xm:f>AND(L2&lt;&gt;"", IFERROR(INDEX('Recommendations'!$H$2:$H$84, MATCH(L2,'Recommendations'!$A$2:$A$84,0))="Compensated", FALSE))</xm:f>
            <x14:dxf>
              <font>
                <color rgb="FF000000"/>
              </font>
              <fill>
                <patternFill>
                  <bgColor rgb="FFC6E0B4"/>
                </patternFill>
              </fill>
            </x14:dxf>
          </x14:cfRule>
          <x14:cfRule type="expression" priority="3" id="{00000000-000E-0000-0A00-000003000000}">
            <xm:f>AND(L2&lt;&gt;"", IFERROR(INDEX('Recommendations'!$H$2:$H$84, MATCH(L2,'Recommendations'!$A$2:$A$84,0))="Testing", FALSE))</xm:f>
            <x14:dxf>
              <font>
                <color rgb="FF000000"/>
              </font>
              <fill>
                <patternFill>
                  <bgColor rgb="FFFFC000"/>
                </patternFill>
              </fill>
            </x14:dxf>
          </x14:cfRule>
          <x14:cfRule type="expression" priority="4" id="{00000000-000E-0000-0A00-000004000000}">
            <xm:f>AND(L2&lt;&gt;"", IFERROR(INDEX('Recommendations'!$H$2:$H$84, MATCH(L2,'Recommendations'!$A$2:$A$84,0))="Failed", FALSE))</xm:f>
            <x14:dxf>
              <font>
                <color rgb="FF000000"/>
              </font>
              <fill>
                <patternFill>
                  <bgColor rgb="FFD82891"/>
                </patternFill>
              </fill>
            </x14:dxf>
          </x14:cfRule>
          <x14:cfRule type="expression" priority="5" id="{00000000-000E-0000-0A00-000005000000}">
            <xm:f>AND(L2&lt;&gt;"", IFERROR(INDEX('Recommendations'!$H$2:$H$84, MATCH(L2,'Recommendations'!$A$2:$A$84,0))="Risk Accepted", FALSE))</xm:f>
            <x14:dxf>
              <font>
                <color rgb="FF000000"/>
              </font>
              <fill>
                <patternFill>
                  <bgColor rgb="FFD9D9D9"/>
                </patternFill>
              </fill>
            </x14:dxf>
          </x14:cfRule>
          <x14:cfRule type="expression" priority="6" id="{00000000-000E-0000-0A00-000006000000}">
            <xm:f>AND(L2&lt;&gt;"", IFERROR(INDEX('Recommendations'!$H$2:$H$84, MATCH(L2,'Recommendations'!$A$2:$A$84,0))="N/A",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2288</v>
      </c>
      <c r="B1" s="289" t="s">
        <v>3173</v>
      </c>
      <c r="C1" s="289" t="s">
        <v>0</v>
      </c>
      <c r="D1" s="289" t="s">
        <v>651</v>
      </c>
      <c r="E1" s="289" t="s">
        <v>5140</v>
      </c>
      <c r="F1" s="289" t="s">
        <v>5141</v>
      </c>
      <c r="G1" s="289" t="s">
        <v>656</v>
      </c>
      <c r="H1" s="289" t="s">
        <v>657</v>
      </c>
      <c r="I1" s="289" t="s">
        <v>658</v>
      </c>
      <c r="J1" s="289" t="s">
        <v>659</v>
      </c>
      <c r="K1" s="289" t="s">
        <v>660</v>
      </c>
      <c r="L1" s="289" t="s">
        <v>661</v>
      </c>
      <c r="M1" s="289" t="s">
        <v>662</v>
      </c>
      <c r="N1" s="289" t="s">
        <v>663</v>
      </c>
      <c r="O1" s="289" t="s">
        <v>664</v>
      </c>
      <c r="P1" s="289" t="s">
        <v>665</v>
      </c>
      <c r="Q1" s="289" t="s">
        <v>666</v>
      </c>
      <c r="R1" s="289" t="s">
        <v>667</v>
      </c>
      <c r="S1" s="289" t="s">
        <v>668</v>
      </c>
      <c r="T1" s="289" t="s">
        <v>669</v>
      </c>
      <c r="U1" s="289" t="s">
        <v>670</v>
      </c>
      <c r="V1" s="289" t="s">
        <v>671</v>
      </c>
      <c r="W1" s="289" t="s">
        <v>672</v>
      </c>
      <c r="X1" s="289" t="s">
        <v>673</v>
      </c>
      <c r="Y1" s="289" t="s">
        <v>674</v>
      </c>
      <c r="Z1" s="289" t="s">
        <v>675</v>
      </c>
      <c r="AA1" s="289" t="s">
        <v>676</v>
      </c>
      <c r="AB1" s="289" t="s">
        <v>677</v>
      </c>
      <c r="AC1" s="289" t="s">
        <v>678</v>
      </c>
      <c r="AD1" s="289" t="s">
        <v>679</v>
      </c>
      <c r="AE1" s="289" t="s">
        <v>680</v>
      </c>
      <c r="AF1" s="289" t="s">
        <v>681</v>
      </c>
      <c r="AG1" s="289" t="s">
        <v>682</v>
      </c>
      <c r="AH1" s="289" t="s">
        <v>683</v>
      </c>
      <c r="AI1" s="289" t="s">
        <v>684</v>
      </c>
      <c r="AJ1" s="289" t="s">
        <v>685</v>
      </c>
      <c r="AK1" s="289" t="s">
        <v>686</v>
      </c>
      <c r="AL1" s="289" t="s">
        <v>687</v>
      </c>
      <c r="AM1" s="289" t="s">
        <v>688</v>
      </c>
      <c r="AN1" s="289" t="s">
        <v>689</v>
      </c>
      <c r="AO1" s="289" t="s">
        <v>690</v>
      </c>
      <c r="AP1" s="289" t="s">
        <v>691</v>
      </c>
      <c r="AQ1" s="289" t="s">
        <v>692</v>
      </c>
      <c r="AR1" s="289" t="s">
        <v>693</v>
      </c>
      <c r="AS1" s="289" t="s">
        <v>694</v>
      </c>
      <c r="AT1" s="289" t="s">
        <v>695</v>
      </c>
      <c r="AU1" s="290" t="s">
        <v>696</v>
      </c>
    </row>
    <row r="2" spans="1:47" ht="60" customHeight="1" outlineLevel="1" x14ac:dyDescent="0.35">
      <c r="A2" s="280" t="s">
        <v>5142</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5142</v>
      </c>
      <c r="B3" s="259" t="s">
        <v>5143</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5142</v>
      </c>
      <c r="B4" s="260" t="s">
        <v>5143</v>
      </c>
      <c r="C4" s="261" t="s">
        <v>5144</v>
      </c>
      <c r="D4" s="264" t="s">
        <v>5145</v>
      </c>
      <c r="E4" s="265" t="s">
        <v>5146</v>
      </c>
      <c r="F4" s="268" t="s">
        <v>5147</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5142</v>
      </c>
      <c r="B5" s="260" t="s">
        <v>5143</v>
      </c>
      <c r="C5" s="261" t="s">
        <v>5148</v>
      </c>
      <c r="D5" s="264" t="s">
        <v>5149</v>
      </c>
      <c r="E5" s="265" t="s">
        <v>5146</v>
      </c>
      <c r="F5" s="268" t="s">
        <v>5147</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5142</v>
      </c>
      <c r="B6" s="260" t="s">
        <v>5143</v>
      </c>
      <c r="C6" s="261" t="s">
        <v>5150</v>
      </c>
      <c r="D6" s="264" t="s">
        <v>5151</v>
      </c>
      <c r="E6" s="265" t="s">
        <v>5146</v>
      </c>
      <c r="F6" s="268" t="s">
        <v>5147</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5142</v>
      </c>
      <c r="B7" s="260" t="s">
        <v>5143</v>
      </c>
      <c r="C7" s="261" t="s">
        <v>5152</v>
      </c>
      <c r="D7" s="264" t="s">
        <v>5153</v>
      </c>
      <c r="E7" s="265" t="s">
        <v>5146</v>
      </c>
      <c r="F7" s="268" t="s">
        <v>5147</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5142</v>
      </c>
      <c r="B8" s="260" t="s">
        <v>5143</v>
      </c>
      <c r="C8" s="261" t="s">
        <v>5154</v>
      </c>
      <c r="D8" s="264" t="s">
        <v>5155</v>
      </c>
      <c r="E8" s="265" t="s">
        <v>5146</v>
      </c>
      <c r="F8" s="268" t="s">
        <v>5147</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5142</v>
      </c>
      <c r="B9" s="260" t="s">
        <v>5143</v>
      </c>
      <c r="C9" s="261" t="s">
        <v>5156</v>
      </c>
      <c r="D9" s="264" t="s">
        <v>5157</v>
      </c>
      <c r="E9" s="265" t="s">
        <v>5146</v>
      </c>
      <c r="F9" s="268" t="s">
        <v>5147</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5142</v>
      </c>
      <c r="B10" s="260" t="s">
        <v>5143</v>
      </c>
      <c r="C10" s="261" t="s">
        <v>5158</v>
      </c>
      <c r="D10" s="264" t="s">
        <v>5159</v>
      </c>
      <c r="E10" s="265" t="s">
        <v>5146</v>
      </c>
      <c r="F10" s="268" t="s">
        <v>5147</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5142</v>
      </c>
      <c r="B11" s="260" t="s">
        <v>5143</v>
      </c>
      <c r="C11" s="261" t="s">
        <v>5160</v>
      </c>
      <c r="D11" s="264" t="s">
        <v>5161</v>
      </c>
      <c r="E11" s="265" t="s">
        <v>5146</v>
      </c>
      <c r="F11" s="268" t="s">
        <v>5147</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5142</v>
      </c>
      <c r="B12" s="260" t="s">
        <v>5143</v>
      </c>
      <c r="C12" s="261" t="s">
        <v>5162</v>
      </c>
      <c r="D12" s="264" t="s">
        <v>5163</v>
      </c>
      <c r="E12" s="265" t="s">
        <v>5146</v>
      </c>
      <c r="F12" s="268" t="s">
        <v>5147</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5142</v>
      </c>
      <c r="B13" s="260" t="s">
        <v>5143</v>
      </c>
      <c r="C13" s="261" t="s">
        <v>5164</v>
      </c>
      <c r="D13" s="264" t="s">
        <v>5165</v>
      </c>
      <c r="E13" s="265" t="s">
        <v>5146</v>
      </c>
      <c r="F13" s="268" t="s">
        <v>5147</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5142</v>
      </c>
      <c r="B14" s="260" t="s">
        <v>5143</v>
      </c>
      <c r="C14" s="261" t="s">
        <v>5166</v>
      </c>
      <c r="D14" s="264" t="s">
        <v>5167</v>
      </c>
      <c r="E14" s="265" t="s">
        <v>5146</v>
      </c>
      <c r="F14" s="268" t="s">
        <v>5147</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5142</v>
      </c>
      <c r="B15" s="260" t="s">
        <v>5143</v>
      </c>
      <c r="C15" s="261" t="s">
        <v>5168</v>
      </c>
      <c r="D15" s="264" t="s">
        <v>5169</v>
      </c>
      <c r="E15" s="265" t="s">
        <v>5146</v>
      </c>
      <c r="F15" s="268" t="s">
        <v>5147</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5142</v>
      </c>
      <c r="B16" s="260" t="s">
        <v>5143</v>
      </c>
      <c r="C16" s="261" t="s">
        <v>5170</v>
      </c>
      <c r="D16" s="264" t="s">
        <v>5171</v>
      </c>
      <c r="E16" s="265" t="s">
        <v>5146</v>
      </c>
      <c r="F16" s="268" t="s">
        <v>5147</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5142</v>
      </c>
      <c r="B17" s="259" t="s">
        <v>5172</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5142</v>
      </c>
      <c r="B18" s="260" t="s">
        <v>5172</v>
      </c>
      <c r="C18" s="261" t="s">
        <v>5173</v>
      </c>
      <c r="D18" s="264" t="s">
        <v>5174</v>
      </c>
      <c r="E18" s="265" t="s">
        <v>5175</v>
      </c>
      <c r="F18" s="268" t="s">
        <v>5176</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5142</v>
      </c>
      <c r="B19" s="260" t="s">
        <v>5172</v>
      </c>
      <c r="C19" s="261" t="s">
        <v>5177</v>
      </c>
      <c r="D19" s="264" t="s">
        <v>5178</v>
      </c>
      <c r="E19" s="265" t="s">
        <v>5175</v>
      </c>
      <c r="F19" s="268" t="s">
        <v>5176</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5142</v>
      </c>
      <c r="B20" s="260" t="s">
        <v>5172</v>
      </c>
      <c r="C20" s="261" t="s">
        <v>5179</v>
      </c>
      <c r="D20" s="264" t="s">
        <v>5180</v>
      </c>
      <c r="E20" s="265" t="s">
        <v>5175</v>
      </c>
      <c r="F20" s="268" t="s">
        <v>5176</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5142</v>
      </c>
      <c r="B21" s="260" t="s">
        <v>5172</v>
      </c>
      <c r="C21" s="261" t="s">
        <v>5181</v>
      </c>
      <c r="D21" s="264" t="s">
        <v>5182</v>
      </c>
      <c r="E21" s="265" t="s">
        <v>5175</v>
      </c>
      <c r="F21" s="268" t="s">
        <v>5176</v>
      </c>
      <c r="G21" s="271" t="str">
        <f>IF(COUNTIF(H21:AU21,"&lt;&gt;")=0,"",SUMPRODUCT(((Recommendations[ImplStatus]="Implemented")+(Recommendations[ImplStatus]="Compensated"))*ISNUMBER(MATCH(Recommendations[Id],H21:AU21,0)))/COUNTIF(H21:AU21,"&lt;&gt;"))</f>
        <v/>
      </c>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5142</v>
      </c>
      <c r="B22" s="260" t="s">
        <v>5172</v>
      </c>
      <c r="C22" s="261" t="s">
        <v>5183</v>
      </c>
      <c r="D22" s="264" t="s">
        <v>5184</v>
      </c>
      <c r="E22" s="265" t="s">
        <v>5175</v>
      </c>
      <c r="F22" s="268" t="s">
        <v>5176</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5142</v>
      </c>
      <c r="B23" s="260" t="s">
        <v>5172</v>
      </c>
      <c r="C23" s="261" t="s">
        <v>5185</v>
      </c>
      <c r="D23" s="264" t="s">
        <v>5186</v>
      </c>
      <c r="E23" s="265" t="s">
        <v>5146</v>
      </c>
      <c r="F23" s="268" t="s">
        <v>5147</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5142</v>
      </c>
      <c r="B24" s="260" t="s">
        <v>5172</v>
      </c>
      <c r="C24" s="261" t="s">
        <v>5187</v>
      </c>
      <c r="D24" s="264" t="s">
        <v>5188</v>
      </c>
      <c r="E24" s="265" t="s">
        <v>5146</v>
      </c>
      <c r="F24" s="268" t="s">
        <v>5147</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5142</v>
      </c>
      <c r="B25" s="260" t="s">
        <v>5172</v>
      </c>
      <c r="C25" s="261" t="s">
        <v>5189</v>
      </c>
      <c r="D25" s="264" t="s">
        <v>5190</v>
      </c>
      <c r="E25" s="265" t="s">
        <v>5146</v>
      </c>
      <c r="F25" s="268" t="s">
        <v>5191</v>
      </c>
      <c r="G25" s="271">
        <f>IF(COUNTIF(H25:AU25,"&lt;&gt;")=0,"",SUMPRODUCT(((Recommendations[ImplStatus]="Implemented")+(Recommendations[ImplStatus]="Compensated"))*ISNUMBER(MATCH(Recommendations[Id],H25:AU25,0)))/COUNTIF(H25:AU25,"&lt;&gt;"))</f>
        <v>0</v>
      </c>
      <c r="H25" s="272" t="s">
        <v>285</v>
      </c>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5142</v>
      </c>
      <c r="B26" s="260" t="s">
        <v>5172</v>
      </c>
      <c r="C26" s="261" t="s">
        <v>5192</v>
      </c>
      <c r="D26" s="264" t="s">
        <v>5193</v>
      </c>
      <c r="E26" s="265" t="s">
        <v>5146</v>
      </c>
      <c r="F26" s="268" t="s">
        <v>5191</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5142</v>
      </c>
      <c r="B27" s="260" t="s">
        <v>5172</v>
      </c>
      <c r="C27" s="261" t="s">
        <v>5194</v>
      </c>
      <c r="D27" s="264" t="s">
        <v>5195</v>
      </c>
      <c r="E27" s="265" t="s">
        <v>5146</v>
      </c>
      <c r="F27" s="268" t="s">
        <v>5191</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5142</v>
      </c>
      <c r="B28" s="260" t="s">
        <v>5172</v>
      </c>
      <c r="C28" s="261" t="s">
        <v>5196</v>
      </c>
      <c r="D28" s="264" t="s">
        <v>5197</v>
      </c>
      <c r="E28" s="265" t="s">
        <v>5146</v>
      </c>
      <c r="F28" s="268" t="s">
        <v>5191</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5142</v>
      </c>
      <c r="B29" s="260" t="s">
        <v>5172</v>
      </c>
      <c r="C29" s="261" t="s">
        <v>5198</v>
      </c>
      <c r="D29" s="264" t="s">
        <v>5199</v>
      </c>
      <c r="E29" s="265" t="s">
        <v>5146</v>
      </c>
      <c r="F29" s="268" t="s">
        <v>5191</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5142</v>
      </c>
      <c r="B30" s="260" t="s">
        <v>5172</v>
      </c>
      <c r="C30" s="261" t="s">
        <v>5200</v>
      </c>
      <c r="D30" s="264" t="s">
        <v>5201</v>
      </c>
      <c r="E30" s="265" t="s">
        <v>5146</v>
      </c>
      <c r="F30" s="268" t="s">
        <v>5191</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5142</v>
      </c>
      <c r="B31" s="260" t="s">
        <v>5172</v>
      </c>
      <c r="C31" s="261" t="s">
        <v>5202</v>
      </c>
      <c r="D31" s="264" t="s">
        <v>5203</v>
      </c>
      <c r="E31" s="265" t="s">
        <v>5146</v>
      </c>
      <c r="F31" s="268" t="s">
        <v>5191</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5142</v>
      </c>
      <c r="B32" s="260" t="s">
        <v>5172</v>
      </c>
      <c r="C32" s="261" t="s">
        <v>5204</v>
      </c>
      <c r="D32" s="264" t="s">
        <v>5205</v>
      </c>
      <c r="E32" s="265" t="s">
        <v>5146</v>
      </c>
      <c r="F32" s="268" t="s">
        <v>5191</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5142</v>
      </c>
      <c r="B33" s="260" t="s">
        <v>5172</v>
      </c>
      <c r="C33" s="261" t="s">
        <v>5206</v>
      </c>
      <c r="D33" s="264" t="s">
        <v>5207</v>
      </c>
      <c r="E33" s="265" t="s">
        <v>5175</v>
      </c>
      <c r="F33" s="268" t="s">
        <v>5176</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5142</v>
      </c>
      <c r="B34" s="260" t="s">
        <v>5172</v>
      </c>
      <c r="C34" s="261" t="s">
        <v>5208</v>
      </c>
      <c r="D34" s="264" t="s">
        <v>5209</v>
      </c>
      <c r="E34" s="265" t="s">
        <v>5146</v>
      </c>
      <c r="F34" s="268" t="s">
        <v>5191</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5142</v>
      </c>
      <c r="B35" s="259" t="s">
        <v>5210</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5142</v>
      </c>
      <c r="B36" s="260" t="s">
        <v>5210</v>
      </c>
      <c r="C36" s="261" t="s">
        <v>5211</v>
      </c>
      <c r="D36" s="264" t="s">
        <v>5212</v>
      </c>
      <c r="E36" s="265" t="s">
        <v>5146</v>
      </c>
      <c r="F36" s="268" t="s">
        <v>5191</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5142</v>
      </c>
      <c r="B37" s="260" t="s">
        <v>5210</v>
      </c>
      <c r="C37" s="261" t="s">
        <v>5213</v>
      </c>
      <c r="D37" s="264" t="s">
        <v>5214</v>
      </c>
      <c r="E37" s="265" t="s">
        <v>5146</v>
      </c>
      <c r="F37" s="268" t="s">
        <v>5215</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5142</v>
      </c>
      <c r="B38" s="260" t="s">
        <v>5210</v>
      </c>
      <c r="C38" s="261" t="s">
        <v>5216</v>
      </c>
      <c r="D38" s="264" t="s">
        <v>5217</v>
      </c>
      <c r="E38" s="265" t="s">
        <v>5146</v>
      </c>
      <c r="F38" s="268" t="s">
        <v>5215</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5142</v>
      </c>
      <c r="B39" s="260" t="s">
        <v>5210</v>
      </c>
      <c r="C39" s="261" t="s">
        <v>5218</v>
      </c>
      <c r="D39" s="264" t="s">
        <v>5219</v>
      </c>
      <c r="E39" s="265" t="s">
        <v>5146</v>
      </c>
      <c r="F39" s="268" t="s">
        <v>5215</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5142</v>
      </c>
      <c r="B40" s="260" t="s">
        <v>5210</v>
      </c>
      <c r="C40" s="261" t="s">
        <v>5220</v>
      </c>
      <c r="D40" s="264" t="s">
        <v>5221</v>
      </c>
      <c r="E40" s="265" t="s">
        <v>5146</v>
      </c>
      <c r="F40" s="268" t="s">
        <v>5215</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5142</v>
      </c>
      <c r="B41" s="260" t="s">
        <v>5210</v>
      </c>
      <c r="C41" s="261" t="s">
        <v>5222</v>
      </c>
      <c r="D41" s="264" t="s">
        <v>5223</v>
      </c>
      <c r="E41" s="265" t="s">
        <v>5146</v>
      </c>
      <c r="F41" s="268" t="s">
        <v>5215</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5142</v>
      </c>
      <c r="B42" s="260" t="s">
        <v>5210</v>
      </c>
      <c r="C42" s="261" t="s">
        <v>5224</v>
      </c>
      <c r="D42" s="264" t="s">
        <v>5225</v>
      </c>
      <c r="E42" s="265" t="s">
        <v>5146</v>
      </c>
      <c r="F42" s="268" t="s">
        <v>5215</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5142</v>
      </c>
      <c r="B43" s="260" t="s">
        <v>5210</v>
      </c>
      <c r="C43" s="261" t="s">
        <v>5226</v>
      </c>
      <c r="D43" s="264" t="s">
        <v>5227</v>
      </c>
      <c r="E43" s="265" t="s">
        <v>5146</v>
      </c>
      <c r="F43" s="268" t="s">
        <v>5215</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5142</v>
      </c>
      <c r="B44" s="260" t="s">
        <v>5210</v>
      </c>
      <c r="C44" s="261" t="s">
        <v>5228</v>
      </c>
      <c r="D44" s="264" t="s">
        <v>5229</v>
      </c>
      <c r="E44" s="265" t="s">
        <v>5146</v>
      </c>
      <c r="F44" s="268" t="s">
        <v>5215</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5142</v>
      </c>
      <c r="B45" s="260" t="s">
        <v>5210</v>
      </c>
      <c r="C45" s="261" t="s">
        <v>5230</v>
      </c>
      <c r="D45" s="264" t="s">
        <v>5231</v>
      </c>
      <c r="E45" s="265" t="s">
        <v>5146</v>
      </c>
      <c r="F45" s="268" t="s">
        <v>5215</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5142</v>
      </c>
      <c r="B46" s="260" t="s">
        <v>5210</v>
      </c>
      <c r="C46" s="261" t="s">
        <v>5232</v>
      </c>
      <c r="D46" s="264" t="s">
        <v>5233</v>
      </c>
      <c r="E46" s="265" t="s">
        <v>5146</v>
      </c>
      <c r="F46" s="268" t="s">
        <v>5215</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5142</v>
      </c>
      <c r="B47" s="260" t="s">
        <v>5210</v>
      </c>
      <c r="C47" s="261" t="s">
        <v>5234</v>
      </c>
      <c r="D47" s="264" t="s">
        <v>5235</v>
      </c>
      <c r="E47" s="265" t="s">
        <v>5146</v>
      </c>
      <c r="F47" s="268" t="s">
        <v>5215</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5142</v>
      </c>
      <c r="B48" s="260" t="s">
        <v>5210</v>
      </c>
      <c r="C48" s="261" t="s">
        <v>5236</v>
      </c>
      <c r="D48" s="264" t="s">
        <v>5237</v>
      </c>
      <c r="E48" s="265" t="s">
        <v>5146</v>
      </c>
      <c r="F48" s="268" t="s">
        <v>5215</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5142</v>
      </c>
      <c r="B49" s="260" t="s">
        <v>5210</v>
      </c>
      <c r="C49" s="261" t="s">
        <v>5238</v>
      </c>
      <c r="D49" s="264" t="s">
        <v>5239</v>
      </c>
      <c r="E49" s="265" t="s">
        <v>5146</v>
      </c>
      <c r="F49" s="268" t="s">
        <v>5215</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5142</v>
      </c>
      <c r="B50" s="259" t="s">
        <v>2412</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5142</v>
      </c>
      <c r="B51" s="260" t="s">
        <v>2412</v>
      </c>
      <c r="C51" s="261" t="s">
        <v>5240</v>
      </c>
      <c r="D51" s="264" t="s">
        <v>5241</v>
      </c>
      <c r="E51" s="265" t="s">
        <v>5242</v>
      </c>
      <c r="F51" s="268" t="s">
        <v>5243</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5142</v>
      </c>
      <c r="B52" s="260" t="s">
        <v>2412</v>
      </c>
      <c r="C52" s="261" t="s">
        <v>5244</v>
      </c>
      <c r="D52" s="264" t="s">
        <v>5245</v>
      </c>
      <c r="E52" s="265" t="s">
        <v>5242</v>
      </c>
      <c r="F52" s="268" t="s">
        <v>5243</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5142</v>
      </c>
      <c r="B53" s="260" t="s">
        <v>2412</v>
      </c>
      <c r="C53" s="261" t="s">
        <v>5246</v>
      </c>
      <c r="D53" s="264" t="s">
        <v>5247</v>
      </c>
      <c r="E53" s="265" t="s">
        <v>5242</v>
      </c>
      <c r="F53" s="268" t="s">
        <v>5243</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5142</v>
      </c>
      <c r="B54" s="260" t="s">
        <v>2412</v>
      </c>
      <c r="C54" s="261" t="s">
        <v>5248</v>
      </c>
      <c r="D54" s="264" t="s">
        <v>5249</v>
      </c>
      <c r="E54" s="265" t="s">
        <v>5242</v>
      </c>
      <c r="F54" s="268" t="s">
        <v>5243</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5142</v>
      </c>
      <c r="B55" s="260" t="s">
        <v>2412</v>
      </c>
      <c r="C55" s="261" t="s">
        <v>5250</v>
      </c>
      <c r="D55" s="264" t="s">
        <v>5251</v>
      </c>
      <c r="E55" s="265" t="s">
        <v>5242</v>
      </c>
      <c r="F55" s="268" t="s">
        <v>5243</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5142</v>
      </c>
      <c r="B56" s="260" t="s">
        <v>2412</v>
      </c>
      <c r="C56" s="261" t="s">
        <v>5252</v>
      </c>
      <c r="D56" s="264" t="s">
        <v>5253</v>
      </c>
      <c r="E56" s="265" t="s">
        <v>5242</v>
      </c>
      <c r="F56" s="268" t="s">
        <v>5243</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5142</v>
      </c>
      <c r="B57" s="260" t="s">
        <v>2412</v>
      </c>
      <c r="C57" s="261" t="s">
        <v>5254</v>
      </c>
      <c r="D57" s="264" t="s">
        <v>5255</v>
      </c>
      <c r="E57" s="265" t="s">
        <v>5242</v>
      </c>
      <c r="F57" s="268" t="s">
        <v>5243</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5142</v>
      </c>
      <c r="B58" s="260" t="s">
        <v>2412</v>
      </c>
      <c r="C58" s="261" t="s">
        <v>5256</v>
      </c>
      <c r="D58" s="264" t="s">
        <v>5257</v>
      </c>
      <c r="E58" s="265" t="s">
        <v>5146</v>
      </c>
      <c r="F58" s="268" t="s">
        <v>5243</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5142</v>
      </c>
      <c r="B59" s="260" t="s">
        <v>2412</v>
      </c>
      <c r="C59" s="261" t="s">
        <v>5258</v>
      </c>
      <c r="D59" s="264" t="s">
        <v>5259</v>
      </c>
      <c r="E59" s="265" t="s">
        <v>5146</v>
      </c>
      <c r="F59" s="268" t="s">
        <v>5243</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5142</v>
      </c>
      <c r="B60" s="259" t="s">
        <v>5260</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5142</v>
      </c>
      <c r="B61" s="260" t="s">
        <v>5260</v>
      </c>
      <c r="C61" s="261" t="s">
        <v>5261</v>
      </c>
      <c r="D61" s="264" t="s">
        <v>5262</v>
      </c>
      <c r="E61" s="265" t="s">
        <v>5146</v>
      </c>
      <c r="F61" s="268" t="s">
        <v>5263</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5142</v>
      </c>
      <c r="B62" s="260" t="s">
        <v>5260</v>
      </c>
      <c r="C62" s="261" t="s">
        <v>5264</v>
      </c>
      <c r="D62" s="264" t="s">
        <v>5265</v>
      </c>
      <c r="E62" s="265" t="s">
        <v>5146</v>
      </c>
      <c r="F62" s="268" t="s">
        <v>5263</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5142</v>
      </c>
      <c r="B63" s="260" t="s">
        <v>5260</v>
      </c>
      <c r="C63" s="261" t="s">
        <v>5266</v>
      </c>
      <c r="D63" s="264" t="s">
        <v>5267</v>
      </c>
      <c r="E63" s="265" t="s">
        <v>5146</v>
      </c>
      <c r="F63" s="268" t="s">
        <v>5263</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5142</v>
      </c>
      <c r="B64" s="260" t="s">
        <v>5260</v>
      </c>
      <c r="C64" s="261" t="s">
        <v>5268</v>
      </c>
      <c r="D64" s="264" t="s">
        <v>5269</v>
      </c>
      <c r="E64" s="265" t="s">
        <v>5146</v>
      </c>
      <c r="F64" s="268" t="s">
        <v>5263</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5142</v>
      </c>
      <c r="B65" s="260" t="s">
        <v>5260</v>
      </c>
      <c r="C65" s="261" t="s">
        <v>5270</v>
      </c>
      <c r="D65" s="264" t="s">
        <v>5271</v>
      </c>
      <c r="E65" s="265" t="s">
        <v>5146</v>
      </c>
      <c r="F65" s="268" t="s">
        <v>5263</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5142</v>
      </c>
      <c r="B66" s="260" t="s">
        <v>5260</v>
      </c>
      <c r="C66" s="261" t="s">
        <v>5272</v>
      </c>
      <c r="D66" s="264" t="s">
        <v>5273</v>
      </c>
      <c r="E66" s="265" t="s">
        <v>5146</v>
      </c>
      <c r="F66" s="268" t="s">
        <v>5263</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5142</v>
      </c>
      <c r="B67" s="260" t="s">
        <v>5260</v>
      </c>
      <c r="C67" s="261" t="s">
        <v>5274</v>
      </c>
      <c r="D67" s="264" t="s">
        <v>5275</v>
      </c>
      <c r="E67" s="265" t="s">
        <v>5146</v>
      </c>
      <c r="F67" s="268" t="s">
        <v>5263</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5142</v>
      </c>
      <c r="B68" s="260" t="s">
        <v>5260</v>
      </c>
      <c r="C68" s="261" t="s">
        <v>5276</v>
      </c>
      <c r="D68" s="264" t="s">
        <v>5277</v>
      </c>
      <c r="E68" s="265" t="s">
        <v>5146</v>
      </c>
      <c r="F68" s="268" t="s">
        <v>5278</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5142</v>
      </c>
      <c r="B69" s="260" t="s">
        <v>5260</v>
      </c>
      <c r="C69" s="261" t="s">
        <v>5279</v>
      </c>
      <c r="D69" s="264" t="s">
        <v>5280</v>
      </c>
      <c r="E69" s="265" t="s">
        <v>5146</v>
      </c>
      <c r="F69" s="268" t="s">
        <v>5278</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5142</v>
      </c>
      <c r="B70" s="260" t="s">
        <v>5260</v>
      </c>
      <c r="C70" s="261" t="s">
        <v>5281</v>
      </c>
      <c r="D70" s="264" t="s">
        <v>5282</v>
      </c>
      <c r="E70" s="265" t="s">
        <v>5146</v>
      </c>
      <c r="F70" s="268" t="s">
        <v>5278</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5142</v>
      </c>
      <c r="B71" s="260" t="s">
        <v>5260</v>
      </c>
      <c r="C71" s="261" t="s">
        <v>5283</v>
      </c>
      <c r="D71" s="264" t="s">
        <v>5284</v>
      </c>
      <c r="E71" s="265" t="s">
        <v>5146</v>
      </c>
      <c r="F71" s="268" t="s">
        <v>5285</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5142</v>
      </c>
      <c r="B72" s="260" t="s">
        <v>5260</v>
      </c>
      <c r="C72" s="261" t="s">
        <v>5286</v>
      </c>
      <c r="D72" s="264" t="s">
        <v>5287</v>
      </c>
      <c r="E72" s="265" t="s">
        <v>5146</v>
      </c>
      <c r="F72" s="268" t="s">
        <v>5263</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5142</v>
      </c>
      <c r="B73" s="260" t="s">
        <v>5260</v>
      </c>
      <c r="C73" s="261" t="s">
        <v>5288</v>
      </c>
      <c r="D73" s="264" t="s">
        <v>5289</v>
      </c>
      <c r="E73" s="265" t="s">
        <v>5290</v>
      </c>
      <c r="F73" s="268" t="s">
        <v>5263</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5142</v>
      </c>
      <c r="B74" s="259" t="s">
        <v>5291</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5142</v>
      </c>
      <c r="B75" s="260" t="s">
        <v>5291</v>
      </c>
      <c r="C75" s="261" t="s">
        <v>5292</v>
      </c>
      <c r="D75" s="264" t="s">
        <v>5293</v>
      </c>
      <c r="E75" s="265" t="s">
        <v>5290</v>
      </c>
      <c r="F75" s="268" t="s">
        <v>5294</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5142</v>
      </c>
      <c r="B76" s="260" t="s">
        <v>5291</v>
      </c>
      <c r="C76" s="261" t="s">
        <v>5295</v>
      </c>
      <c r="D76" s="264" t="s">
        <v>5296</v>
      </c>
      <c r="E76" s="265" t="s">
        <v>5290</v>
      </c>
      <c r="F76" s="268" t="s">
        <v>5294</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5142</v>
      </c>
      <c r="B77" s="260" t="s">
        <v>5291</v>
      </c>
      <c r="C77" s="261" t="s">
        <v>5297</v>
      </c>
      <c r="D77" s="264" t="s">
        <v>5298</v>
      </c>
      <c r="E77" s="265" t="s">
        <v>5290</v>
      </c>
      <c r="F77" s="268" t="s">
        <v>5294</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5142</v>
      </c>
      <c r="B78" s="260" t="s">
        <v>5291</v>
      </c>
      <c r="C78" s="261" t="s">
        <v>5299</v>
      </c>
      <c r="D78" s="264" t="s">
        <v>5300</v>
      </c>
      <c r="E78" s="265" t="s">
        <v>5290</v>
      </c>
      <c r="F78" s="268" t="s">
        <v>5294</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5142</v>
      </c>
      <c r="B79" s="260" t="s">
        <v>5291</v>
      </c>
      <c r="C79" s="261" t="s">
        <v>5301</v>
      </c>
      <c r="D79" s="264" t="s">
        <v>5302</v>
      </c>
      <c r="E79" s="265" t="s">
        <v>5290</v>
      </c>
      <c r="F79" s="268" t="s">
        <v>5294</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5142</v>
      </c>
      <c r="B80" s="260" t="s">
        <v>5291</v>
      </c>
      <c r="C80" s="261" t="s">
        <v>5303</v>
      </c>
      <c r="D80" s="264" t="s">
        <v>5304</v>
      </c>
      <c r="E80" s="265" t="s">
        <v>5290</v>
      </c>
      <c r="F80" s="268" t="s">
        <v>5294</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5142</v>
      </c>
      <c r="B81" s="260" t="s">
        <v>5291</v>
      </c>
      <c r="C81" s="261" t="s">
        <v>5305</v>
      </c>
      <c r="D81" s="264" t="s">
        <v>5306</v>
      </c>
      <c r="E81" s="265" t="s">
        <v>5290</v>
      </c>
      <c r="F81" s="268" t="s">
        <v>5294</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5142</v>
      </c>
      <c r="B82" s="260" t="s">
        <v>5291</v>
      </c>
      <c r="C82" s="261" t="s">
        <v>5307</v>
      </c>
      <c r="D82" s="264" t="s">
        <v>5308</v>
      </c>
      <c r="E82" s="265" t="s">
        <v>5290</v>
      </c>
      <c r="F82" s="268" t="s">
        <v>5294</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5142</v>
      </c>
      <c r="B83" s="260" t="s">
        <v>5291</v>
      </c>
      <c r="C83" s="261" t="s">
        <v>5309</v>
      </c>
      <c r="D83" s="264" t="s">
        <v>5310</v>
      </c>
      <c r="E83" s="265" t="s">
        <v>5290</v>
      </c>
      <c r="F83" s="268" t="s">
        <v>5294</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5142</v>
      </c>
      <c r="B84" s="260" t="s">
        <v>5291</v>
      </c>
      <c r="C84" s="261" t="s">
        <v>5311</v>
      </c>
      <c r="D84" s="264" t="s">
        <v>5312</v>
      </c>
      <c r="E84" s="265" t="s">
        <v>5290</v>
      </c>
      <c r="F84" s="268" t="s">
        <v>5294</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5142</v>
      </c>
      <c r="B85" s="260" t="s">
        <v>5291</v>
      </c>
      <c r="C85" s="261" t="s">
        <v>5313</v>
      </c>
      <c r="D85" s="264" t="s">
        <v>5314</v>
      </c>
      <c r="E85" s="265" t="s">
        <v>5290</v>
      </c>
      <c r="F85" s="268" t="s">
        <v>5294</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5142</v>
      </c>
      <c r="B86" s="260" t="s">
        <v>5291</v>
      </c>
      <c r="C86" s="261" t="s">
        <v>5315</v>
      </c>
      <c r="D86" s="264" t="s">
        <v>5316</v>
      </c>
      <c r="E86" s="265" t="s">
        <v>5290</v>
      </c>
      <c r="F86" s="268" t="s">
        <v>5294</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5142</v>
      </c>
      <c r="B87" s="260" t="s">
        <v>5291</v>
      </c>
      <c r="C87" s="261" t="s">
        <v>5317</v>
      </c>
      <c r="D87" s="264" t="s">
        <v>5318</v>
      </c>
      <c r="E87" s="265" t="s">
        <v>5290</v>
      </c>
      <c r="F87" s="268" t="s">
        <v>5294</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5142</v>
      </c>
      <c r="B88" s="260" t="s">
        <v>5291</v>
      </c>
      <c r="C88" s="261" t="s">
        <v>5319</v>
      </c>
      <c r="D88" s="264" t="s">
        <v>5320</v>
      </c>
      <c r="E88" s="265" t="s">
        <v>5290</v>
      </c>
      <c r="F88" s="268" t="s">
        <v>5278</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5142</v>
      </c>
      <c r="B89" s="260" t="s">
        <v>5291</v>
      </c>
      <c r="C89" s="261" t="s">
        <v>5321</v>
      </c>
      <c r="D89" s="264" t="s">
        <v>5322</v>
      </c>
      <c r="E89" s="265" t="s">
        <v>5290</v>
      </c>
      <c r="F89" s="268" t="s">
        <v>5278</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5142</v>
      </c>
      <c r="B90" s="260" t="s">
        <v>5291</v>
      </c>
      <c r="C90" s="261" t="s">
        <v>5323</v>
      </c>
      <c r="D90" s="264" t="s">
        <v>5324</v>
      </c>
      <c r="E90" s="265" t="s">
        <v>5290</v>
      </c>
      <c r="F90" s="268" t="s">
        <v>5278</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5142</v>
      </c>
      <c r="B91" s="259" t="s">
        <v>5325</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5142</v>
      </c>
      <c r="B92" s="260" t="s">
        <v>5325</v>
      </c>
      <c r="C92" s="261" t="s">
        <v>5326</v>
      </c>
      <c r="D92" s="264" t="s">
        <v>5327</v>
      </c>
      <c r="E92" s="265" t="s">
        <v>5146</v>
      </c>
      <c r="F92" s="268" t="s">
        <v>5278</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5142</v>
      </c>
      <c r="B93" s="260" t="s">
        <v>5325</v>
      </c>
      <c r="C93" s="261" t="s">
        <v>5328</v>
      </c>
      <c r="D93" s="264" t="s">
        <v>5329</v>
      </c>
      <c r="E93" s="265" t="s">
        <v>5146</v>
      </c>
      <c r="F93" s="268" t="s">
        <v>5278</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5142</v>
      </c>
      <c r="B94" s="260" t="s">
        <v>5325</v>
      </c>
      <c r="C94" s="261" t="s">
        <v>5330</v>
      </c>
      <c r="D94" s="264" t="s">
        <v>5331</v>
      </c>
      <c r="E94" s="265" t="s">
        <v>5146</v>
      </c>
      <c r="F94" s="268" t="s">
        <v>5278</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5142</v>
      </c>
      <c r="B95" s="260" t="s">
        <v>5325</v>
      </c>
      <c r="C95" s="261" t="s">
        <v>5332</v>
      </c>
      <c r="D95" s="264" t="s">
        <v>5333</v>
      </c>
      <c r="E95" s="265" t="s">
        <v>5146</v>
      </c>
      <c r="F95" s="268" t="s">
        <v>5278</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5142</v>
      </c>
      <c r="B96" s="260" t="s">
        <v>5325</v>
      </c>
      <c r="C96" s="261" t="s">
        <v>5334</v>
      </c>
      <c r="D96" s="264" t="s">
        <v>5335</v>
      </c>
      <c r="E96" s="265" t="s">
        <v>5146</v>
      </c>
      <c r="F96" s="268" t="s">
        <v>5278</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5142</v>
      </c>
      <c r="B97" s="260" t="s">
        <v>5325</v>
      </c>
      <c r="C97" s="261" t="s">
        <v>5336</v>
      </c>
      <c r="D97" s="264" t="s">
        <v>5337</v>
      </c>
      <c r="E97" s="265" t="s">
        <v>5146</v>
      </c>
      <c r="F97" s="268" t="s">
        <v>5338</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5142</v>
      </c>
      <c r="B98" s="260" t="s">
        <v>5325</v>
      </c>
      <c r="C98" s="261" t="s">
        <v>5339</v>
      </c>
      <c r="D98" s="264" t="s">
        <v>5340</v>
      </c>
      <c r="E98" s="265" t="s">
        <v>5146</v>
      </c>
      <c r="F98" s="268" t="s">
        <v>5338</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5142</v>
      </c>
      <c r="B99" s="260" t="s">
        <v>5325</v>
      </c>
      <c r="C99" s="261" t="s">
        <v>5341</v>
      </c>
      <c r="D99" s="264" t="s">
        <v>5342</v>
      </c>
      <c r="E99" s="265" t="s">
        <v>5146</v>
      </c>
      <c r="F99" s="268" t="s">
        <v>5338</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5142</v>
      </c>
      <c r="B100" s="260" t="s">
        <v>5325</v>
      </c>
      <c r="C100" s="261" t="s">
        <v>5343</v>
      </c>
      <c r="D100" s="264" t="s">
        <v>5344</v>
      </c>
      <c r="E100" s="265" t="s">
        <v>5146</v>
      </c>
      <c r="F100" s="268" t="s">
        <v>5338</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5142</v>
      </c>
      <c r="B101" s="260" t="s">
        <v>5325</v>
      </c>
      <c r="C101" s="261" t="s">
        <v>5345</v>
      </c>
      <c r="D101" s="264" t="s">
        <v>5346</v>
      </c>
      <c r="E101" s="265" t="s">
        <v>5146</v>
      </c>
      <c r="F101" s="268" t="s">
        <v>5278</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5142</v>
      </c>
      <c r="B102" s="260" t="s">
        <v>5325</v>
      </c>
      <c r="C102" s="261" t="s">
        <v>5347</v>
      </c>
      <c r="D102" s="264" t="s">
        <v>5348</v>
      </c>
      <c r="E102" s="265" t="s">
        <v>5290</v>
      </c>
      <c r="F102" s="268" t="s">
        <v>5278</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5142</v>
      </c>
      <c r="B103" s="260" t="s">
        <v>5325</v>
      </c>
      <c r="C103" s="261" t="s">
        <v>5349</v>
      </c>
      <c r="D103" s="264" t="s">
        <v>5350</v>
      </c>
      <c r="E103" s="265" t="s">
        <v>5290</v>
      </c>
      <c r="F103" s="268" t="s">
        <v>5278</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5142</v>
      </c>
      <c r="B104" s="260" t="s">
        <v>5325</v>
      </c>
      <c r="C104" s="261" t="s">
        <v>5351</v>
      </c>
      <c r="D104" s="264" t="s">
        <v>5352</v>
      </c>
      <c r="E104" s="265" t="s">
        <v>5290</v>
      </c>
      <c r="F104" s="268" t="s">
        <v>5278</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5142</v>
      </c>
      <c r="B105" s="260" t="s">
        <v>5325</v>
      </c>
      <c r="C105" s="261" t="s">
        <v>5353</v>
      </c>
      <c r="D105" s="264" t="s">
        <v>5354</v>
      </c>
      <c r="E105" s="265" t="s">
        <v>5175</v>
      </c>
      <c r="F105" s="268" t="s">
        <v>5278</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5142</v>
      </c>
      <c r="B106" s="259" t="s">
        <v>5355</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5142</v>
      </c>
      <c r="B107" s="260" t="s">
        <v>5355</v>
      </c>
      <c r="C107" s="261" t="s">
        <v>5356</v>
      </c>
      <c r="D107" s="264" t="s">
        <v>5357</v>
      </c>
      <c r="E107" s="265" t="s">
        <v>5290</v>
      </c>
      <c r="F107" s="268" t="s">
        <v>5278</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5142</v>
      </c>
      <c r="B108" s="260" t="s">
        <v>5355</v>
      </c>
      <c r="C108" s="261" t="s">
        <v>5358</v>
      </c>
      <c r="D108" s="264" t="s">
        <v>5359</v>
      </c>
      <c r="E108" s="265" t="s">
        <v>5290</v>
      </c>
      <c r="F108" s="268" t="s">
        <v>5278</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5142</v>
      </c>
      <c r="B109" s="260" t="s">
        <v>5355</v>
      </c>
      <c r="C109" s="261" t="s">
        <v>5360</v>
      </c>
      <c r="D109" s="264" t="s">
        <v>5361</v>
      </c>
      <c r="E109" s="265" t="s">
        <v>5290</v>
      </c>
      <c r="F109" s="268" t="s">
        <v>5278</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5142</v>
      </c>
      <c r="B110" s="260" t="s">
        <v>5355</v>
      </c>
      <c r="C110" s="261" t="s">
        <v>5362</v>
      </c>
      <c r="D110" s="264" t="s">
        <v>5363</v>
      </c>
      <c r="E110" s="265" t="s">
        <v>5290</v>
      </c>
      <c r="F110" s="268" t="s">
        <v>5278</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5142</v>
      </c>
      <c r="B111" s="260" t="s">
        <v>5355</v>
      </c>
      <c r="C111" s="261" t="s">
        <v>5364</v>
      </c>
      <c r="D111" s="264" t="s">
        <v>5365</v>
      </c>
      <c r="E111" s="265" t="s">
        <v>5290</v>
      </c>
      <c r="F111" s="268" t="s">
        <v>5278</v>
      </c>
      <c r="G111" s="271">
        <f>IF(COUNTIF(H111:AU111,"&lt;&gt;")=0,"",SUMPRODUCT(((Recommendations[ImplStatus]="Implemented")+(Recommendations[ImplStatus]="Compensated"))*ISNUMBER(MATCH(Recommendations[Id],H111:AU111,0)))/COUNTIF(H111:AU111,"&lt;&gt;"))</f>
        <v>0</v>
      </c>
      <c r="H111" s="272" t="s">
        <v>14</v>
      </c>
      <c r="I111" s="272" t="s">
        <v>147</v>
      </c>
      <c r="J111" s="272" t="s">
        <v>152</v>
      </c>
      <c r="K111" s="272" t="s">
        <v>310</v>
      </c>
      <c r="L111" s="272" t="s">
        <v>358</v>
      </c>
      <c r="M111" s="272" t="s">
        <v>368</v>
      </c>
      <c r="N111" s="272" t="s">
        <v>378</v>
      </c>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5142</v>
      </c>
      <c r="B112" s="260" t="s">
        <v>5355</v>
      </c>
      <c r="C112" s="261" t="s">
        <v>5366</v>
      </c>
      <c r="D112" s="264" t="s">
        <v>5367</v>
      </c>
      <c r="E112" s="265" t="s">
        <v>5290</v>
      </c>
      <c r="F112" s="268" t="s">
        <v>5278</v>
      </c>
      <c r="G112" s="271">
        <f>IF(COUNTIF(H112:AU112,"&lt;&gt;")=0,"",SUMPRODUCT(((Recommendations[ImplStatus]="Implemented")+(Recommendations[ImplStatus]="Compensated"))*ISNUMBER(MATCH(Recommendations[Id],H112:AU112,0)))/COUNTIF(H112:AU112,"&lt;&gt;"))</f>
        <v>0</v>
      </c>
      <c r="H112" s="272" t="s">
        <v>14</v>
      </c>
      <c r="I112" s="272" t="s">
        <v>147</v>
      </c>
      <c r="J112" s="272" t="s">
        <v>152</v>
      </c>
      <c r="K112" s="272" t="s">
        <v>310</v>
      </c>
      <c r="L112" s="272" t="s">
        <v>358</v>
      </c>
      <c r="M112" s="272" t="s">
        <v>368</v>
      </c>
      <c r="N112" s="272" t="s">
        <v>378</v>
      </c>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5142</v>
      </c>
      <c r="B113" s="260" t="s">
        <v>5355</v>
      </c>
      <c r="C113" s="261" t="s">
        <v>5368</v>
      </c>
      <c r="D113" s="264" t="s">
        <v>5369</v>
      </c>
      <c r="E113" s="265" t="s">
        <v>5290</v>
      </c>
      <c r="F113" s="268" t="s">
        <v>5278</v>
      </c>
      <c r="G113" s="271" t="str">
        <f>IF(COUNTIF(H113:AU113,"&lt;&gt;")=0,"",SUMPRODUCT(((Recommendations[ImplStatus]="Implemented")+(Recommendations[ImplStatus]="Compensated"))*ISNUMBER(MATCH(Recommendations[Id],H113:AU113,0)))/COUNTIF(H113:AU113,"&lt;&gt;"))</f>
        <v/>
      </c>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5142</v>
      </c>
      <c r="B114" s="260" t="s">
        <v>5355</v>
      </c>
      <c r="C114" s="261" t="s">
        <v>5370</v>
      </c>
      <c r="D114" s="264" t="s">
        <v>5371</v>
      </c>
      <c r="E114" s="265" t="s">
        <v>5290</v>
      </c>
      <c r="F114" s="268" t="s">
        <v>5278</v>
      </c>
      <c r="G114" s="271">
        <f>IF(COUNTIF(H114:AU114,"&lt;&gt;")=0,"",SUMPRODUCT(((Recommendations[ImplStatus]="Implemented")+(Recommendations[ImplStatus]="Compensated"))*ISNUMBER(MATCH(Recommendations[Id],H114:AU114,0)))/COUNTIF(H114:AU114,"&lt;&gt;"))</f>
        <v>0</v>
      </c>
      <c r="H114" s="272" t="s">
        <v>290</v>
      </c>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5142</v>
      </c>
      <c r="B115" s="260" t="s">
        <v>5355</v>
      </c>
      <c r="C115" s="261" t="s">
        <v>5372</v>
      </c>
      <c r="D115" s="264" t="s">
        <v>5373</v>
      </c>
      <c r="E115" s="265" t="s">
        <v>5290</v>
      </c>
      <c r="F115" s="268" t="s">
        <v>5278</v>
      </c>
      <c r="G115" s="271" t="str">
        <f>IF(COUNTIF(H115:AU115,"&lt;&gt;")=0,"",SUMPRODUCT(((Recommendations[ImplStatus]="Implemented")+(Recommendations[ImplStatus]="Compensated"))*ISNUMBER(MATCH(Recommendations[Id],H115:AU115,0)))/COUNTIF(H115:AU115,"&lt;&gt;"))</f>
        <v/>
      </c>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5142</v>
      </c>
      <c r="B116" s="260" t="s">
        <v>5355</v>
      </c>
      <c r="C116" s="261" t="s">
        <v>5374</v>
      </c>
      <c r="D116" s="264" t="s">
        <v>5375</v>
      </c>
      <c r="E116" s="265" t="s">
        <v>5290</v>
      </c>
      <c r="F116" s="268" t="s">
        <v>5278</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5142</v>
      </c>
      <c r="B117" s="260" t="s">
        <v>5355</v>
      </c>
      <c r="C117" s="261" t="s">
        <v>5376</v>
      </c>
      <c r="D117" s="264" t="s">
        <v>5377</v>
      </c>
      <c r="E117" s="265" t="s">
        <v>5290</v>
      </c>
      <c r="F117" s="268" t="s">
        <v>5278</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5378</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5378</v>
      </c>
      <c r="B119" s="259" t="s">
        <v>5379</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5378</v>
      </c>
      <c r="B120" s="260" t="s">
        <v>5379</v>
      </c>
      <c r="C120" s="261" t="s">
        <v>5380</v>
      </c>
      <c r="D120" s="264" t="s">
        <v>5381</v>
      </c>
      <c r="E120" s="265" t="s">
        <v>5146</v>
      </c>
      <c r="F120" s="268" t="s">
        <v>5382</v>
      </c>
      <c r="G120" s="271" t="str">
        <f>IF(COUNTIF(H120:AU120,"&lt;&gt;")=0,"",SUMPRODUCT(((Recommendations[ImplStatus]="Implemented")+(Recommendations[ImplStatus]="Compensated"))*ISNUMBER(MATCH(Recommendations[Id],H120:AU120,0)))/COUNTIF(H120:AU120,"&lt;&gt;"))</f>
        <v/>
      </c>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5378</v>
      </c>
      <c r="B121" s="260" t="s">
        <v>5379</v>
      </c>
      <c r="C121" s="261" t="s">
        <v>5383</v>
      </c>
      <c r="D121" s="264" t="s">
        <v>5384</v>
      </c>
      <c r="E121" s="265" t="s">
        <v>5146</v>
      </c>
      <c r="F121" s="268" t="s">
        <v>5382</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5378</v>
      </c>
      <c r="B122" s="260" t="s">
        <v>5379</v>
      </c>
      <c r="C122" s="261" t="s">
        <v>5385</v>
      </c>
      <c r="D122" s="264" t="s">
        <v>5386</v>
      </c>
      <c r="E122" s="265" t="s">
        <v>5146</v>
      </c>
      <c r="F122" s="268" t="s">
        <v>5382</v>
      </c>
      <c r="G122" s="271" t="str">
        <f>IF(COUNTIF(H122:AU122,"&lt;&gt;")=0,"",SUMPRODUCT(((Recommendations[ImplStatus]="Implemented")+(Recommendations[ImplStatus]="Compensated"))*ISNUMBER(MATCH(Recommendations[Id],H122:AU122,0)))/COUNTIF(H122:AU122,"&lt;&gt;"))</f>
        <v/>
      </c>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5378</v>
      </c>
      <c r="B123" s="260" t="s">
        <v>5379</v>
      </c>
      <c r="C123" s="261" t="s">
        <v>5387</v>
      </c>
      <c r="D123" s="264" t="s">
        <v>5388</v>
      </c>
      <c r="E123" s="265" t="s">
        <v>5146</v>
      </c>
      <c r="F123" s="268" t="s">
        <v>5382</v>
      </c>
      <c r="G123" s="271">
        <f>IF(COUNTIF(H123:AU123,"&lt;&gt;")=0,"",SUMPRODUCT(((Recommendations[ImplStatus]="Implemented")+(Recommendations[ImplStatus]="Compensated"))*ISNUMBER(MATCH(Recommendations[Id],H123:AU123,0)))/COUNTIF(H123:AU123,"&lt;&gt;"))</f>
        <v>0</v>
      </c>
      <c r="H123" s="272" t="s">
        <v>66</v>
      </c>
      <c r="I123" s="272" t="s">
        <v>100</v>
      </c>
      <c r="J123" s="272" t="s">
        <v>105</v>
      </c>
      <c r="K123" s="272" t="s">
        <v>118</v>
      </c>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5378</v>
      </c>
      <c r="B124" s="260" t="s">
        <v>5379</v>
      </c>
      <c r="C124" s="261" t="s">
        <v>5389</v>
      </c>
      <c r="D124" s="264" t="s">
        <v>5390</v>
      </c>
      <c r="E124" s="265" t="s">
        <v>5146</v>
      </c>
      <c r="F124" s="268" t="s">
        <v>5382</v>
      </c>
      <c r="G124" s="271" t="str">
        <f>IF(COUNTIF(H124:AU124,"&lt;&gt;")=0,"",SUMPRODUCT(((Recommendations[ImplStatus]="Implemented")+(Recommendations[ImplStatus]="Compensated"))*ISNUMBER(MATCH(Recommendations[Id],H124:AU124,0)))/COUNTIF(H124:AU124,"&lt;&gt;"))</f>
        <v/>
      </c>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5378</v>
      </c>
      <c r="B125" s="260" t="s">
        <v>5379</v>
      </c>
      <c r="C125" s="261" t="s">
        <v>5391</v>
      </c>
      <c r="D125" s="264" t="s">
        <v>5392</v>
      </c>
      <c r="E125" s="265" t="s">
        <v>5146</v>
      </c>
      <c r="F125" s="268" t="s">
        <v>5382</v>
      </c>
      <c r="G125" s="271" t="str">
        <f>IF(COUNTIF(H125:AU125,"&lt;&gt;")=0,"",SUMPRODUCT(((Recommendations[ImplStatus]="Implemented")+(Recommendations[ImplStatus]="Compensated"))*ISNUMBER(MATCH(Recommendations[Id],H125:AU125,0)))/COUNTIF(H125:AU125,"&lt;&gt;"))</f>
        <v/>
      </c>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5378</v>
      </c>
      <c r="B126" s="260" t="s">
        <v>5379</v>
      </c>
      <c r="C126" s="261" t="s">
        <v>5393</v>
      </c>
      <c r="D126" s="264" t="s">
        <v>5394</v>
      </c>
      <c r="E126" s="265" t="s">
        <v>5146</v>
      </c>
      <c r="F126" s="268" t="s">
        <v>5382</v>
      </c>
      <c r="G126" s="271" t="str">
        <f>IF(COUNTIF(H126:AU126,"&lt;&gt;")=0,"",SUMPRODUCT(((Recommendations[ImplStatus]="Implemented")+(Recommendations[ImplStatus]="Compensated"))*ISNUMBER(MATCH(Recommendations[Id],H126:AU126,0)))/COUNTIF(H126:AU126,"&lt;&gt;"))</f>
        <v/>
      </c>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5378</v>
      </c>
      <c r="B127" s="260" t="s">
        <v>5379</v>
      </c>
      <c r="C127" s="261" t="s">
        <v>5395</v>
      </c>
      <c r="D127" s="264" t="s">
        <v>5396</v>
      </c>
      <c r="E127" s="265" t="s">
        <v>5146</v>
      </c>
      <c r="F127" s="268" t="s">
        <v>5382</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5378</v>
      </c>
      <c r="B128" s="260" t="s">
        <v>5379</v>
      </c>
      <c r="C128" s="261" t="s">
        <v>5397</v>
      </c>
      <c r="D128" s="264" t="s">
        <v>5398</v>
      </c>
      <c r="E128" s="265" t="s">
        <v>5146</v>
      </c>
      <c r="F128" s="268" t="s">
        <v>5382</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5378</v>
      </c>
      <c r="B129" s="260" t="s">
        <v>5379</v>
      </c>
      <c r="C129" s="261" t="s">
        <v>5399</v>
      </c>
      <c r="D129" s="264" t="s">
        <v>5400</v>
      </c>
      <c r="E129" s="265" t="s">
        <v>5146</v>
      </c>
      <c r="F129" s="268" t="s">
        <v>5382</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5378</v>
      </c>
      <c r="B130" s="260" t="s">
        <v>5379</v>
      </c>
      <c r="C130" s="261" t="s">
        <v>5401</v>
      </c>
      <c r="D130" s="264" t="s">
        <v>5402</v>
      </c>
      <c r="E130" s="265" t="s">
        <v>5146</v>
      </c>
      <c r="F130" s="268" t="s">
        <v>5382</v>
      </c>
      <c r="G130" s="271" t="str">
        <f>IF(COUNTIF(H130:AU130,"&lt;&gt;")=0,"",SUMPRODUCT(((Recommendations[ImplStatus]="Implemented")+(Recommendations[ImplStatus]="Compensated"))*ISNUMBER(MATCH(Recommendations[Id],H130:AU130,0)))/COUNTIF(H130:AU130,"&lt;&gt;"))</f>
        <v/>
      </c>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5378</v>
      </c>
      <c r="B131" s="260" t="s">
        <v>5379</v>
      </c>
      <c r="C131" s="261" t="s">
        <v>5403</v>
      </c>
      <c r="D131" s="264" t="s">
        <v>5404</v>
      </c>
      <c r="E131" s="265" t="s">
        <v>5146</v>
      </c>
      <c r="F131" s="268" t="s">
        <v>5382</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5378</v>
      </c>
      <c r="B132" s="260" t="s">
        <v>5379</v>
      </c>
      <c r="C132" s="261" t="s">
        <v>5405</v>
      </c>
      <c r="D132" s="264" t="s">
        <v>5406</v>
      </c>
      <c r="E132" s="265" t="s">
        <v>5146</v>
      </c>
      <c r="F132" s="268" t="s">
        <v>5382</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5378</v>
      </c>
      <c r="B133" s="260" t="s">
        <v>5379</v>
      </c>
      <c r="C133" s="261" t="s">
        <v>5407</v>
      </c>
      <c r="D133" s="264" t="s">
        <v>5408</v>
      </c>
      <c r="E133" s="265" t="s">
        <v>5175</v>
      </c>
      <c r="F133" s="268" t="s">
        <v>5382</v>
      </c>
      <c r="G133" s="271" t="str">
        <f>IF(COUNTIF(H133:AU133,"&lt;&gt;")=0,"",SUMPRODUCT(((Recommendations[ImplStatus]="Implemented")+(Recommendations[ImplStatus]="Compensated"))*ISNUMBER(MATCH(Recommendations[Id],H133:AU133,0)))/COUNTIF(H133:AU133,"&lt;&gt;"))</f>
        <v/>
      </c>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5378</v>
      </c>
      <c r="B134" s="260" t="s">
        <v>5379</v>
      </c>
      <c r="C134" s="261" t="s">
        <v>5409</v>
      </c>
      <c r="D134" s="264" t="s">
        <v>5410</v>
      </c>
      <c r="E134" s="265" t="s">
        <v>5175</v>
      </c>
      <c r="F134" s="268" t="s">
        <v>5382</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5378</v>
      </c>
      <c r="B135" s="260" t="s">
        <v>5379</v>
      </c>
      <c r="C135" s="261" t="s">
        <v>5411</v>
      </c>
      <c r="D135" s="264" t="s">
        <v>5412</v>
      </c>
      <c r="E135" s="265" t="s">
        <v>5290</v>
      </c>
      <c r="F135" s="268" t="s">
        <v>5382</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5378</v>
      </c>
      <c r="B136" s="260" t="s">
        <v>5379</v>
      </c>
      <c r="C136" s="261" t="s">
        <v>5413</v>
      </c>
      <c r="D136" s="264" t="s">
        <v>5414</v>
      </c>
      <c r="E136" s="265" t="s">
        <v>5175</v>
      </c>
      <c r="F136" s="268" t="s">
        <v>5382</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5378</v>
      </c>
      <c r="B137" s="260" t="s">
        <v>5379</v>
      </c>
      <c r="C137" s="261" t="s">
        <v>5415</v>
      </c>
      <c r="D137" s="264" t="s">
        <v>5416</v>
      </c>
      <c r="E137" s="265" t="s">
        <v>5175</v>
      </c>
      <c r="F137" s="268" t="s">
        <v>5382</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5378</v>
      </c>
      <c r="B138" s="260" t="s">
        <v>5379</v>
      </c>
      <c r="C138" s="261" t="s">
        <v>5417</v>
      </c>
      <c r="D138" s="264" t="s">
        <v>5418</v>
      </c>
      <c r="E138" s="265" t="s">
        <v>5290</v>
      </c>
      <c r="F138" s="268" t="s">
        <v>5382</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5378</v>
      </c>
      <c r="B139" s="260" t="s">
        <v>5379</v>
      </c>
      <c r="C139" s="261" t="s">
        <v>5419</v>
      </c>
      <c r="D139" s="264" t="s">
        <v>5420</v>
      </c>
      <c r="E139" s="265" t="s">
        <v>5290</v>
      </c>
      <c r="F139" s="268" t="s">
        <v>5382</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5378</v>
      </c>
      <c r="B140" s="260" t="s">
        <v>5379</v>
      </c>
      <c r="C140" s="261" t="s">
        <v>5421</v>
      </c>
      <c r="D140" s="264" t="s">
        <v>5422</v>
      </c>
      <c r="E140" s="265" t="s">
        <v>5146</v>
      </c>
      <c r="F140" s="268" t="s">
        <v>5382</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5378</v>
      </c>
      <c r="B141" s="260" t="s">
        <v>5379</v>
      </c>
      <c r="C141" s="261" t="s">
        <v>5423</v>
      </c>
      <c r="D141" s="264" t="s">
        <v>5424</v>
      </c>
      <c r="E141" s="265" t="s">
        <v>5425</v>
      </c>
      <c r="F141" s="268" t="s">
        <v>5426</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5378</v>
      </c>
      <c r="B142" s="260" t="s">
        <v>5379</v>
      </c>
      <c r="C142" s="261" t="s">
        <v>5427</v>
      </c>
      <c r="D142" s="264" t="s">
        <v>5428</v>
      </c>
      <c r="E142" s="265" t="s">
        <v>5425</v>
      </c>
      <c r="F142" s="268" t="s">
        <v>5426</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5378</v>
      </c>
      <c r="B143" s="260" t="s">
        <v>5379</v>
      </c>
      <c r="C143" s="261" t="s">
        <v>5429</v>
      </c>
      <c r="D143" s="264" t="s">
        <v>5430</v>
      </c>
      <c r="E143" s="265" t="s">
        <v>5425</v>
      </c>
      <c r="F143" s="268" t="s">
        <v>5426</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5378</v>
      </c>
      <c r="B144" s="260" t="s">
        <v>5379</v>
      </c>
      <c r="C144" s="261" t="s">
        <v>5431</v>
      </c>
      <c r="D144" s="264" t="s">
        <v>5432</v>
      </c>
      <c r="E144" s="265" t="s">
        <v>5242</v>
      </c>
      <c r="F144" s="268" t="s">
        <v>5426</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5378</v>
      </c>
      <c r="B145" s="260" t="s">
        <v>5379</v>
      </c>
      <c r="C145" s="261" t="s">
        <v>5433</v>
      </c>
      <c r="D145" s="264" t="s">
        <v>5434</v>
      </c>
      <c r="E145" s="265" t="s">
        <v>5242</v>
      </c>
      <c r="F145" s="268" t="s">
        <v>5426</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5378</v>
      </c>
      <c r="B146" s="260" t="s">
        <v>5379</v>
      </c>
      <c r="C146" s="261" t="s">
        <v>5435</v>
      </c>
      <c r="D146" s="264" t="s">
        <v>5436</v>
      </c>
      <c r="E146" s="265" t="s">
        <v>5242</v>
      </c>
      <c r="F146" s="268" t="s">
        <v>5426</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5378</v>
      </c>
      <c r="B147" s="259" t="s">
        <v>5437</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5378</v>
      </c>
      <c r="B148" s="260" t="s">
        <v>5437</v>
      </c>
      <c r="C148" s="261" t="s">
        <v>5438</v>
      </c>
      <c r="D148" s="264" t="s">
        <v>5439</v>
      </c>
      <c r="E148" s="265" t="s">
        <v>5175</v>
      </c>
      <c r="F148" s="268" t="s">
        <v>5440</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5378</v>
      </c>
      <c r="B149" s="260" t="s">
        <v>5437</v>
      </c>
      <c r="C149" s="261" t="s">
        <v>5441</v>
      </c>
      <c r="D149" s="264" t="s">
        <v>5442</v>
      </c>
      <c r="E149" s="265" t="s">
        <v>5175</v>
      </c>
      <c r="F149" s="268" t="s">
        <v>5440</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5378</v>
      </c>
      <c r="B150" s="260" t="s">
        <v>5437</v>
      </c>
      <c r="C150" s="261" t="s">
        <v>5443</v>
      </c>
      <c r="D150" s="264" t="s">
        <v>5444</v>
      </c>
      <c r="E150" s="265" t="s">
        <v>5175</v>
      </c>
      <c r="F150" s="268" t="s">
        <v>5440</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5378</v>
      </c>
      <c r="B151" s="260" t="s">
        <v>5437</v>
      </c>
      <c r="C151" s="261" t="s">
        <v>5445</v>
      </c>
      <c r="D151" s="264" t="s">
        <v>5446</v>
      </c>
      <c r="E151" s="265" t="s">
        <v>5175</v>
      </c>
      <c r="F151" s="268" t="s">
        <v>5440</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5378</v>
      </c>
      <c r="B152" s="260" t="s">
        <v>5437</v>
      </c>
      <c r="C152" s="261" t="s">
        <v>5447</v>
      </c>
      <c r="D152" s="264" t="s">
        <v>5448</v>
      </c>
      <c r="E152" s="265" t="s">
        <v>5175</v>
      </c>
      <c r="F152" s="268" t="s">
        <v>5440</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5378</v>
      </c>
      <c r="B153" s="260" t="s">
        <v>5437</v>
      </c>
      <c r="C153" s="261" t="s">
        <v>5449</v>
      </c>
      <c r="D153" s="264" t="s">
        <v>5450</v>
      </c>
      <c r="E153" s="265" t="s">
        <v>5175</v>
      </c>
      <c r="F153" s="268" t="s">
        <v>5440</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5378</v>
      </c>
      <c r="B154" s="260" t="s">
        <v>5437</v>
      </c>
      <c r="C154" s="261" t="s">
        <v>5451</v>
      </c>
      <c r="D154" s="264" t="s">
        <v>5452</v>
      </c>
      <c r="E154" s="265" t="s">
        <v>5175</v>
      </c>
      <c r="F154" s="268" t="s">
        <v>5440</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5378</v>
      </c>
      <c r="B155" s="260" t="s">
        <v>5437</v>
      </c>
      <c r="C155" s="261" t="s">
        <v>5453</v>
      </c>
      <c r="D155" s="264" t="s">
        <v>5454</v>
      </c>
      <c r="E155" s="265" t="s">
        <v>5175</v>
      </c>
      <c r="F155" s="268" t="s">
        <v>5440</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5378</v>
      </c>
      <c r="B156" s="260" t="s">
        <v>5437</v>
      </c>
      <c r="C156" s="261" t="s">
        <v>5455</v>
      </c>
      <c r="D156" s="264" t="s">
        <v>5456</v>
      </c>
      <c r="E156" s="265" t="s">
        <v>5175</v>
      </c>
      <c r="F156" s="268" t="s">
        <v>5440</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5378</v>
      </c>
      <c r="B157" s="260" t="s">
        <v>5437</v>
      </c>
      <c r="C157" s="261" t="s">
        <v>5457</v>
      </c>
      <c r="D157" s="264" t="s">
        <v>5458</v>
      </c>
      <c r="E157" s="265" t="s">
        <v>5175</v>
      </c>
      <c r="F157" s="268" t="s">
        <v>5440</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5378</v>
      </c>
      <c r="B158" s="260" t="s">
        <v>5437</v>
      </c>
      <c r="C158" s="261" t="s">
        <v>5459</v>
      </c>
      <c r="D158" s="264" t="s">
        <v>5460</v>
      </c>
      <c r="E158" s="265" t="s">
        <v>5175</v>
      </c>
      <c r="F158" s="268" t="s">
        <v>5440</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5378</v>
      </c>
      <c r="B159" s="260" t="s">
        <v>5437</v>
      </c>
      <c r="C159" s="261" t="s">
        <v>5461</v>
      </c>
      <c r="D159" s="264" t="s">
        <v>5462</v>
      </c>
      <c r="E159" s="265" t="s">
        <v>5175</v>
      </c>
      <c r="F159" s="268" t="s">
        <v>5440</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5378</v>
      </c>
      <c r="B160" s="260" t="s">
        <v>5437</v>
      </c>
      <c r="C160" s="261" t="s">
        <v>5463</v>
      </c>
      <c r="D160" s="264" t="s">
        <v>5464</v>
      </c>
      <c r="E160" s="265" t="s">
        <v>5175</v>
      </c>
      <c r="F160" s="268" t="s">
        <v>5465</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5378</v>
      </c>
      <c r="B161" s="260" t="s">
        <v>5437</v>
      </c>
      <c r="C161" s="261" t="s">
        <v>5466</v>
      </c>
      <c r="D161" s="264" t="s">
        <v>5467</v>
      </c>
      <c r="E161" s="265" t="s">
        <v>5175</v>
      </c>
      <c r="F161" s="268" t="s">
        <v>5465</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5378</v>
      </c>
      <c r="B162" s="260" t="s">
        <v>5437</v>
      </c>
      <c r="C162" s="261" t="s">
        <v>5468</v>
      </c>
      <c r="D162" s="264" t="s">
        <v>5469</v>
      </c>
      <c r="E162" s="265" t="s">
        <v>5175</v>
      </c>
      <c r="F162" s="268" t="s">
        <v>5465</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5378</v>
      </c>
      <c r="B163" s="260" t="s">
        <v>5437</v>
      </c>
      <c r="C163" s="261" t="s">
        <v>5470</v>
      </c>
      <c r="D163" s="264" t="s">
        <v>5471</v>
      </c>
      <c r="E163" s="265" t="s">
        <v>5175</v>
      </c>
      <c r="F163" s="268" t="s">
        <v>5465</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5378</v>
      </c>
      <c r="B164" s="260" t="s">
        <v>5437</v>
      </c>
      <c r="C164" s="261" t="s">
        <v>5472</v>
      </c>
      <c r="D164" s="264" t="s">
        <v>5473</v>
      </c>
      <c r="E164" s="265" t="s">
        <v>5175</v>
      </c>
      <c r="F164" s="268" t="s">
        <v>5465</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5378</v>
      </c>
      <c r="B165" s="259" t="s">
        <v>5474</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5378</v>
      </c>
      <c r="B166" s="260" t="s">
        <v>5474</v>
      </c>
      <c r="C166" s="261" t="s">
        <v>5475</v>
      </c>
      <c r="D166" s="264" t="s">
        <v>5476</v>
      </c>
      <c r="E166" s="265" t="s">
        <v>5146</v>
      </c>
      <c r="F166" s="268" t="s">
        <v>5477</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5378</v>
      </c>
      <c r="B167" s="260" t="s">
        <v>5474</v>
      </c>
      <c r="C167" s="261" t="s">
        <v>5478</v>
      </c>
      <c r="D167" s="264" t="s">
        <v>5479</v>
      </c>
      <c r="E167" s="265" t="s">
        <v>5290</v>
      </c>
      <c r="F167" s="268" t="s">
        <v>5477</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5378</v>
      </c>
      <c r="B168" s="260" t="s">
        <v>5474</v>
      </c>
      <c r="C168" s="261" t="s">
        <v>5480</v>
      </c>
      <c r="D168" s="264" t="s">
        <v>5481</v>
      </c>
      <c r="E168" s="265" t="s">
        <v>5242</v>
      </c>
      <c r="F168" s="268" t="s">
        <v>5477</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5378</v>
      </c>
      <c r="B169" s="260" t="s">
        <v>5474</v>
      </c>
      <c r="C169" s="261" t="s">
        <v>5482</v>
      </c>
      <c r="D169" s="264" t="s">
        <v>5483</v>
      </c>
      <c r="E169" s="265" t="s">
        <v>5242</v>
      </c>
      <c r="F169" s="268" t="s">
        <v>5477</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5378</v>
      </c>
      <c r="B170" s="260" t="s">
        <v>5474</v>
      </c>
      <c r="C170" s="261" t="s">
        <v>5484</v>
      </c>
      <c r="D170" s="264" t="s">
        <v>5485</v>
      </c>
      <c r="E170" s="265" t="s">
        <v>5290</v>
      </c>
      <c r="F170" s="268" t="s">
        <v>5477</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5378</v>
      </c>
      <c r="B171" s="260" t="s">
        <v>5474</v>
      </c>
      <c r="C171" s="261" t="s">
        <v>5486</v>
      </c>
      <c r="D171" s="264" t="s">
        <v>5487</v>
      </c>
      <c r="E171" s="265" t="s">
        <v>5175</v>
      </c>
      <c r="F171" s="268" t="s">
        <v>5477</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5378</v>
      </c>
      <c r="B172" s="260" t="s">
        <v>5474</v>
      </c>
      <c r="C172" s="261" t="s">
        <v>5488</v>
      </c>
      <c r="D172" s="264" t="s">
        <v>5489</v>
      </c>
      <c r="E172" s="265" t="s">
        <v>5242</v>
      </c>
      <c r="F172" s="268" t="s">
        <v>5477</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5378</v>
      </c>
      <c r="B173" s="260" t="s">
        <v>5474</v>
      </c>
      <c r="C173" s="261" t="s">
        <v>5490</v>
      </c>
      <c r="D173" s="264" t="s">
        <v>5491</v>
      </c>
      <c r="E173" s="265" t="s">
        <v>5175</v>
      </c>
      <c r="F173" s="268" t="s">
        <v>5477</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5378</v>
      </c>
      <c r="B174" s="260" t="s">
        <v>5474</v>
      </c>
      <c r="C174" s="261" t="s">
        <v>5492</v>
      </c>
      <c r="D174" s="264" t="s">
        <v>5493</v>
      </c>
      <c r="E174" s="265" t="s">
        <v>5242</v>
      </c>
      <c r="F174" s="268" t="s">
        <v>5477</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5378</v>
      </c>
      <c r="B175" s="260" t="s">
        <v>5474</v>
      </c>
      <c r="C175" s="261" t="s">
        <v>5494</v>
      </c>
      <c r="D175" s="264" t="s">
        <v>5495</v>
      </c>
      <c r="E175" s="265" t="s">
        <v>5175</v>
      </c>
      <c r="F175" s="268" t="s">
        <v>5477</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5378</v>
      </c>
      <c r="B176" s="260" t="s">
        <v>5474</v>
      </c>
      <c r="C176" s="261" t="s">
        <v>5496</v>
      </c>
      <c r="D176" s="264" t="s">
        <v>5497</v>
      </c>
      <c r="E176" s="265" t="s">
        <v>5146</v>
      </c>
      <c r="F176" s="268" t="s">
        <v>5477</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5378</v>
      </c>
      <c r="B177" s="260" t="s">
        <v>5474</v>
      </c>
      <c r="C177" s="261" t="s">
        <v>5498</v>
      </c>
      <c r="D177" s="264" t="s">
        <v>5499</v>
      </c>
      <c r="E177" s="265" t="s">
        <v>5146</v>
      </c>
      <c r="F177" s="268" t="s">
        <v>5477</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5378</v>
      </c>
      <c r="B178" s="260" t="s">
        <v>5474</v>
      </c>
      <c r="C178" s="261" t="s">
        <v>5500</v>
      </c>
      <c r="D178" s="264" t="s">
        <v>5501</v>
      </c>
      <c r="E178" s="265" t="s">
        <v>5175</v>
      </c>
      <c r="F178" s="268" t="s">
        <v>5477</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5378</v>
      </c>
      <c r="B179" s="260" t="s">
        <v>5474</v>
      </c>
      <c r="C179" s="261" t="s">
        <v>5502</v>
      </c>
      <c r="D179" s="264" t="s">
        <v>5503</v>
      </c>
      <c r="E179" s="265" t="s">
        <v>5290</v>
      </c>
      <c r="F179" s="268" t="s">
        <v>5477</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5378</v>
      </c>
      <c r="B180" s="260" t="s">
        <v>5474</v>
      </c>
      <c r="C180" s="261" t="s">
        <v>5504</v>
      </c>
      <c r="D180" s="264" t="s">
        <v>5505</v>
      </c>
      <c r="E180" s="265" t="s">
        <v>5290</v>
      </c>
      <c r="F180" s="268" t="s">
        <v>5477</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5378</v>
      </c>
      <c r="B181" s="259" t="s">
        <v>5506</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5378</v>
      </c>
      <c r="B182" s="260" t="s">
        <v>5506</v>
      </c>
      <c r="C182" s="261" t="s">
        <v>5507</v>
      </c>
      <c r="D182" s="264" t="s">
        <v>5508</v>
      </c>
      <c r="E182" s="265" t="s">
        <v>5146</v>
      </c>
      <c r="F182" s="268" t="s">
        <v>5509</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5378</v>
      </c>
      <c r="B183" s="260" t="s">
        <v>5506</v>
      </c>
      <c r="C183" s="261" t="s">
        <v>5510</v>
      </c>
      <c r="D183" s="264" t="s">
        <v>5511</v>
      </c>
      <c r="E183" s="265" t="s">
        <v>5146</v>
      </c>
      <c r="F183" s="268" t="s">
        <v>5509</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5378</v>
      </c>
      <c r="B184" s="260" t="s">
        <v>5506</v>
      </c>
      <c r="C184" s="261" t="s">
        <v>5512</v>
      </c>
      <c r="D184" s="264" t="s">
        <v>5513</v>
      </c>
      <c r="E184" s="265" t="s">
        <v>5146</v>
      </c>
      <c r="F184" s="268" t="s">
        <v>5509</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5378</v>
      </c>
      <c r="B185" s="260" t="s">
        <v>5506</v>
      </c>
      <c r="C185" s="261" t="s">
        <v>5514</v>
      </c>
      <c r="D185" s="264" t="s">
        <v>5515</v>
      </c>
      <c r="E185" s="265" t="s">
        <v>5146</v>
      </c>
      <c r="F185" s="268" t="s">
        <v>5509</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5378</v>
      </c>
      <c r="B186" s="260" t="s">
        <v>5506</v>
      </c>
      <c r="C186" s="261" t="s">
        <v>5516</v>
      </c>
      <c r="D186" s="264" t="s">
        <v>5517</v>
      </c>
      <c r="E186" s="265" t="s">
        <v>5146</v>
      </c>
      <c r="F186" s="268" t="s">
        <v>5509</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5378</v>
      </c>
      <c r="B187" s="260" t="s">
        <v>5506</v>
      </c>
      <c r="C187" s="261" t="s">
        <v>5518</v>
      </c>
      <c r="D187" s="264" t="s">
        <v>5519</v>
      </c>
      <c r="E187" s="265" t="s">
        <v>5175</v>
      </c>
      <c r="F187" s="268" t="s">
        <v>5509</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5378</v>
      </c>
      <c r="B188" s="260" t="s">
        <v>5506</v>
      </c>
      <c r="C188" s="261" t="s">
        <v>5520</v>
      </c>
      <c r="D188" s="264" t="s">
        <v>5521</v>
      </c>
      <c r="E188" s="265" t="s">
        <v>5175</v>
      </c>
      <c r="F188" s="268" t="s">
        <v>5509</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5378</v>
      </c>
      <c r="B189" s="260" t="s">
        <v>5506</v>
      </c>
      <c r="C189" s="261" t="s">
        <v>5522</v>
      </c>
      <c r="D189" s="264" t="s">
        <v>5523</v>
      </c>
      <c r="E189" s="265" t="s">
        <v>5175</v>
      </c>
      <c r="F189" s="268" t="s">
        <v>5509</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5378</v>
      </c>
      <c r="B190" s="260" t="s">
        <v>5506</v>
      </c>
      <c r="C190" s="261" t="s">
        <v>5524</v>
      </c>
      <c r="D190" s="264" t="s">
        <v>5525</v>
      </c>
      <c r="E190" s="265" t="s">
        <v>5175</v>
      </c>
      <c r="F190" s="268" t="s">
        <v>5509</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5378</v>
      </c>
      <c r="B191" s="260" t="s">
        <v>5506</v>
      </c>
      <c r="C191" s="261" t="s">
        <v>5526</v>
      </c>
      <c r="D191" s="264" t="s">
        <v>5527</v>
      </c>
      <c r="E191" s="265" t="s">
        <v>5146</v>
      </c>
      <c r="F191" s="268" t="s">
        <v>5509</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5378</v>
      </c>
      <c r="B192" s="260" t="s">
        <v>5506</v>
      </c>
      <c r="C192" s="261" t="s">
        <v>5528</v>
      </c>
      <c r="D192" s="264" t="s">
        <v>5529</v>
      </c>
      <c r="E192" s="265" t="s">
        <v>5146</v>
      </c>
      <c r="F192" s="268" t="s">
        <v>5509</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5378</v>
      </c>
      <c r="B193" s="260" t="s">
        <v>5506</v>
      </c>
      <c r="C193" s="261" t="s">
        <v>5530</v>
      </c>
      <c r="D193" s="264" t="s">
        <v>5531</v>
      </c>
      <c r="E193" s="265" t="s">
        <v>5146</v>
      </c>
      <c r="F193" s="268" t="s">
        <v>5509</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5378</v>
      </c>
      <c r="B194" s="260" t="s">
        <v>5506</v>
      </c>
      <c r="C194" s="261" t="s">
        <v>5532</v>
      </c>
      <c r="D194" s="264" t="s">
        <v>5533</v>
      </c>
      <c r="E194" s="265" t="s">
        <v>5146</v>
      </c>
      <c r="F194" s="268" t="s">
        <v>5509</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5378</v>
      </c>
      <c r="B195" s="260" t="s">
        <v>5506</v>
      </c>
      <c r="C195" s="261" t="s">
        <v>5534</v>
      </c>
      <c r="D195" s="264" t="s">
        <v>5535</v>
      </c>
      <c r="E195" s="265" t="s">
        <v>5146</v>
      </c>
      <c r="F195" s="268" t="s">
        <v>5509</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5378</v>
      </c>
      <c r="B196" s="260" t="s">
        <v>5506</v>
      </c>
      <c r="C196" s="261" t="s">
        <v>5536</v>
      </c>
      <c r="D196" s="264" t="s">
        <v>5537</v>
      </c>
      <c r="E196" s="265" t="s">
        <v>5146</v>
      </c>
      <c r="F196" s="268" t="s">
        <v>5538</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5378</v>
      </c>
      <c r="B197" s="260" t="s">
        <v>5506</v>
      </c>
      <c r="C197" s="261" t="s">
        <v>5539</v>
      </c>
      <c r="D197" s="264" t="s">
        <v>5540</v>
      </c>
      <c r="E197" s="265" t="s">
        <v>5146</v>
      </c>
      <c r="F197" s="268" t="s">
        <v>5538</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5378</v>
      </c>
      <c r="B198" s="260" t="s">
        <v>5506</v>
      </c>
      <c r="C198" s="261" t="s">
        <v>5541</v>
      </c>
      <c r="D198" s="264" t="s">
        <v>5542</v>
      </c>
      <c r="E198" s="265" t="s">
        <v>5146</v>
      </c>
      <c r="F198" s="268" t="s">
        <v>5538</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5378</v>
      </c>
      <c r="B199" s="260" t="s">
        <v>5506</v>
      </c>
      <c r="C199" s="261" t="s">
        <v>5543</v>
      </c>
      <c r="D199" s="264" t="s">
        <v>5544</v>
      </c>
      <c r="E199" s="265" t="s">
        <v>5146</v>
      </c>
      <c r="F199" s="268" t="s">
        <v>5538</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5545</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5545</v>
      </c>
      <c r="B201" s="259" t="s">
        <v>5546</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5545</v>
      </c>
      <c r="B202" s="260" t="s">
        <v>5546</v>
      </c>
      <c r="C202" s="261" t="s">
        <v>5547</v>
      </c>
      <c r="D202" s="264" t="s">
        <v>5548</v>
      </c>
      <c r="E202" s="265" t="s">
        <v>5425</v>
      </c>
      <c r="F202" s="268" t="s">
        <v>5549</v>
      </c>
      <c r="G202" s="271" t="str">
        <f>IF(COUNTIF(H202:AU202,"&lt;&gt;")=0,"",SUMPRODUCT(((Recommendations[ImplStatus]="Implemented")+(Recommendations[ImplStatus]="Compensated"))*ISNUMBER(MATCH(Recommendations[Id],H202:AU202,0)))/COUNTIF(H202:AU202,"&lt;&gt;"))</f>
        <v/>
      </c>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5545</v>
      </c>
      <c r="B203" s="260" t="s">
        <v>5546</v>
      </c>
      <c r="C203" s="261" t="s">
        <v>5550</v>
      </c>
      <c r="D203" s="264" t="s">
        <v>5551</v>
      </c>
      <c r="E203" s="265" t="s">
        <v>5425</v>
      </c>
      <c r="F203" s="268" t="s">
        <v>5549</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5545</v>
      </c>
      <c r="B204" s="260" t="s">
        <v>5546</v>
      </c>
      <c r="C204" s="261" t="s">
        <v>5552</v>
      </c>
      <c r="D204" s="264" t="s">
        <v>5553</v>
      </c>
      <c r="E204" s="265" t="s">
        <v>5425</v>
      </c>
      <c r="F204" s="268" t="s">
        <v>5549</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5545</v>
      </c>
      <c r="B205" s="260" t="s">
        <v>5546</v>
      </c>
      <c r="C205" s="261" t="s">
        <v>5554</v>
      </c>
      <c r="D205" s="264" t="s">
        <v>5555</v>
      </c>
      <c r="E205" s="265" t="s">
        <v>5425</v>
      </c>
      <c r="F205" s="268" t="s">
        <v>5549</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5545</v>
      </c>
      <c r="B206" s="260" t="s">
        <v>5546</v>
      </c>
      <c r="C206" s="261" t="s">
        <v>5556</v>
      </c>
      <c r="D206" s="264" t="s">
        <v>5557</v>
      </c>
      <c r="E206" s="265" t="s">
        <v>5425</v>
      </c>
      <c r="F206" s="268" t="s">
        <v>5549</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5545</v>
      </c>
      <c r="B207" s="260" t="s">
        <v>5546</v>
      </c>
      <c r="C207" s="261" t="s">
        <v>5558</v>
      </c>
      <c r="D207" s="264" t="s">
        <v>5559</v>
      </c>
      <c r="E207" s="265" t="s">
        <v>5290</v>
      </c>
      <c r="F207" s="268" t="s">
        <v>5549</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5545</v>
      </c>
      <c r="B208" s="260" t="s">
        <v>5546</v>
      </c>
      <c r="C208" s="261" t="s">
        <v>5560</v>
      </c>
      <c r="D208" s="264" t="s">
        <v>5561</v>
      </c>
      <c r="E208" s="265" t="s">
        <v>5290</v>
      </c>
      <c r="F208" s="268" t="s">
        <v>5549</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5545</v>
      </c>
      <c r="B209" s="260" t="s">
        <v>5546</v>
      </c>
      <c r="C209" s="261" t="s">
        <v>5562</v>
      </c>
      <c r="D209" s="264" t="s">
        <v>5563</v>
      </c>
      <c r="E209" s="265" t="s">
        <v>5425</v>
      </c>
      <c r="F209" s="268" t="s">
        <v>5549</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5545</v>
      </c>
      <c r="B210" s="260" t="s">
        <v>5546</v>
      </c>
      <c r="C210" s="261" t="s">
        <v>5564</v>
      </c>
      <c r="D210" s="264" t="s">
        <v>5565</v>
      </c>
      <c r="E210" s="265" t="s">
        <v>5175</v>
      </c>
      <c r="F210" s="268" t="s">
        <v>5566</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5545</v>
      </c>
      <c r="B211" s="260" t="s">
        <v>5546</v>
      </c>
      <c r="C211" s="261" t="s">
        <v>5567</v>
      </c>
      <c r="D211" s="264" t="s">
        <v>5568</v>
      </c>
      <c r="E211" s="265" t="s">
        <v>5175</v>
      </c>
      <c r="F211" s="268" t="s">
        <v>5566</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5545</v>
      </c>
      <c r="B212" s="260" t="s">
        <v>5546</v>
      </c>
      <c r="C212" s="261" t="s">
        <v>5569</v>
      </c>
      <c r="D212" s="264" t="s">
        <v>5570</v>
      </c>
      <c r="E212" s="265" t="s">
        <v>5242</v>
      </c>
      <c r="F212" s="268" t="s">
        <v>5571</v>
      </c>
      <c r="G212" s="271" t="str">
        <f>IF(COUNTIF(H212:AU212,"&lt;&gt;")=0,"",SUMPRODUCT(((Recommendations[ImplStatus]="Implemented")+(Recommendations[ImplStatus]="Compensated"))*ISNUMBER(MATCH(Recommendations[Id],H212:AU212,0)))/COUNTIF(H212:AU212,"&lt;&gt;"))</f>
        <v/>
      </c>
      <c r="H212" s="272"/>
      <c r="I212" s="272"/>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5545</v>
      </c>
      <c r="B213" s="260" t="s">
        <v>5546</v>
      </c>
      <c r="C213" s="261" t="s">
        <v>5572</v>
      </c>
      <c r="D213" s="264" t="s">
        <v>5573</v>
      </c>
      <c r="E213" s="265" t="s">
        <v>5175</v>
      </c>
      <c r="F213" s="268" t="s">
        <v>5574</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5545</v>
      </c>
      <c r="B214" s="260" t="s">
        <v>5546</v>
      </c>
      <c r="C214" s="261" t="s">
        <v>5575</v>
      </c>
      <c r="D214" s="264" t="s">
        <v>5576</v>
      </c>
      <c r="E214" s="265" t="s">
        <v>5242</v>
      </c>
      <c r="F214" s="268" t="s">
        <v>5577</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5545</v>
      </c>
      <c r="B215" s="260" t="s">
        <v>5546</v>
      </c>
      <c r="C215" s="261" t="s">
        <v>5578</v>
      </c>
      <c r="D215" s="264" t="s">
        <v>5579</v>
      </c>
      <c r="E215" s="265" t="s">
        <v>5146</v>
      </c>
      <c r="F215" s="268" t="s">
        <v>5577</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5545</v>
      </c>
      <c r="B216" s="260" t="s">
        <v>5546</v>
      </c>
      <c r="C216" s="261" t="s">
        <v>5580</v>
      </c>
      <c r="D216" s="264" t="s">
        <v>5581</v>
      </c>
      <c r="E216" s="265" t="s">
        <v>5146</v>
      </c>
      <c r="F216" s="268" t="s">
        <v>5577</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5545</v>
      </c>
      <c r="B217" s="260" t="s">
        <v>5546</v>
      </c>
      <c r="C217" s="261" t="s">
        <v>5582</v>
      </c>
      <c r="D217" s="264" t="s">
        <v>5583</v>
      </c>
      <c r="E217" s="265" t="s">
        <v>5175</v>
      </c>
      <c r="F217" s="268" t="s">
        <v>5577</v>
      </c>
      <c r="G217" s="271" t="str">
        <f>IF(COUNTIF(H217:AU217,"&lt;&gt;")=0,"",SUMPRODUCT(((Recommendations[ImplStatus]="Implemented")+(Recommendations[ImplStatus]="Compensated"))*ISNUMBER(MATCH(Recommendations[Id],H217:AU217,0)))/COUNTIF(H217:AU217,"&lt;&gt;"))</f>
        <v/>
      </c>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5545</v>
      </c>
      <c r="B218" s="260" t="s">
        <v>5546</v>
      </c>
      <c r="C218" s="261" t="s">
        <v>5584</v>
      </c>
      <c r="D218" s="264" t="s">
        <v>5585</v>
      </c>
      <c r="E218" s="265" t="s">
        <v>5175</v>
      </c>
      <c r="F218" s="268" t="s">
        <v>5577</v>
      </c>
      <c r="G218" s="271" t="str">
        <f>IF(COUNTIF(H218:AU218,"&lt;&gt;")=0,"",SUMPRODUCT(((Recommendations[ImplStatus]="Implemented")+(Recommendations[ImplStatus]="Compensated"))*ISNUMBER(MATCH(Recommendations[Id],H218:AU218,0)))/COUNTIF(H218:AU218,"&lt;&gt;"))</f>
        <v/>
      </c>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5545</v>
      </c>
      <c r="B219" s="260" t="s">
        <v>5546</v>
      </c>
      <c r="C219" s="261" t="s">
        <v>5586</v>
      </c>
      <c r="D219" s="264" t="s">
        <v>5587</v>
      </c>
      <c r="E219" s="265" t="s">
        <v>5175</v>
      </c>
      <c r="F219" s="268" t="s">
        <v>5577</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5545</v>
      </c>
      <c r="B220" s="260" t="s">
        <v>5546</v>
      </c>
      <c r="C220" s="261" t="s">
        <v>5588</v>
      </c>
      <c r="D220" s="264" t="s">
        <v>5589</v>
      </c>
      <c r="E220" s="265" t="s">
        <v>5175</v>
      </c>
      <c r="F220" s="268" t="s">
        <v>5577</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5545</v>
      </c>
      <c r="B221" s="259" t="s">
        <v>5590</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5545</v>
      </c>
      <c r="B222" s="260" t="s">
        <v>5590</v>
      </c>
      <c r="C222" s="261" t="s">
        <v>5591</v>
      </c>
      <c r="D222" s="264" t="s">
        <v>5592</v>
      </c>
      <c r="E222" s="265" t="s">
        <v>5242</v>
      </c>
      <c r="F222" s="268" t="s">
        <v>5593</v>
      </c>
      <c r="G222" s="271" t="str">
        <f>IF(COUNTIF(H222:AU222,"&lt;&gt;")=0,"",SUMPRODUCT(((Recommendations[ImplStatus]="Implemented")+(Recommendations[ImplStatus]="Compensated"))*ISNUMBER(MATCH(Recommendations[Id],H222:AU222,0)))/COUNTIF(H222:AU222,"&lt;&gt;"))</f>
        <v/>
      </c>
      <c r="H222" s="272"/>
      <c r="I222" s="272"/>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5545</v>
      </c>
      <c r="B223" s="260" t="s">
        <v>5590</v>
      </c>
      <c r="C223" s="261" t="s">
        <v>5594</v>
      </c>
      <c r="D223" s="264" t="s">
        <v>5595</v>
      </c>
      <c r="E223" s="265" t="s">
        <v>5242</v>
      </c>
      <c r="F223" s="268" t="s">
        <v>5593</v>
      </c>
      <c r="G223" s="271" t="str">
        <f>IF(COUNTIF(H223:AU223,"&lt;&gt;")=0,"",SUMPRODUCT(((Recommendations[ImplStatus]="Implemented")+(Recommendations[ImplStatus]="Compensated"))*ISNUMBER(MATCH(Recommendations[Id],H223:AU223,0)))/COUNTIF(H223:AU223,"&lt;&gt;"))</f>
        <v/>
      </c>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5545</v>
      </c>
      <c r="B224" s="260" t="s">
        <v>5590</v>
      </c>
      <c r="C224" s="261" t="s">
        <v>5596</v>
      </c>
      <c r="D224" s="264" t="s">
        <v>5597</v>
      </c>
      <c r="E224" s="265" t="s">
        <v>5242</v>
      </c>
      <c r="F224" s="268" t="s">
        <v>5593</v>
      </c>
      <c r="G224" s="271" t="str">
        <f>IF(COUNTIF(H224:AU224,"&lt;&gt;")=0,"",SUMPRODUCT(((Recommendations[ImplStatus]="Implemented")+(Recommendations[ImplStatus]="Compensated"))*ISNUMBER(MATCH(Recommendations[Id],H224:AU224,0)))/COUNTIF(H224:AU224,"&lt;&gt;"))</f>
        <v/>
      </c>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5545</v>
      </c>
      <c r="B225" s="260" t="s">
        <v>5590</v>
      </c>
      <c r="C225" s="261" t="s">
        <v>5598</v>
      </c>
      <c r="D225" s="264" t="s">
        <v>5599</v>
      </c>
      <c r="E225" s="265" t="s">
        <v>5242</v>
      </c>
      <c r="F225" s="268" t="s">
        <v>5593</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5545</v>
      </c>
      <c r="B226" s="260" t="s">
        <v>5590</v>
      </c>
      <c r="C226" s="261" t="s">
        <v>5600</v>
      </c>
      <c r="D226" s="264" t="s">
        <v>5601</v>
      </c>
      <c r="E226" s="265" t="s">
        <v>5242</v>
      </c>
      <c r="F226" s="268" t="s">
        <v>5593</v>
      </c>
      <c r="G226" s="271">
        <f>IF(COUNTIF(H226:AU226,"&lt;&gt;")=0,"",SUMPRODUCT(((Recommendations[ImplStatus]="Implemented")+(Recommendations[ImplStatus]="Compensated"))*ISNUMBER(MATCH(Recommendations[Id],H226:AU226,0)))/COUNTIF(H226:AU226,"&lt;&gt;"))</f>
        <v>0</v>
      </c>
      <c r="H226" s="272" t="s">
        <v>363</v>
      </c>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5545</v>
      </c>
      <c r="B227" s="260" t="s">
        <v>5590</v>
      </c>
      <c r="C227" s="261" t="s">
        <v>5602</v>
      </c>
      <c r="D227" s="264" t="s">
        <v>5603</v>
      </c>
      <c r="E227" s="265" t="s">
        <v>5242</v>
      </c>
      <c r="F227" s="268" t="s">
        <v>5593</v>
      </c>
      <c r="G227" s="271" t="str">
        <f>IF(COUNTIF(H227:AU227,"&lt;&gt;")=0,"",SUMPRODUCT(((Recommendations[ImplStatus]="Implemented")+(Recommendations[ImplStatus]="Compensated"))*ISNUMBER(MATCH(Recommendations[Id],H227:AU227,0)))/COUNTIF(H227:AU227,"&lt;&gt;"))</f>
        <v/>
      </c>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5545</v>
      </c>
      <c r="B228" s="260" t="s">
        <v>5590</v>
      </c>
      <c r="C228" s="261" t="s">
        <v>5604</v>
      </c>
      <c r="D228" s="264" t="s">
        <v>5605</v>
      </c>
      <c r="E228" s="265" t="s">
        <v>5242</v>
      </c>
      <c r="F228" s="268" t="s">
        <v>5593</v>
      </c>
      <c r="G228" s="271" t="str">
        <f>IF(COUNTIF(H228:AU228,"&lt;&gt;")=0,"",SUMPRODUCT(((Recommendations[ImplStatus]="Implemented")+(Recommendations[ImplStatus]="Compensated"))*ISNUMBER(MATCH(Recommendations[Id],H228:AU228,0)))/COUNTIF(H228:AU228,"&lt;&gt;"))</f>
        <v/>
      </c>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5545</v>
      </c>
      <c r="B229" s="260" t="s">
        <v>5590</v>
      </c>
      <c r="C229" s="261" t="s">
        <v>5606</v>
      </c>
      <c r="D229" s="264" t="s">
        <v>5607</v>
      </c>
      <c r="E229" s="265" t="s">
        <v>5146</v>
      </c>
      <c r="F229" s="268" t="s">
        <v>5593</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5545</v>
      </c>
      <c r="B230" s="260" t="s">
        <v>5590</v>
      </c>
      <c r="C230" s="261" t="s">
        <v>5608</v>
      </c>
      <c r="D230" s="264" t="s">
        <v>5609</v>
      </c>
      <c r="E230" s="265" t="s">
        <v>5146</v>
      </c>
      <c r="F230" s="268" t="s">
        <v>5593</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5545</v>
      </c>
      <c r="B231" s="260" t="s">
        <v>5590</v>
      </c>
      <c r="C231" s="261" t="s">
        <v>5610</v>
      </c>
      <c r="D231" s="264" t="s">
        <v>5611</v>
      </c>
      <c r="E231" s="265" t="s">
        <v>5242</v>
      </c>
      <c r="F231" s="268" t="s">
        <v>5612</v>
      </c>
      <c r="G231" s="271" t="str">
        <f>IF(COUNTIF(H231:AU231,"&lt;&gt;")=0,"",SUMPRODUCT(((Recommendations[ImplStatus]="Implemented")+(Recommendations[ImplStatus]="Compensated"))*ISNUMBER(MATCH(Recommendations[Id],H231:AU231,0)))/COUNTIF(H231:AU231,"&lt;&gt;"))</f>
        <v/>
      </c>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5545</v>
      </c>
      <c r="B232" s="260" t="s">
        <v>5590</v>
      </c>
      <c r="C232" s="261" t="s">
        <v>5613</v>
      </c>
      <c r="D232" s="264" t="s">
        <v>5614</v>
      </c>
      <c r="E232" s="265" t="s">
        <v>5242</v>
      </c>
      <c r="F232" s="268" t="s">
        <v>5612</v>
      </c>
      <c r="G232" s="271" t="str">
        <f>IF(COUNTIF(H232:AU232,"&lt;&gt;")=0,"",SUMPRODUCT(((Recommendations[ImplStatus]="Implemented")+(Recommendations[ImplStatus]="Compensated"))*ISNUMBER(MATCH(Recommendations[Id],H232:AU232,0)))/COUNTIF(H232:AU232,"&lt;&gt;"))</f>
        <v/>
      </c>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5545</v>
      </c>
      <c r="B233" s="260" t="s">
        <v>5590</v>
      </c>
      <c r="C233" s="261" t="s">
        <v>5615</v>
      </c>
      <c r="D233" s="264" t="s">
        <v>5616</v>
      </c>
      <c r="E233" s="265" t="s">
        <v>5175</v>
      </c>
      <c r="F233" s="268" t="s">
        <v>5612</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5545</v>
      </c>
      <c r="B234" s="260" t="s">
        <v>5590</v>
      </c>
      <c r="C234" s="261" t="s">
        <v>5617</v>
      </c>
      <c r="D234" s="264" t="s">
        <v>5618</v>
      </c>
      <c r="E234" s="265" t="s">
        <v>5175</v>
      </c>
      <c r="F234" s="268" t="s">
        <v>5612</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5545</v>
      </c>
      <c r="B235" s="260" t="s">
        <v>5590</v>
      </c>
      <c r="C235" s="261" t="s">
        <v>5619</v>
      </c>
      <c r="D235" s="264" t="s">
        <v>5620</v>
      </c>
      <c r="E235" s="265" t="s">
        <v>5242</v>
      </c>
      <c r="F235" s="268" t="s">
        <v>5612</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5545</v>
      </c>
      <c r="B236" s="260" t="s">
        <v>5590</v>
      </c>
      <c r="C236" s="261" t="s">
        <v>5621</v>
      </c>
      <c r="D236" s="264" t="s">
        <v>5622</v>
      </c>
      <c r="E236" s="265" t="s">
        <v>5175</v>
      </c>
      <c r="F236" s="268" t="s">
        <v>5612</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5545</v>
      </c>
      <c r="B237" s="259" t="s">
        <v>1779</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5545</v>
      </c>
      <c r="B238" s="260" t="s">
        <v>1779</v>
      </c>
      <c r="C238" s="261" t="s">
        <v>5623</v>
      </c>
      <c r="D238" s="264" t="s">
        <v>5624</v>
      </c>
      <c r="E238" s="265" t="s">
        <v>5146</v>
      </c>
      <c r="F238" s="268" t="s">
        <v>5625</v>
      </c>
      <c r="G238" s="271">
        <f>IF(COUNTIF(H238:AU238,"&lt;&gt;")=0,"",SUMPRODUCT(((Recommendations[ImplStatus]="Implemented")+(Recommendations[ImplStatus]="Compensated"))*ISNUMBER(MATCH(Recommendations[Id],H238:AU238,0)))/COUNTIF(H238:AU238,"&lt;&gt;"))</f>
        <v>0</v>
      </c>
      <c r="H238" s="272" t="s">
        <v>265</v>
      </c>
      <c r="I238" s="272" t="s">
        <v>275</v>
      </c>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5545</v>
      </c>
      <c r="B239" s="260" t="s">
        <v>1779</v>
      </c>
      <c r="C239" s="261" t="s">
        <v>5626</v>
      </c>
      <c r="D239" s="264" t="s">
        <v>5627</v>
      </c>
      <c r="E239" s="265" t="s">
        <v>5146</v>
      </c>
      <c r="F239" s="268" t="s">
        <v>5625</v>
      </c>
      <c r="G239" s="271" t="str">
        <f>IF(COUNTIF(H239:AU239,"&lt;&gt;")=0,"",SUMPRODUCT(((Recommendations[ImplStatus]="Implemented")+(Recommendations[ImplStatus]="Compensated"))*ISNUMBER(MATCH(Recommendations[Id],H239:AU239,0)))/COUNTIF(H239:AU239,"&lt;&gt;"))</f>
        <v/>
      </c>
      <c r="H239" s="272"/>
      <c r="I239" s="272"/>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5545</v>
      </c>
      <c r="B240" s="260" t="s">
        <v>1779</v>
      </c>
      <c r="C240" s="261" t="s">
        <v>5628</v>
      </c>
      <c r="D240" s="264" t="s">
        <v>5629</v>
      </c>
      <c r="E240" s="265" t="s">
        <v>5146</v>
      </c>
      <c r="F240" s="268" t="s">
        <v>5625</v>
      </c>
      <c r="G240" s="271">
        <f>IF(COUNTIF(H240:AU240,"&lt;&gt;")=0,"",SUMPRODUCT(((Recommendations[ImplStatus]="Implemented")+(Recommendations[ImplStatus]="Compensated"))*ISNUMBER(MATCH(Recommendations[Id],H240:AU240,0)))/COUNTIF(H240:AU240,"&lt;&gt;"))</f>
        <v>0</v>
      </c>
      <c r="H240" s="272" t="s">
        <v>295</v>
      </c>
      <c r="I240" s="272"/>
      <c r="J240" s="272"/>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5545</v>
      </c>
      <c r="B241" s="260" t="s">
        <v>1779</v>
      </c>
      <c r="C241" s="261" t="s">
        <v>5630</v>
      </c>
      <c r="D241" s="264" t="s">
        <v>5631</v>
      </c>
      <c r="E241" s="265" t="s">
        <v>5146</v>
      </c>
      <c r="F241" s="268" t="s">
        <v>5625</v>
      </c>
      <c r="G241" s="271">
        <f>IF(COUNTIF(H241:AU241,"&lt;&gt;")=0,"",SUMPRODUCT(((Recommendations[ImplStatus]="Implemented")+(Recommendations[ImplStatus]="Compensated"))*ISNUMBER(MATCH(Recommendations[Id],H241:AU241,0)))/COUNTIF(H241:AU241,"&lt;&gt;"))</f>
        <v>0</v>
      </c>
      <c r="H241" s="272" t="s">
        <v>295</v>
      </c>
      <c r="I241" s="272"/>
      <c r="J241" s="272"/>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5545</v>
      </c>
      <c r="B242" s="260" t="s">
        <v>1779</v>
      </c>
      <c r="C242" s="261" t="s">
        <v>5632</v>
      </c>
      <c r="D242" s="264" t="s">
        <v>5633</v>
      </c>
      <c r="E242" s="265" t="s">
        <v>5146</v>
      </c>
      <c r="F242" s="268" t="s">
        <v>5625</v>
      </c>
      <c r="G242" s="271" t="str">
        <f>IF(COUNTIF(H242:AU242,"&lt;&gt;")=0,"",SUMPRODUCT(((Recommendations[ImplStatus]="Implemented")+(Recommendations[ImplStatus]="Compensated"))*ISNUMBER(MATCH(Recommendations[Id],H242:AU242,0)))/COUNTIF(H242:AU242,"&lt;&gt;"))</f>
        <v/>
      </c>
      <c r="H242" s="272"/>
      <c r="I242" s="272"/>
      <c r="J242" s="272"/>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5545</v>
      </c>
      <c r="B243" s="260" t="s">
        <v>1779</v>
      </c>
      <c r="C243" s="261" t="s">
        <v>5634</v>
      </c>
      <c r="D243" s="264" t="s">
        <v>5635</v>
      </c>
      <c r="E243" s="265" t="s">
        <v>5146</v>
      </c>
      <c r="F243" s="268" t="s">
        <v>5625</v>
      </c>
      <c r="G243" s="271" t="str">
        <f>IF(COUNTIF(H243:AU243,"&lt;&gt;")=0,"",SUMPRODUCT(((Recommendations[ImplStatus]="Implemented")+(Recommendations[ImplStatus]="Compensated"))*ISNUMBER(MATCH(Recommendations[Id],H243:AU243,0)))/COUNTIF(H243:AU243,"&lt;&gt;"))</f>
        <v/>
      </c>
      <c r="H243" s="272"/>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5545</v>
      </c>
      <c r="B244" s="260" t="s">
        <v>1779</v>
      </c>
      <c r="C244" s="261" t="s">
        <v>5636</v>
      </c>
      <c r="D244" s="264" t="s">
        <v>5637</v>
      </c>
      <c r="E244" s="265" t="s">
        <v>5146</v>
      </c>
      <c r="F244" s="268" t="s">
        <v>5625</v>
      </c>
      <c r="G244" s="271">
        <f>IF(COUNTIF(H244:AU244,"&lt;&gt;")=0,"",SUMPRODUCT(((Recommendations[ImplStatus]="Implemented")+(Recommendations[ImplStatus]="Compensated"))*ISNUMBER(MATCH(Recommendations[Id],H244:AU244,0)))/COUNTIF(H244:AU244,"&lt;&gt;"))</f>
        <v>0</v>
      </c>
      <c r="H244" s="272" t="s">
        <v>300</v>
      </c>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5545</v>
      </c>
      <c r="B245" s="260" t="s">
        <v>1779</v>
      </c>
      <c r="C245" s="261" t="s">
        <v>5638</v>
      </c>
      <c r="D245" s="264" t="s">
        <v>5639</v>
      </c>
      <c r="E245" s="265" t="s">
        <v>5146</v>
      </c>
      <c r="F245" s="268" t="s">
        <v>5625</v>
      </c>
      <c r="G245" s="271" t="str">
        <f>IF(COUNTIF(H245:AU245,"&lt;&gt;")=0,"",SUMPRODUCT(((Recommendations[ImplStatus]="Implemented")+(Recommendations[ImplStatus]="Compensated"))*ISNUMBER(MATCH(Recommendations[Id],H245:AU245,0)))/COUNTIF(H245:AU245,"&lt;&gt;"))</f>
        <v/>
      </c>
      <c r="H245" s="272"/>
      <c r="I245" s="272"/>
      <c r="J245" s="272"/>
      <c r="K245" s="272"/>
      <c r="L245" s="272"/>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5545</v>
      </c>
      <c r="B246" s="260" t="s">
        <v>1779</v>
      </c>
      <c r="C246" s="261" t="s">
        <v>5640</v>
      </c>
      <c r="D246" s="264" t="s">
        <v>5641</v>
      </c>
      <c r="E246" s="265" t="s">
        <v>5146</v>
      </c>
      <c r="F246" s="268" t="s">
        <v>5625</v>
      </c>
      <c r="G246" s="271" t="str">
        <f>IF(COUNTIF(H246:AU246,"&lt;&gt;")=0,"",SUMPRODUCT(((Recommendations[ImplStatus]="Implemented")+(Recommendations[ImplStatus]="Compensated"))*ISNUMBER(MATCH(Recommendations[Id],H246:AU246,0)))/COUNTIF(H246:AU246,"&lt;&gt;"))</f>
        <v/>
      </c>
      <c r="H246" s="272"/>
      <c r="I246" s="272"/>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5545</v>
      </c>
      <c r="B247" s="260" t="s">
        <v>1779</v>
      </c>
      <c r="C247" s="261" t="s">
        <v>5642</v>
      </c>
      <c r="D247" s="264" t="s">
        <v>5643</v>
      </c>
      <c r="E247" s="265" t="s">
        <v>5146</v>
      </c>
      <c r="F247" s="268" t="s">
        <v>5625</v>
      </c>
      <c r="G247" s="271" t="str">
        <f>IF(COUNTIF(H247:AU247,"&lt;&gt;")=0,"",SUMPRODUCT(((Recommendations[ImplStatus]="Implemented")+(Recommendations[ImplStatus]="Compensated"))*ISNUMBER(MATCH(Recommendations[Id],H247:AU247,0)))/COUNTIF(H247:AU247,"&lt;&gt;"))</f>
        <v/>
      </c>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5545</v>
      </c>
      <c r="B248" s="260" t="s">
        <v>1779</v>
      </c>
      <c r="C248" s="261" t="s">
        <v>5644</v>
      </c>
      <c r="D248" s="264" t="s">
        <v>5645</v>
      </c>
      <c r="E248" s="265" t="s">
        <v>5175</v>
      </c>
      <c r="F248" s="268" t="s">
        <v>5625</v>
      </c>
      <c r="G248" s="271" t="str">
        <f>IF(COUNTIF(H248:AU248,"&lt;&gt;")=0,"",SUMPRODUCT(((Recommendations[ImplStatus]="Implemented")+(Recommendations[ImplStatus]="Compensated"))*ISNUMBER(MATCH(Recommendations[Id],H248:AU248,0)))/COUNTIF(H248:AU248,"&lt;&gt;"))</f>
        <v/>
      </c>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5545</v>
      </c>
      <c r="B249" s="260" t="s">
        <v>1779</v>
      </c>
      <c r="C249" s="261" t="s">
        <v>5646</v>
      </c>
      <c r="D249" s="264" t="s">
        <v>5647</v>
      </c>
      <c r="E249" s="265" t="s">
        <v>5175</v>
      </c>
      <c r="F249" s="268" t="s">
        <v>5648</v>
      </c>
      <c r="G249" s="271" t="str">
        <f>IF(COUNTIF(H249:AU249,"&lt;&gt;")=0,"",SUMPRODUCT(((Recommendations[ImplStatus]="Implemented")+(Recommendations[ImplStatus]="Compensated"))*ISNUMBER(MATCH(Recommendations[Id],H249:AU249,0)))/COUNTIF(H249:AU249,"&lt;&gt;"))</f>
        <v/>
      </c>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5545</v>
      </c>
      <c r="B250" s="260" t="s">
        <v>1779</v>
      </c>
      <c r="C250" s="261" t="s">
        <v>5649</v>
      </c>
      <c r="D250" s="264" t="s">
        <v>5650</v>
      </c>
      <c r="E250" s="265" t="s">
        <v>5175</v>
      </c>
      <c r="F250" s="268" t="s">
        <v>5648</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5545</v>
      </c>
      <c r="B251" s="259" t="s">
        <v>5651</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5545</v>
      </c>
      <c r="B252" s="260" t="s">
        <v>5651</v>
      </c>
      <c r="C252" s="261" t="s">
        <v>5652</v>
      </c>
      <c r="D252" s="264" t="s">
        <v>5653</v>
      </c>
      <c r="E252" s="265" t="s">
        <v>5242</v>
      </c>
      <c r="F252" s="268" t="s">
        <v>5654</v>
      </c>
      <c r="G252" s="271" t="str">
        <f>IF(COUNTIF(H252:AU252,"&lt;&gt;")=0,"",SUMPRODUCT(((Recommendations[ImplStatus]="Implemented")+(Recommendations[ImplStatus]="Compensated"))*ISNUMBER(MATCH(Recommendations[Id],H252:AU252,0)))/COUNTIF(H252:AU252,"&lt;&gt;"))</f>
        <v/>
      </c>
      <c r="H252" s="272"/>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5545</v>
      </c>
      <c r="B253" s="260" t="s">
        <v>5651</v>
      </c>
      <c r="C253" s="261" t="s">
        <v>5655</v>
      </c>
      <c r="D253" s="264" t="s">
        <v>5656</v>
      </c>
      <c r="E253" s="265" t="s">
        <v>5242</v>
      </c>
      <c r="F253" s="268" t="s">
        <v>5654</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5545</v>
      </c>
      <c r="B254" s="260" t="s">
        <v>5651</v>
      </c>
      <c r="C254" s="261" t="s">
        <v>5657</v>
      </c>
      <c r="D254" s="264" t="s">
        <v>5658</v>
      </c>
      <c r="E254" s="265" t="s">
        <v>5242</v>
      </c>
      <c r="F254" s="268" t="s">
        <v>5654</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5545</v>
      </c>
      <c r="B255" s="260" t="s">
        <v>5651</v>
      </c>
      <c r="C255" s="261" t="s">
        <v>5659</v>
      </c>
      <c r="D255" s="264" t="s">
        <v>5660</v>
      </c>
      <c r="E255" s="265" t="s">
        <v>5242</v>
      </c>
      <c r="F255" s="268" t="s">
        <v>5654</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5545</v>
      </c>
      <c r="B256" s="260" t="s">
        <v>5651</v>
      </c>
      <c r="C256" s="261" t="s">
        <v>5661</v>
      </c>
      <c r="D256" s="264" t="s">
        <v>5662</v>
      </c>
      <c r="E256" s="265" t="s">
        <v>5242</v>
      </c>
      <c r="F256" s="268" t="s">
        <v>5654</v>
      </c>
      <c r="G256" s="271" t="str">
        <f>IF(COUNTIF(H256:AU256,"&lt;&gt;")=0,"",SUMPRODUCT(((Recommendations[ImplStatus]="Implemented")+(Recommendations[ImplStatus]="Compensated"))*ISNUMBER(MATCH(Recommendations[Id],H256:AU256,0)))/COUNTIF(H256:AU256,"&lt;&gt;"))</f>
        <v/>
      </c>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5545</v>
      </c>
      <c r="B257" s="260" t="s">
        <v>5651</v>
      </c>
      <c r="C257" s="261" t="s">
        <v>5663</v>
      </c>
      <c r="D257" s="264" t="s">
        <v>5664</v>
      </c>
      <c r="E257" s="265" t="s">
        <v>5146</v>
      </c>
      <c r="F257" s="268" t="s">
        <v>5654</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5545</v>
      </c>
      <c r="B258" s="260" t="s">
        <v>5651</v>
      </c>
      <c r="C258" s="261" t="s">
        <v>5665</v>
      </c>
      <c r="D258" s="264" t="s">
        <v>5666</v>
      </c>
      <c r="E258" s="265" t="s">
        <v>5146</v>
      </c>
      <c r="F258" s="268" t="s">
        <v>5654</v>
      </c>
      <c r="G258" s="271" t="str">
        <f>IF(COUNTIF(H258:AU258,"&lt;&gt;")=0,"",SUMPRODUCT(((Recommendations[ImplStatus]="Implemented")+(Recommendations[ImplStatus]="Compensated"))*ISNUMBER(MATCH(Recommendations[Id],H258:AU258,0)))/COUNTIF(H258:AU258,"&lt;&gt;"))</f>
        <v/>
      </c>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5545</v>
      </c>
      <c r="B259" s="260" t="s">
        <v>5651</v>
      </c>
      <c r="C259" s="261" t="s">
        <v>5667</v>
      </c>
      <c r="D259" s="264" t="s">
        <v>5668</v>
      </c>
      <c r="E259" s="265" t="s">
        <v>5146</v>
      </c>
      <c r="F259" s="268" t="s">
        <v>5654</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5545</v>
      </c>
      <c r="B260" s="260" t="s">
        <v>5651</v>
      </c>
      <c r="C260" s="261" t="s">
        <v>5669</v>
      </c>
      <c r="D260" s="264" t="s">
        <v>5670</v>
      </c>
      <c r="E260" s="265" t="s">
        <v>5146</v>
      </c>
      <c r="F260" s="268" t="s">
        <v>5654</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5545</v>
      </c>
      <c r="B261" s="260" t="s">
        <v>5651</v>
      </c>
      <c r="C261" s="261" t="s">
        <v>5671</v>
      </c>
      <c r="D261" s="264" t="s">
        <v>5672</v>
      </c>
      <c r="E261" s="265" t="s">
        <v>5290</v>
      </c>
      <c r="F261" s="268" t="s">
        <v>5654</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5545</v>
      </c>
      <c r="B262" s="260" t="s">
        <v>5651</v>
      </c>
      <c r="C262" s="261" t="s">
        <v>5673</v>
      </c>
      <c r="D262" s="264" t="s">
        <v>5674</v>
      </c>
      <c r="E262" s="265" t="s">
        <v>5290</v>
      </c>
      <c r="F262" s="268" t="s">
        <v>5654</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5545</v>
      </c>
      <c r="B263" s="260" t="s">
        <v>5651</v>
      </c>
      <c r="C263" s="261" t="s">
        <v>5675</v>
      </c>
      <c r="D263" s="264" t="s">
        <v>5676</v>
      </c>
      <c r="E263" s="265" t="s">
        <v>5290</v>
      </c>
      <c r="F263" s="268" t="s">
        <v>5654</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5545</v>
      </c>
      <c r="B264" s="259" t="s">
        <v>5677</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5545</v>
      </c>
      <c r="B265" s="260" t="s">
        <v>5677</v>
      </c>
      <c r="C265" s="261" t="s">
        <v>5678</v>
      </c>
      <c r="D265" s="264" t="s">
        <v>5679</v>
      </c>
      <c r="E265" s="265" t="s">
        <v>5175</v>
      </c>
      <c r="F265" s="268" t="s">
        <v>5680</v>
      </c>
      <c r="G265" s="271" t="str">
        <f>IF(COUNTIF(H265:AU265,"&lt;&gt;")=0,"",SUMPRODUCT(((Recommendations[ImplStatus]="Implemented")+(Recommendations[ImplStatus]="Compensated"))*ISNUMBER(MATCH(Recommendations[Id],H265:AU265,0)))/COUNTIF(H265:AU265,"&lt;&gt;"))</f>
        <v/>
      </c>
      <c r="H265" s="272"/>
      <c r="I265" s="272"/>
      <c r="J265" s="272"/>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5545</v>
      </c>
      <c r="B266" s="260" t="s">
        <v>5677</v>
      </c>
      <c r="C266" s="261" t="s">
        <v>5681</v>
      </c>
      <c r="D266" s="264" t="s">
        <v>5682</v>
      </c>
      <c r="E266" s="265" t="s">
        <v>5175</v>
      </c>
      <c r="F266" s="268" t="s">
        <v>5680</v>
      </c>
      <c r="G266" s="271" t="str">
        <f>IF(COUNTIF(H266:AU266,"&lt;&gt;")=0,"",SUMPRODUCT(((Recommendations[ImplStatus]="Implemented")+(Recommendations[ImplStatus]="Compensated"))*ISNUMBER(MATCH(Recommendations[Id],H266:AU266,0)))/COUNTIF(H266:AU266,"&lt;&gt;"))</f>
        <v/>
      </c>
      <c r="H266" s="272"/>
      <c r="I266" s="272"/>
      <c r="J266" s="272"/>
      <c r="K266" s="272"/>
      <c r="L266" s="272"/>
      <c r="M266" s="272"/>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5545</v>
      </c>
      <c r="B267" s="260" t="s">
        <v>5677</v>
      </c>
      <c r="C267" s="261" t="s">
        <v>5683</v>
      </c>
      <c r="D267" s="264" t="s">
        <v>5684</v>
      </c>
      <c r="E267" s="265" t="s">
        <v>5175</v>
      </c>
      <c r="F267" s="268" t="s">
        <v>5680</v>
      </c>
      <c r="G267" s="271" t="str">
        <f>IF(COUNTIF(H267:AU267,"&lt;&gt;")=0,"",SUMPRODUCT(((Recommendations[ImplStatus]="Implemented")+(Recommendations[ImplStatus]="Compensated"))*ISNUMBER(MATCH(Recommendations[Id],H267:AU267,0)))/COUNTIF(H267:AU267,"&lt;&gt;"))</f>
        <v/>
      </c>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5545</v>
      </c>
      <c r="B268" s="260" t="s">
        <v>5677</v>
      </c>
      <c r="C268" s="261" t="s">
        <v>5685</v>
      </c>
      <c r="D268" s="264" t="s">
        <v>5686</v>
      </c>
      <c r="E268" s="265" t="s">
        <v>5175</v>
      </c>
      <c r="F268" s="268" t="s">
        <v>5680</v>
      </c>
      <c r="G268" s="271" t="str">
        <f>IF(COUNTIF(H268:AU268,"&lt;&gt;")=0,"",SUMPRODUCT(((Recommendations[ImplStatus]="Implemented")+(Recommendations[ImplStatus]="Compensated"))*ISNUMBER(MATCH(Recommendations[Id],H268:AU268,0)))/COUNTIF(H268:AU268,"&lt;&gt;"))</f>
        <v/>
      </c>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5545</v>
      </c>
      <c r="B269" s="260" t="s">
        <v>5677</v>
      </c>
      <c r="C269" s="261" t="s">
        <v>5687</v>
      </c>
      <c r="D269" s="264" t="s">
        <v>5688</v>
      </c>
      <c r="E269" s="265" t="s">
        <v>5175</v>
      </c>
      <c r="F269" s="268" t="s">
        <v>5680</v>
      </c>
      <c r="G269" s="271" t="str">
        <f>IF(COUNTIF(H269:AU269,"&lt;&gt;")=0,"",SUMPRODUCT(((Recommendations[ImplStatus]="Implemented")+(Recommendations[ImplStatus]="Compensated"))*ISNUMBER(MATCH(Recommendations[Id],H269:AU269,0)))/COUNTIF(H269:AU269,"&lt;&gt;"))</f>
        <v/>
      </c>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5545</v>
      </c>
      <c r="B270" s="260" t="s">
        <v>5677</v>
      </c>
      <c r="C270" s="261" t="s">
        <v>5689</v>
      </c>
      <c r="D270" s="264" t="s">
        <v>5690</v>
      </c>
      <c r="E270" s="265" t="s">
        <v>5175</v>
      </c>
      <c r="F270" s="268" t="s">
        <v>5680</v>
      </c>
      <c r="G270" s="271" t="str">
        <f>IF(COUNTIF(H270:AU270,"&lt;&gt;")=0,"",SUMPRODUCT(((Recommendations[ImplStatus]="Implemented")+(Recommendations[ImplStatus]="Compensated"))*ISNUMBER(MATCH(Recommendations[Id],H270:AU270,0)))/COUNTIF(H270:AU270,"&lt;&gt;"))</f>
        <v/>
      </c>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5545</v>
      </c>
      <c r="B271" s="260" t="s">
        <v>5677</v>
      </c>
      <c r="C271" s="261" t="s">
        <v>5691</v>
      </c>
      <c r="D271" s="264" t="s">
        <v>5692</v>
      </c>
      <c r="E271" s="265" t="s">
        <v>5175</v>
      </c>
      <c r="F271" s="268" t="s">
        <v>5680</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5545</v>
      </c>
      <c r="B272" s="260" t="s">
        <v>5677</v>
      </c>
      <c r="C272" s="261" t="s">
        <v>5693</v>
      </c>
      <c r="D272" s="264" t="s">
        <v>5694</v>
      </c>
      <c r="E272" s="265" t="s">
        <v>5175</v>
      </c>
      <c r="F272" s="268" t="s">
        <v>5680</v>
      </c>
      <c r="G272" s="271" t="str">
        <f>IF(COUNTIF(H272:AU272,"&lt;&gt;")=0,"",SUMPRODUCT(((Recommendations[ImplStatus]="Implemented")+(Recommendations[ImplStatus]="Compensated"))*ISNUMBER(MATCH(Recommendations[Id],H272:AU272,0)))/COUNTIF(H272:AU272,"&lt;&gt;"))</f>
        <v/>
      </c>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5545</v>
      </c>
      <c r="B273" s="260" t="s">
        <v>5677</v>
      </c>
      <c r="C273" s="261" t="s">
        <v>5695</v>
      </c>
      <c r="D273" s="264" t="s">
        <v>5696</v>
      </c>
      <c r="E273" s="265" t="s">
        <v>5175</v>
      </c>
      <c r="F273" s="268" t="s">
        <v>5680</v>
      </c>
      <c r="G273" s="271" t="str">
        <f>IF(COUNTIF(H273:AU273,"&lt;&gt;")=0,"",SUMPRODUCT(((Recommendations[ImplStatus]="Implemented")+(Recommendations[ImplStatus]="Compensated"))*ISNUMBER(MATCH(Recommendations[Id],H273:AU273,0)))/COUNTIF(H273:AU273,"&lt;&gt;"))</f>
        <v/>
      </c>
      <c r="H273" s="272"/>
      <c r="I273" s="272"/>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5697</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5697</v>
      </c>
      <c r="B275" s="259" t="s">
        <v>5698</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5697</v>
      </c>
      <c r="B276" s="260" t="s">
        <v>5698</v>
      </c>
      <c r="C276" s="261" t="s">
        <v>5699</v>
      </c>
      <c r="D276" s="264" t="s">
        <v>5700</v>
      </c>
      <c r="E276" s="265" t="s">
        <v>5146</v>
      </c>
      <c r="F276" s="268" t="s">
        <v>5701</v>
      </c>
      <c r="G276" s="271">
        <f>IF(COUNTIF(H276:AU276,"&lt;&gt;")=0,"",SUMPRODUCT(((Recommendations[ImplStatus]="Implemented")+(Recommendations[ImplStatus]="Compensated"))*ISNUMBER(MATCH(Recommendations[Id],H276:AU276,0)))/COUNTIF(H276:AU276,"&lt;&gt;"))</f>
        <v>0</v>
      </c>
      <c r="H276" s="272" t="s">
        <v>30</v>
      </c>
      <c r="I276" s="272" t="s">
        <v>35</v>
      </c>
      <c r="J276" s="272" t="s">
        <v>40</v>
      </c>
      <c r="K276" s="272" t="s">
        <v>45</v>
      </c>
      <c r="L276" s="272" t="s">
        <v>85</v>
      </c>
      <c r="M276" s="272" t="s">
        <v>157</v>
      </c>
      <c r="N276" s="272" t="s">
        <v>162</v>
      </c>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86"/>
    </row>
    <row r="277" spans="1:47" ht="60" customHeight="1" x14ac:dyDescent="0.35">
      <c r="A277" s="282" t="s">
        <v>5697</v>
      </c>
      <c r="B277" s="260" t="s">
        <v>5698</v>
      </c>
      <c r="C277" s="261" t="s">
        <v>5702</v>
      </c>
      <c r="D277" s="264" t="s">
        <v>5703</v>
      </c>
      <c r="E277" s="265" t="s">
        <v>5146</v>
      </c>
      <c r="F277" s="268" t="s">
        <v>5701</v>
      </c>
      <c r="G277" s="271" t="str">
        <f>IF(COUNTIF(H277:AU277,"&lt;&gt;")=0,"",SUMPRODUCT(((Recommendations[ImplStatus]="Implemented")+(Recommendations[ImplStatus]="Compensated"))*ISNUMBER(MATCH(Recommendations[Id],H277:AU277,0)))/COUNTIF(H277:AU277,"&lt;&gt;"))</f>
        <v/>
      </c>
      <c r="H277" s="272"/>
      <c r="I277" s="272"/>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5697</v>
      </c>
      <c r="B278" s="260" t="s">
        <v>5698</v>
      </c>
      <c r="C278" s="261" t="s">
        <v>5704</v>
      </c>
      <c r="D278" s="264" t="s">
        <v>5705</v>
      </c>
      <c r="E278" s="265" t="s">
        <v>5146</v>
      </c>
      <c r="F278" s="268" t="s">
        <v>5701</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5697</v>
      </c>
      <c r="B279" s="260" t="s">
        <v>5698</v>
      </c>
      <c r="C279" s="261" t="s">
        <v>5706</v>
      </c>
      <c r="D279" s="264" t="s">
        <v>5707</v>
      </c>
      <c r="E279" s="265" t="s">
        <v>5146</v>
      </c>
      <c r="F279" s="268" t="s">
        <v>5701</v>
      </c>
      <c r="G279" s="271">
        <f>IF(COUNTIF(H279:AU279,"&lt;&gt;")=0,"",SUMPRODUCT(((Recommendations[ImplStatus]="Implemented")+(Recommendations[ImplStatus]="Compensated"))*ISNUMBER(MATCH(Recommendations[Id],H279:AU279,0)))/COUNTIF(H279:AU279,"&lt;&gt;"))</f>
        <v>0</v>
      </c>
      <c r="H279" s="272" t="s">
        <v>35</v>
      </c>
      <c r="I279" s="272" t="s">
        <v>40</v>
      </c>
      <c r="J279" s="272" t="s">
        <v>45</v>
      </c>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5697</v>
      </c>
      <c r="B280" s="260" t="s">
        <v>5698</v>
      </c>
      <c r="C280" s="261" t="s">
        <v>5708</v>
      </c>
      <c r="D280" s="264" t="s">
        <v>5709</v>
      </c>
      <c r="E280" s="265" t="s">
        <v>5146</v>
      </c>
      <c r="F280" s="268" t="s">
        <v>5701</v>
      </c>
      <c r="G280" s="271">
        <f>IF(COUNTIF(H280:AU280,"&lt;&gt;")=0,"",SUMPRODUCT(((Recommendations[ImplStatus]="Implemented")+(Recommendations[ImplStatus]="Compensated"))*ISNUMBER(MATCH(Recommendations[Id],H280:AU280,0)))/COUNTIF(H280:AU280,"&lt;&gt;"))</f>
        <v>0</v>
      </c>
      <c r="H280" s="272" t="s">
        <v>55</v>
      </c>
      <c r="I280" s="272" t="s">
        <v>128</v>
      </c>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5697</v>
      </c>
      <c r="B281" s="260" t="s">
        <v>5698</v>
      </c>
      <c r="C281" s="261" t="s">
        <v>5710</v>
      </c>
      <c r="D281" s="264" t="s">
        <v>5711</v>
      </c>
      <c r="E281" s="265" t="s">
        <v>5146</v>
      </c>
      <c r="F281" s="268" t="s">
        <v>5701</v>
      </c>
      <c r="G281" s="271">
        <f>IF(COUNTIF(H281:AU281,"&lt;&gt;")=0,"",SUMPRODUCT(((Recommendations[ImplStatus]="Implemented")+(Recommendations[ImplStatus]="Compensated"))*ISNUMBER(MATCH(Recommendations[Id],H281:AU281,0)))/COUNTIF(H281:AU281,"&lt;&gt;"))</f>
        <v>0</v>
      </c>
      <c r="H281" s="272" t="s">
        <v>30</v>
      </c>
      <c r="I281" s="272" t="s">
        <v>85</v>
      </c>
      <c r="J281" s="272" t="s">
        <v>157</v>
      </c>
      <c r="K281" s="272" t="s">
        <v>162</v>
      </c>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5697</v>
      </c>
      <c r="B282" s="260" t="s">
        <v>5698</v>
      </c>
      <c r="C282" s="261" t="s">
        <v>5712</v>
      </c>
      <c r="D282" s="264" t="s">
        <v>5713</v>
      </c>
      <c r="E282" s="265" t="s">
        <v>5146</v>
      </c>
      <c r="F282" s="268" t="s">
        <v>5701</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5697</v>
      </c>
      <c r="B283" s="260" t="s">
        <v>5698</v>
      </c>
      <c r="C283" s="261" t="s">
        <v>5714</v>
      </c>
      <c r="D283" s="264" t="s">
        <v>5715</v>
      </c>
      <c r="E283" s="265" t="s">
        <v>5242</v>
      </c>
      <c r="F283" s="268" t="s">
        <v>5716</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5697</v>
      </c>
      <c r="B284" s="260" t="s">
        <v>5698</v>
      </c>
      <c r="C284" s="261" t="s">
        <v>5717</v>
      </c>
      <c r="D284" s="264" t="s">
        <v>5718</v>
      </c>
      <c r="E284" s="265" t="s">
        <v>5242</v>
      </c>
      <c r="F284" s="268" t="s">
        <v>5716</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5697</v>
      </c>
      <c r="B285" s="260" t="s">
        <v>5698</v>
      </c>
      <c r="C285" s="261" t="s">
        <v>5719</v>
      </c>
      <c r="D285" s="264" t="s">
        <v>5720</v>
      </c>
      <c r="E285" s="265" t="s">
        <v>5146</v>
      </c>
      <c r="F285" s="268" t="s">
        <v>5716</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5697</v>
      </c>
      <c r="B286" s="260" t="s">
        <v>5698</v>
      </c>
      <c r="C286" s="261" t="s">
        <v>5721</v>
      </c>
      <c r="D286" s="264" t="s">
        <v>5722</v>
      </c>
      <c r="E286" s="265" t="s">
        <v>5175</v>
      </c>
      <c r="F286" s="268" t="s">
        <v>5716</v>
      </c>
      <c r="G286" s="271" t="str">
        <f>IF(COUNTIF(H286:AU286,"&lt;&gt;")=0,"",SUMPRODUCT(((Recommendations[ImplStatus]="Implemented")+(Recommendations[ImplStatus]="Compensated"))*ISNUMBER(MATCH(Recommendations[Id],H286:AU286,0)))/COUNTIF(H286:AU286,"&lt;&gt;"))</f>
        <v/>
      </c>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5697</v>
      </c>
      <c r="B287" s="260" t="s">
        <v>5698</v>
      </c>
      <c r="C287" s="261" t="s">
        <v>5723</v>
      </c>
      <c r="D287" s="264" t="s">
        <v>5724</v>
      </c>
      <c r="E287" s="265" t="s">
        <v>5175</v>
      </c>
      <c r="F287" s="268" t="s">
        <v>5716</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5697</v>
      </c>
      <c r="B288" s="260" t="s">
        <v>5698</v>
      </c>
      <c r="C288" s="261" t="s">
        <v>5725</v>
      </c>
      <c r="D288" s="264" t="s">
        <v>5726</v>
      </c>
      <c r="E288" s="265" t="s">
        <v>5175</v>
      </c>
      <c r="F288" s="268" t="s">
        <v>5716</v>
      </c>
      <c r="G288" s="271" t="str">
        <f>IF(COUNTIF(H288:AU288,"&lt;&gt;")=0,"",SUMPRODUCT(((Recommendations[ImplStatus]="Implemented")+(Recommendations[ImplStatus]="Compensated"))*ISNUMBER(MATCH(Recommendations[Id],H288:AU288,0)))/COUNTIF(H288:AU288,"&lt;&gt;"))</f>
        <v/>
      </c>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5697</v>
      </c>
      <c r="B289" s="260" t="s">
        <v>5698</v>
      </c>
      <c r="C289" s="261" t="s">
        <v>5727</v>
      </c>
      <c r="D289" s="264" t="s">
        <v>5728</v>
      </c>
      <c r="E289" s="265" t="s">
        <v>5175</v>
      </c>
      <c r="F289" s="268" t="s">
        <v>5716</v>
      </c>
      <c r="G289" s="271" t="str">
        <f>IF(COUNTIF(H289:AU289,"&lt;&gt;")=0,"",SUMPRODUCT(((Recommendations[ImplStatus]="Implemented")+(Recommendations[ImplStatus]="Compensated"))*ISNUMBER(MATCH(Recommendations[Id],H289:AU289,0)))/COUNTIF(H289:AU289,"&lt;&gt;"))</f>
        <v/>
      </c>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5697</v>
      </c>
      <c r="B290" s="260" t="s">
        <v>5698</v>
      </c>
      <c r="C290" s="261" t="s">
        <v>5729</v>
      </c>
      <c r="D290" s="264" t="s">
        <v>5730</v>
      </c>
      <c r="E290" s="265" t="s">
        <v>5146</v>
      </c>
      <c r="F290" s="268" t="s">
        <v>5716</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5697</v>
      </c>
      <c r="B291" s="260" t="s">
        <v>5698</v>
      </c>
      <c r="C291" s="261" t="s">
        <v>5731</v>
      </c>
      <c r="D291" s="264" t="s">
        <v>5732</v>
      </c>
      <c r="E291" s="265" t="s">
        <v>5175</v>
      </c>
      <c r="F291" s="268" t="s">
        <v>5733</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5697</v>
      </c>
      <c r="B292" s="260" t="s">
        <v>5698</v>
      </c>
      <c r="C292" s="261" t="s">
        <v>5734</v>
      </c>
      <c r="D292" s="264" t="s">
        <v>5735</v>
      </c>
      <c r="E292" s="265" t="s">
        <v>5175</v>
      </c>
      <c r="F292" s="268" t="s">
        <v>5733</v>
      </c>
      <c r="G292" s="271" t="str">
        <f>IF(COUNTIF(H292:AU292,"&lt;&gt;")=0,"",SUMPRODUCT(((Recommendations[ImplStatus]="Implemented")+(Recommendations[ImplStatus]="Compensated"))*ISNUMBER(MATCH(Recommendations[Id],H292:AU292,0)))/COUNTIF(H292:AU292,"&lt;&gt;"))</f>
        <v/>
      </c>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5697</v>
      </c>
      <c r="B293" s="260" t="s">
        <v>5698</v>
      </c>
      <c r="C293" s="261" t="s">
        <v>5736</v>
      </c>
      <c r="D293" s="264" t="s">
        <v>5737</v>
      </c>
      <c r="E293" s="265" t="s">
        <v>5425</v>
      </c>
      <c r="F293" s="268" t="s">
        <v>5716</v>
      </c>
      <c r="G293" s="271" t="str">
        <f>IF(COUNTIF(H293:AU293,"&lt;&gt;")=0,"",SUMPRODUCT(((Recommendations[ImplStatus]="Implemented")+(Recommendations[ImplStatus]="Compensated"))*ISNUMBER(MATCH(Recommendations[Id],H293:AU293,0)))/COUNTIF(H293:AU293,"&lt;&gt;"))</f>
        <v/>
      </c>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5697</v>
      </c>
      <c r="B294" s="260" t="s">
        <v>5698</v>
      </c>
      <c r="C294" s="261" t="s">
        <v>5738</v>
      </c>
      <c r="D294" s="264" t="s">
        <v>5739</v>
      </c>
      <c r="E294" s="265" t="s">
        <v>5425</v>
      </c>
      <c r="F294" s="268" t="s">
        <v>5716</v>
      </c>
      <c r="G294" s="271" t="str">
        <f>IF(COUNTIF(H294:AU294,"&lt;&gt;")=0,"",SUMPRODUCT(((Recommendations[ImplStatus]="Implemented")+(Recommendations[ImplStatus]="Compensated"))*ISNUMBER(MATCH(Recommendations[Id],H294:AU294,0)))/COUNTIF(H294:AU294,"&lt;&gt;"))</f>
        <v/>
      </c>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5697</v>
      </c>
      <c r="B295" s="260" t="s">
        <v>5698</v>
      </c>
      <c r="C295" s="261" t="s">
        <v>5740</v>
      </c>
      <c r="D295" s="264" t="s">
        <v>5741</v>
      </c>
      <c r="E295" s="265" t="s">
        <v>5242</v>
      </c>
      <c r="F295" s="268" t="s">
        <v>5716</v>
      </c>
      <c r="G295" s="271" t="str">
        <f>IF(COUNTIF(H295:AU295,"&lt;&gt;")=0,"",SUMPRODUCT(((Recommendations[ImplStatus]="Implemented")+(Recommendations[ImplStatus]="Compensated"))*ISNUMBER(MATCH(Recommendations[Id],H295:AU295,0)))/COUNTIF(H295:AU295,"&lt;&gt;"))</f>
        <v/>
      </c>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5697</v>
      </c>
      <c r="B296" s="260" t="s">
        <v>5698</v>
      </c>
      <c r="C296" s="261" t="s">
        <v>5742</v>
      </c>
      <c r="D296" s="264" t="s">
        <v>5743</v>
      </c>
      <c r="E296" s="265" t="s">
        <v>5242</v>
      </c>
      <c r="F296" s="268" t="s">
        <v>5716</v>
      </c>
      <c r="G296" s="271" t="str">
        <f>IF(COUNTIF(H296:AU296,"&lt;&gt;")=0,"",SUMPRODUCT(((Recommendations[ImplStatus]="Implemented")+(Recommendations[ImplStatus]="Compensated"))*ISNUMBER(MATCH(Recommendations[Id],H296:AU296,0)))/COUNTIF(H296:AU296,"&lt;&gt;"))</f>
        <v/>
      </c>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5697</v>
      </c>
      <c r="B297" s="260" t="s">
        <v>5698</v>
      </c>
      <c r="C297" s="261" t="s">
        <v>5744</v>
      </c>
      <c r="D297" s="264" t="s">
        <v>5745</v>
      </c>
      <c r="E297" s="265" t="s">
        <v>5146</v>
      </c>
      <c r="F297" s="268" t="s">
        <v>5716</v>
      </c>
      <c r="G297" s="271" t="str">
        <f>IF(COUNTIF(H297:AU297,"&lt;&gt;")=0,"",SUMPRODUCT(((Recommendations[ImplStatus]="Implemented")+(Recommendations[ImplStatus]="Compensated"))*ISNUMBER(MATCH(Recommendations[Id],H297:AU297,0)))/COUNTIF(H297:AU297,"&lt;&gt;"))</f>
        <v/>
      </c>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5697</v>
      </c>
      <c r="B298" s="260" t="s">
        <v>5698</v>
      </c>
      <c r="C298" s="261" t="s">
        <v>5746</v>
      </c>
      <c r="D298" s="264" t="s">
        <v>5747</v>
      </c>
      <c r="E298" s="265" t="s">
        <v>5242</v>
      </c>
      <c r="F298" s="268" t="s">
        <v>5716</v>
      </c>
      <c r="G298" s="271" t="str">
        <f>IF(COUNTIF(H298:AU298,"&lt;&gt;")=0,"",SUMPRODUCT(((Recommendations[ImplStatus]="Implemented")+(Recommendations[ImplStatus]="Compensated"))*ISNUMBER(MATCH(Recommendations[Id],H298:AU298,0)))/COUNTIF(H298:AU298,"&lt;&gt;"))</f>
        <v/>
      </c>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5697</v>
      </c>
      <c r="B299" s="260" t="s">
        <v>5698</v>
      </c>
      <c r="C299" s="261" t="s">
        <v>5748</v>
      </c>
      <c r="D299" s="264" t="s">
        <v>5749</v>
      </c>
      <c r="E299" s="265" t="s">
        <v>5175</v>
      </c>
      <c r="F299" s="268" t="s">
        <v>5716</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5697</v>
      </c>
      <c r="B300" s="260" t="s">
        <v>5698</v>
      </c>
      <c r="C300" s="261" t="s">
        <v>5750</v>
      </c>
      <c r="D300" s="264" t="s">
        <v>5751</v>
      </c>
      <c r="E300" s="265" t="s">
        <v>5242</v>
      </c>
      <c r="F300" s="268" t="s">
        <v>5716</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5697</v>
      </c>
      <c r="B301" s="260" t="s">
        <v>5698</v>
      </c>
      <c r="C301" s="261" t="s">
        <v>5752</v>
      </c>
      <c r="D301" s="264" t="s">
        <v>5753</v>
      </c>
      <c r="E301" s="265" t="s">
        <v>5290</v>
      </c>
      <c r="F301" s="268" t="s">
        <v>5716</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5697</v>
      </c>
      <c r="B302" s="260" t="s">
        <v>5698</v>
      </c>
      <c r="C302" s="261" t="s">
        <v>5754</v>
      </c>
      <c r="D302" s="264" t="s">
        <v>5755</v>
      </c>
      <c r="E302" s="265" t="s">
        <v>5290</v>
      </c>
      <c r="F302" s="268" t="s">
        <v>5716</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5697</v>
      </c>
      <c r="B303" s="259" t="s">
        <v>1512</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5697</v>
      </c>
      <c r="B304" s="260" t="s">
        <v>1512</v>
      </c>
      <c r="C304" s="261" t="s">
        <v>5756</v>
      </c>
      <c r="D304" s="264" t="s">
        <v>5757</v>
      </c>
      <c r="E304" s="265" t="s">
        <v>5146</v>
      </c>
      <c r="F304" s="268" t="s">
        <v>5758</v>
      </c>
      <c r="G304" s="271">
        <f>IF(COUNTIF(H304:AU304,"&lt;&gt;")=0,"",SUMPRODUCT(((Recommendations[ImplStatus]="Implemented")+(Recommendations[ImplStatus]="Compensated"))*ISNUMBER(MATCH(Recommendations[Id],H304:AU304,0)))/COUNTIF(H304:AU304,"&lt;&gt;"))</f>
        <v>0</v>
      </c>
      <c r="H304" s="272" t="s">
        <v>200</v>
      </c>
      <c r="I304" s="272" t="s">
        <v>205</v>
      </c>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5697</v>
      </c>
      <c r="B305" s="260" t="s">
        <v>1512</v>
      </c>
      <c r="C305" s="261" t="s">
        <v>5759</v>
      </c>
      <c r="D305" s="264" t="s">
        <v>5760</v>
      </c>
      <c r="E305" s="265" t="s">
        <v>5146</v>
      </c>
      <c r="F305" s="268" t="s">
        <v>5758</v>
      </c>
      <c r="G305" s="271">
        <f>IF(COUNTIF(H305:AU305,"&lt;&gt;")=0,"",SUMPRODUCT(((Recommendations[ImplStatus]="Implemented")+(Recommendations[ImplStatus]="Compensated"))*ISNUMBER(MATCH(Recommendations[Id],H305:AU305,0)))/COUNTIF(H305:AU305,"&lt;&gt;"))</f>
        <v>0</v>
      </c>
      <c r="H305" s="272" t="s">
        <v>195</v>
      </c>
      <c r="I305" s="272" t="s">
        <v>200</v>
      </c>
      <c r="J305" s="272" t="s">
        <v>205</v>
      </c>
      <c r="K305" s="272" t="s">
        <v>215</v>
      </c>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5697</v>
      </c>
      <c r="B306" s="260" t="s">
        <v>1512</v>
      </c>
      <c r="C306" s="261" t="s">
        <v>5761</v>
      </c>
      <c r="D306" s="264" t="s">
        <v>5762</v>
      </c>
      <c r="E306" s="265" t="s">
        <v>5146</v>
      </c>
      <c r="F306" s="268" t="s">
        <v>5758</v>
      </c>
      <c r="G306" s="271" t="str">
        <f>IF(COUNTIF(H306:AU306,"&lt;&gt;")=0,"",SUMPRODUCT(((Recommendations[ImplStatus]="Implemented")+(Recommendations[ImplStatus]="Compensated"))*ISNUMBER(MATCH(Recommendations[Id],H306:AU306,0)))/COUNTIF(H306:AU306,"&lt;&gt;"))</f>
        <v/>
      </c>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5697</v>
      </c>
      <c r="B307" s="260" t="s">
        <v>1512</v>
      </c>
      <c r="C307" s="261" t="s">
        <v>5763</v>
      </c>
      <c r="D307" s="264" t="s">
        <v>5764</v>
      </c>
      <c r="E307" s="265" t="s">
        <v>5146</v>
      </c>
      <c r="F307" s="268" t="s">
        <v>5758</v>
      </c>
      <c r="G307" s="271">
        <f>IF(COUNTIF(H307:AU307,"&lt;&gt;")=0,"",SUMPRODUCT(((Recommendations[ImplStatus]="Implemented")+(Recommendations[ImplStatus]="Compensated"))*ISNUMBER(MATCH(Recommendations[Id],H307:AU307,0)))/COUNTIF(H307:AU307,"&lt;&gt;"))</f>
        <v>0</v>
      </c>
      <c r="H307" s="272" t="s">
        <v>225</v>
      </c>
      <c r="I307" s="272" t="s">
        <v>228</v>
      </c>
      <c r="J307" s="272" t="s">
        <v>231</v>
      </c>
      <c r="K307" s="272" t="s">
        <v>235</v>
      </c>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5697</v>
      </c>
      <c r="B308" s="260" t="s">
        <v>1512</v>
      </c>
      <c r="C308" s="261" t="s">
        <v>5765</v>
      </c>
      <c r="D308" s="264" t="s">
        <v>5766</v>
      </c>
      <c r="E308" s="265" t="s">
        <v>5242</v>
      </c>
      <c r="F308" s="268" t="s">
        <v>5758</v>
      </c>
      <c r="G308" s="271" t="str">
        <f>IF(COUNTIF(H308:AU308,"&lt;&gt;")=0,"",SUMPRODUCT(((Recommendations[ImplStatus]="Implemented")+(Recommendations[ImplStatus]="Compensated"))*ISNUMBER(MATCH(Recommendations[Id],H308:AU308,0)))/COUNTIF(H308:AU308,"&lt;&gt;"))</f>
        <v/>
      </c>
      <c r="H308" s="272"/>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5697</v>
      </c>
      <c r="B309" s="260" t="s">
        <v>1512</v>
      </c>
      <c r="C309" s="261" t="s">
        <v>5767</v>
      </c>
      <c r="D309" s="264" t="s">
        <v>5768</v>
      </c>
      <c r="E309" s="265" t="s">
        <v>5242</v>
      </c>
      <c r="F309" s="268" t="s">
        <v>5758</v>
      </c>
      <c r="G309" s="271" t="str">
        <f>IF(COUNTIF(H309:AU309,"&lt;&gt;")=0,"",SUMPRODUCT(((Recommendations[ImplStatus]="Implemented")+(Recommendations[ImplStatus]="Compensated"))*ISNUMBER(MATCH(Recommendations[Id],H309:AU309,0)))/COUNTIF(H309:AU309,"&lt;&gt;"))</f>
        <v/>
      </c>
      <c r="H309" s="272"/>
      <c r="I309" s="272"/>
      <c r="J309" s="272"/>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5697</v>
      </c>
      <c r="B310" s="260" t="s">
        <v>1512</v>
      </c>
      <c r="C310" s="261" t="s">
        <v>5769</v>
      </c>
      <c r="D310" s="264" t="s">
        <v>5770</v>
      </c>
      <c r="E310" s="265" t="s">
        <v>5242</v>
      </c>
      <c r="F310" s="268" t="s">
        <v>5758</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5697</v>
      </c>
      <c r="B311" s="260" t="s">
        <v>1512</v>
      </c>
      <c r="C311" s="261" t="s">
        <v>5771</v>
      </c>
      <c r="D311" s="264" t="s">
        <v>5772</v>
      </c>
      <c r="E311" s="265" t="s">
        <v>5242</v>
      </c>
      <c r="F311" s="268" t="s">
        <v>5758</v>
      </c>
      <c r="G311" s="271" t="str">
        <f>IF(COUNTIF(H311:AU311,"&lt;&gt;")=0,"",SUMPRODUCT(((Recommendations[ImplStatus]="Implemented")+(Recommendations[ImplStatus]="Compensated"))*ISNUMBER(MATCH(Recommendations[Id],H311:AU311,0)))/COUNTIF(H311:AU311,"&lt;&gt;"))</f>
        <v/>
      </c>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5697</v>
      </c>
      <c r="B312" s="260" t="s">
        <v>1512</v>
      </c>
      <c r="C312" s="261" t="s">
        <v>5773</v>
      </c>
      <c r="D312" s="264" t="s">
        <v>5774</v>
      </c>
      <c r="E312" s="265" t="s">
        <v>5242</v>
      </c>
      <c r="F312" s="268" t="s">
        <v>5758</v>
      </c>
      <c r="G312" s="271" t="str">
        <f>IF(COUNTIF(H312:AU312,"&lt;&gt;")=0,"",SUMPRODUCT(((Recommendations[ImplStatus]="Implemented")+(Recommendations[ImplStatus]="Compensated"))*ISNUMBER(MATCH(Recommendations[Id],H312:AU312,0)))/COUNTIF(H312:AU312,"&lt;&gt;"))</f>
        <v/>
      </c>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5697</v>
      </c>
      <c r="B313" s="260" t="s">
        <v>1512</v>
      </c>
      <c r="C313" s="261" t="s">
        <v>5775</v>
      </c>
      <c r="D313" s="264" t="s">
        <v>5776</v>
      </c>
      <c r="E313" s="265" t="s">
        <v>5175</v>
      </c>
      <c r="F313" s="268" t="s">
        <v>5758</v>
      </c>
      <c r="G313" s="271" t="str">
        <f>IF(COUNTIF(H313:AU313,"&lt;&gt;")=0,"",SUMPRODUCT(((Recommendations[ImplStatus]="Implemented")+(Recommendations[ImplStatus]="Compensated"))*ISNUMBER(MATCH(Recommendations[Id],H313:AU313,0)))/COUNTIF(H313:AU313,"&lt;&gt;"))</f>
        <v/>
      </c>
      <c r="H313" s="272"/>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5697</v>
      </c>
      <c r="B314" s="260" t="s">
        <v>1512</v>
      </c>
      <c r="C314" s="261" t="s">
        <v>5777</v>
      </c>
      <c r="D314" s="264" t="s">
        <v>5778</v>
      </c>
      <c r="E314" s="265" t="s">
        <v>5175</v>
      </c>
      <c r="F314" s="268" t="s">
        <v>5758</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5697</v>
      </c>
      <c r="B315" s="260" t="s">
        <v>1512</v>
      </c>
      <c r="C315" s="261" t="s">
        <v>5779</v>
      </c>
      <c r="D315" s="264" t="s">
        <v>5780</v>
      </c>
      <c r="E315" s="265" t="s">
        <v>5175</v>
      </c>
      <c r="F315" s="268" t="s">
        <v>5758</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5697</v>
      </c>
      <c r="B316" s="260" t="s">
        <v>1512</v>
      </c>
      <c r="C316" s="261" t="s">
        <v>5781</v>
      </c>
      <c r="D316" s="264" t="s">
        <v>5782</v>
      </c>
      <c r="E316" s="265" t="s">
        <v>5175</v>
      </c>
      <c r="F316" s="268" t="s">
        <v>5758</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5697</v>
      </c>
      <c r="B317" s="260" t="s">
        <v>1512</v>
      </c>
      <c r="C317" s="261" t="s">
        <v>5783</v>
      </c>
      <c r="D317" s="264" t="s">
        <v>5784</v>
      </c>
      <c r="E317" s="265" t="s">
        <v>5242</v>
      </c>
      <c r="F317" s="268" t="s">
        <v>5716</v>
      </c>
      <c r="G317" s="271" t="str">
        <f>IF(COUNTIF(H317:AU317,"&lt;&gt;")=0,"",SUMPRODUCT(((Recommendations[ImplStatus]="Implemented")+(Recommendations[ImplStatus]="Compensated"))*ISNUMBER(MATCH(Recommendations[Id],H317:AU317,0)))/COUNTIF(H317:AU317,"&lt;&gt;"))</f>
        <v/>
      </c>
      <c r="H317" s="272"/>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5697</v>
      </c>
      <c r="B318" s="260" t="s">
        <v>1512</v>
      </c>
      <c r="C318" s="261" t="s">
        <v>5785</v>
      </c>
      <c r="D318" s="264" t="s">
        <v>5786</v>
      </c>
      <c r="E318" s="265" t="s">
        <v>5290</v>
      </c>
      <c r="F318" s="268" t="s">
        <v>5716</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5697</v>
      </c>
      <c r="B319" s="260" t="s">
        <v>1512</v>
      </c>
      <c r="C319" s="261" t="s">
        <v>5787</v>
      </c>
      <c r="D319" s="264" t="s">
        <v>5788</v>
      </c>
      <c r="E319" s="265" t="s">
        <v>5290</v>
      </c>
      <c r="F319" s="268" t="s">
        <v>5716</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5697</v>
      </c>
      <c r="B320" s="259" t="s">
        <v>5789</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5697</v>
      </c>
      <c r="B321" s="260" t="s">
        <v>5789</v>
      </c>
      <c r="C321" s="261" t="s">
        <v>5790</v>
      </c>
      <c r="D321" s="264" t="s">
        <v>5791</v>
      </c>
      <c r="E321" s="265" t="s">
        <v>5175</v>
      </c>
      <c r="F321" s="268" t="s">
        <v>5792</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5697</v>
      </c>
      <c r="B322" s="260" t="s">
        <v>5789</v>
      </c>
      <c r="C322" s="261" t="s">
        <v>5793</v>
      </c>
      <c r="D322" s="264" t="s">
        <v>5794</v>
      </c>
      <c r="E322" s="265" t="s">
        <v>5175</v>
      </c>
      <c r="F322" s="268" t="s">
        <v>5792</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5697</v>
      </c>
      <c r="B323" s="260" t="s">
        <v>5789</v>
      </c>
      <c r="C323" s="261" t="s">
        <v>5795</v>
      </c>
      <c r="D323" s="264" t="s">
        <v>5796</v>
      </c>
      <c r="E323" s="265" t="s">
        <v>5175</v>
      </c>
      <c r="F323" s="268" t="s">
        <v>5792</v>
      </c>
      <c r="G323" s="271" t="str">
        <f>IF(COUNTIF(H323:AU323,"&lt;&gt;")=0,"",SUMPRODUCT(((Recommendations[ImplStatus]="Implemented")+(Recommendations[ImplStatus]="Compensated"))*ISNUMBER(MATCH(Recommendations[Id],H323:AU323,0)))/COUNTIF(H323:AU323,"&lt;&gt;"))</f>
        <v/>
      </c>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5697</v>
      </c>
      <c r="B324" s="260" t="s">
        <v>5789</v>
      </c>
      <c r="C324" s="261" t="s">
        <v>5797</v>
      </c>
      <c r="D324" s="264" t="s">
        <v>5798</v>
      </c>
      <c r="E324" s="265" t="s">
        <v>5175</v>
      </c>
      <c r="F324" s="268" t="s">
        <v>5792</v>
      </c>
      <c r="G324" s="271" t="str">
        <f>IF(COUNTIF(H324:AU324,"&lt;&gt;")=0,"",SUMPRODUCT(((Recommendations[ImplStatus]="Implemented")+(Recommendations[ImplStatus]="Compensated"))*ISNUMBER(MATCH(Recommendations[Id],H324:AU324,0)))/COUNTIF(H324:AU324,"&lt;&gt;"))</f>
        <v/>
      </c>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5697</v>
      </c>
      <c r="B325" s="260" t="s">
        <v>5789</v>
      </c>
      <c r="C325" s="261" t="s">
        <v>5799</v>
      </c>
      <c r="D325" s="264" t="s">
        <v>5800</v>
      </c>
      <c r="E325" s="265" t="s">
        <v>5175</v>
      </c>
      <c r="F325" s="268" t="s">
        <v>5792</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5697</v>
      </c>
      <c r="B326" s="260" t="s">
        <v>5789</v>
      </c>
      <c r="C326" s="261" t="s">
        <v>5801</v>
      </c>
      <c r="D326" s="264" t="s">
        <v>5802</v>
      </c>
      <c r="E326" s="265" t="s">
        <v>5175</v>
      </c>
      <c r="F326" s="268" t="s">
        <v>5792</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5697</v>
      </c>
      <c r="B327" s="260" t="s">
        <v>5789</v>
      </c>
      <c r="C327" s="261" t="s">
        <v>5803</v>
      </c>
      <c r="D327" s="264" t="s">
        <v>5804</v>
      </c>
      <c r="E327" s="265" t="s">
        <v>5175</v>
      </c>
      <c r="F327" s="268" t="s">
        <v>5792</v>
      </c>
      <c r="G327" s="271" t="str">
        <f>IF(COUNTIF(H327:AU327,"&lt;&gt;")=0,"",SUMPRODUCT(((Recommendations[ImplStatus]="Implemented")+(Recommendations[ImplStatus]="Compensated"))*ISNUMBER(MATCH(Recommendations[Id],H327:AU327,0)))/COUNTIF(H327:AU327,"&lt;&gt;"))</f>
        <v/>
      </c>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5697</v>
      </c>
      <c r="B328" s="260" t="s">
        <v>5789</v>
      </c>
      <c r="C328" s="261" t="s">
        <v>5805</v>
      </c>
      <c r="D328" s="264" t="s">
        <v>5806</v>
      </c>
      <c r="E328" s="265" t="s">
        <v>5175</v>
      </c>
      <c r="F328" s="268" t="s">
        <v>5792</v>
      </c>
      <c r="G328" s="271" t="str">
        <f>IF(COUNTIF(H328:AU328,"&lt;&gt;")=0,"",SUMPRODUCT(((Recommendations[ImplStatus]="Implemented")+(Recommendations[ImplStatus]="Compensated"))*ISNUMBER(MATCH(Recommendations[Id],H328:AU328,0)))/COUNTIF(H328:AU328,"&lt;&gt;"))</f>
        <v/>
      </c>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5697</v>
      </c>
      <c r="B329" s="260" t="s">
        <v>5789</v>
      </c>
      <c r="C329" s="261" t="s">
        <v>5807</v>
      </c>
      <c r="D329" s="264" t="s">
        <v>5808</v>
      </c>
      <c r="E329" s="265" t="s">
        <v>5175</v>
      </c>
      <c r="F329" s="268" t="s">
        <v>5792</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5697</v>
      </c>
      <c r="B330" s="260" t="s">
        <v>5789</v>
      </c>
      <c r="C330" s="261" t="s">
        <v>5809</v>
      </c>
      <c r="D330" s="264" t="s">
        <v>5810</v>
      </c>
      <c r="E330" s="265" t="s">
        <v>5175</v>
      </c>
      <c r="F330" s="268" t="s">
        <v>5792</v>
      </c>
      <c r="G330" s="271" t="str">
        <f>IF(COUNTIF(H330:AU330,"&lt;&gt;")=0,"",SUMPRODUCT(((Recommendations[ImplStatus]="Implemented")+(Recommendations[ImplStatus]="Compensated"))*ISNUMBER(MATCH(Recommendations[Id],H330:AU330,0)))/COUNTIF(H330:AU330,"&lt;&gt;"))</f>
        <v/>
      </c>
      <c r="H330" s="272"/>
      <c r="I330" s="272"/>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5697</v>
      </c>
      <c r="B331" s="260" t="s">
        <v>5789</v>
      </c>
      <c r="C331" s="261" t="s">
        <v>5811</v>
      </c>
      <c r="D331" s="264" t="s">
        <v>5812</v>
      </c>
      <c r="E331" s="265" t="s">
        <v>5175</v>
      </c>
      <c r="F331" s="268" t="s">
        <v>5792</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5697</v>
      </c>
      <c r="B332" s="260" t="s">
        <v>5789</v>
      </c>
      <c r="C332" s="261" t="s">
        <v>5813</v>
      </c>
      <c r="D332" s="264" t="s">
        <v>5814</v>
      </c>
      <c r="E332" s="265" t="s">
        <v>5175</v>
      </c>
      <c r="F332" s="268" t="s">
        <v>5792</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5697</v>
      </c>
      <c r="B333" s="260" t="s">
        <v>5789</v>
      </c>
      <c r="C333" s="261" t="s">
        <v>5815</v>
      </c>
      <c r="D333" s="264" t="s">
        <v>5816</v>
      </c>
      <c r="E333" s="265" t="s">
        <v>5175</v>
      </c>
      <c r="F333" s="268" t="s">
        <v>5792</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5697</v>
      </c>
      <c r="B334" s="260" t="s">
        <v>5789</v>
      </c>
      <c r="C334" s="261" t="s">
        <v>5817</v>
      </c>
      <c r="D334" s="264" t="s">
        <v>5818</v>
      </c>
      <c r="E334" s="265" t="s">
        <v>5175</v>
      </c>
      <c r="F334" s="268" t="s">
        <v>5792</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5697</v>
      </c>
      <c r="B335" s="260" t="s">
        <v>5789</v>
      </c>
      <c r="C335" s="261" t="s">
        <v>5819</v>
      </c>
      <c r="D335" s="264" t="s">
        <v>5820</v>
      </c>
      <c r="E335" s="265" t="s">
        <v>5175</v>
      </c>
      <c r="F335" s="268" t="s">
        <v>5792</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5697</v>
      </c>
      <c r="B336" s="260" t="s">
        <v>5789</v>
      </c>
      <c r="C336" s="261" t="s">
        <v>5821</v>
      </c>
      <c r="D336" s="264" t="s">
        <v>5822</v>
      </c>
      <c r="E336" s="265" t="s">
        <v>5290</v>
      </c>
      <c r="F336" s="268" t="s">
        <v>5792</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5697</v>
      </c>
      <c r="B337" s="260" t="s">
        <v>5789</v>
      </c>
      <c r="C337" s="261" t="s">
        <v>5823</v>
      </c>
      <c r="D337" s="264" t="s">
        <v>5824</v>
      </c>
      <c r="E337" s="265" t="s">
        <v>5290</v>
      </c>
      <c r="F337" s="268" t="s">
        <v>5792</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5697</v>
      </c>
      <c r="B338" s="260" t="s">
        <v>5789</v>
      </c>
      <c r="C338" s="261" t="s">
        <v>5825</v>
      </c>
      <c r="D338" s="264" t="s">
        <v>5826</v>
      </c>
      <c r="E338" s="265" t="s">
        <v>5175</v>
      </c>
      <c r="F338" s="268" t="s">
        <v>5792</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5697</v>
      </c>
      <c r="B339" s="260" t="s">
        <v>5789</v>
      </c>
      <c r="C339" s="261" t="s">
        <v>5827</v>
      </c>
      <c r="D339" s="264" t="s">
        <v>5828</v>
      </c>
      <c r="E339" s="265" t="s">
        <v>5175</v>
      </c>
      <c r="F339" s="268" t="s">
        <v>5792</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5697</v>
      </c>
      <c r="B340" s="259" t="s">
        <v>5829</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5697</v>
      </c>
      <c r="B341" s="260" t="s">
        <v>5829</v>
      </c>
      <c r="C341" s="261" t="s">
        <v>5830</v>
      </c>
      <c r="D341" s="264" t="s">
        <v>5831</v>
      </c>
      <c r="E341" s="265" t="s">
        <v>5146</v>
      </c>
      <c r="F341" s="268" t="s">
        <v>5716</v>
      </c>
      <c r="G341" s="271" t="str">
        <f>IF(COUNTIF(H341:AU341,"&lt;&gt;")=0,"",SUMPRODUCT(((Recommendations[ImplStatus]="Implemented")+(Recommendations[ImplStatus]="Compensated"))*ISNUMBER(MATCH(Recommendations[Id],H341:AU341,0)))/COUNTIF(H341:AU341,"&lt;&gt;"))</f>
        <v/>
      </c>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5697</v>
      </c>
      <c r="B342" s="260" t="s">
        <v>5829</v>
      </c>
      <c r="C342" s="261" t="s">
        <v>5832</v>
      </c>
      <c r="D342" s="264" t="s">
        <v>5833</v>
      </c>
      <c r="E342" s="265" t="s">
        <v>5146</v>
      </c>
      <c r="F342" s="268" t="s">
        <v>5716</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5697</v>
      </c>
      <c r="B343" s="260" t="s">
        <v>5829</v>
      </c>
      <c r="C343" s="261" t="s">
        <v>5834</v>
      </c>
      <c r="D343" s="264" t="s">
        <v>5835</v>
      </c>
      <c r="E343" s="265" t="s">
        <v>5242</v>
      </c>
      <c r="F343" s="268" t="s">
        <v>5836</v>
      </c>
      <c r="G343" s="271">
        <f>IF(COUNTIF(H343:AU343,"&lt;&gt;")=0,"",SUMPRODUCT(((Recommendations[ImplStatus]="Implemented")+(Recommendations[ImplStatus]="Compensated"))*ISNUMBER(MATCH(Recommendations[Id],H343:AU343,0)))/COUNTIF(H343:AU343,"&lt;&gt;"))</f>
        <v>0</v>
      </c>
      <c r="H343" s="272" t="s">
        <v>55</v>
      </c>
      <c r="I343" s="272" t="s">
        <v>128</v>
      </c>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5697</v>
      </c>
      <c r="B344" s="260" t="s">
        <v>5829</v>
      </c>
      <c r="C344" s="261" t="s">
        <v>5837</v>
      </c>
      <c r="D344" s="264" t="s">
        <v>5838</v>
      </c>
      <c r="E344" s="265" t="s">
        <v>5175</v>
      </c>
      <c r="F344" s="268" t="s">
        <v>5836</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5697</v>
      </c>
      <c r="B345" s="260" t="s">
        <v>5829</v>
      </c>
      <c r="C345" s="261" t="s">
        <v>5839</v>
      </c>
      <c r="D345" s="264" t="s">
        <v>5840</v>
      </c>
      <c r="E345" s="265" t="s">
        <v>5175</v>
      </c>
      <c r="F345" s="268" t="s">
        <v>5836</v>
      </c>
      <c r="G345" s="271" t="str">
        <f>IF(COUNTIF(H345:AU345,"&lt;&gt;")=0,"",SUMPRODUCT(((Recommendations[ImplStatus]="Implemented")+(Recommendations[ImplStatus]="Compensated"))*ISNUMBER(MATCH(Recommendations[Id],H345:AU345,0)))/COUNTIF(H345:AU345,"&lt;&gt;"))</f>
        <v/>
      </c>
      <c r="H345" s="272"/>
      <c r="I345" s="272"/>
      <c r="J345" s="272"/>
      <c r="K345" s="272"/>
      <c r="L345" s="272"/>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5697</v>
      </c>
      <c r="B346" s="260" t="s">
        <v>5829</v>
      </c>
      <c r="C346" s="261" t="s">
        <v>5841</v>
      </c>
      <c r="D346" s="264" t="s">
        <v>5842</v>
      </c>
      <c r="E346" s="265" t="s">
        <v>5175</v>
      </c>
      <c r="F346" s="268" t="s">
        <v>5836</v>
      </c>
      <c r="G346" s="271" t="str">
        <f>IF(COUNTIF(H346:AU346,"&lt;&gt;")=0,"",SUMPRODUCT(((Recommendations[ImplStatus]="Implemented")+(Recommendations[ImplStatus]="Compensated"))*ISNUMBER(MATCH(Recommendations[Id],H346:AU346,0)))/COUNTIF(H346:AU346,"&lt;&gt;"))</f>
        <v/>
      </c>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86"/>
    </row>
    <row r="347" spans="1:47" ht="60" customHeight="1" x14ac:dyDescent="0.35">
      <c r="A347" s="282" t="s">
        <v>5697</v>
      </c>
      <c r="B347" s="260" t="s">
        <v>5829</v>
      </c>
      <c r="C347" s="261" t="s">
        <v>5843</v>
      </c>
      <c r="D347" s="264" t="s">
        <v>5844</v>
      </c>
      <c r="E347" s="265" t="s">
        <v>5175</v>
      </c>
      <c r="F347" s="268" t="s">
        <v>5836</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5697</v>
      </c>
      <c r="B348" s="260" t="s">
        <v>5829</v>
      </c>
      <c r="C348" s="261" t="s">
        <v>5845</v>
      </c>
      <c r="D348" s="264" t="s">
        <v>5846</v>
      </c>
      <c r="E348" s="265" t="s">
        <v>5175</v>
      </c>
      <c r="F348" s="268" t="s">
        <v>5836</v>
      </c>
      <c r="G348" s="271" t="str">
        <f>IF(COUNTIF(H348:AU348,"&lt;&gt;")=0,"",SUMPRODUCT(((Recommendations[ImplStatus]="Implemented")+(Recommendations[ImplStatus]="Compensated"))*ISNUMBER(MATCH(Recommendations[Id],H348:AU348,0)))/COUNTIF(H348:AU348,"&lt;&gt;"))</f>
        <v/>
      </c>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5697</v>
      </c>
      <c r="B349" s="260" t="s">
        <v>5829</v>
      </c>
      <c r="C349" s="261" t="s">
        <v>5847</v>
      </c>
      <c r="D349" s="264" t="s">
        <v>5848</v>
      </c>
      <c r="E349" s="265" t="s">
        <v>5175</v>
      </c>
      <c r="F349" s="268" t="s">
        <v>5836</v>
      </c>
      <c r="G349" s="271" t="str">
        <f>IF(COUNTIF(H349:AU349,"&lt;&gt;")=0,"",SUMPRODUCT(((Recommendations[ImplStatus]="Implemented")+(Recommendations[ImplStatus]="Compensated"))*ISNUMBER(MATCH(Recommendations[Id],H349:AU349,0)))/COUNTIF(H349:AU349,"&lt;&gt;"))</f>
        <v/>
      </c>
      <c r="H349" s="272"/>
      <c r="I349" s="272"/>
      <c r="J349" s="272"/>
      <c r="K349" s="272"/>
      <c r="L349" s="272"/>
      <c r="M349" s="272"/>
      <c r="N349" s="272"/>
      <c r="O349" s="272"/>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2"/>
      <c r="AR349" s="272"/>
      <c r="AS349" s="272"/>
      <c r="AT349" s="272"/>
      <c r="AU349" s="286"/>
    </row>
    <row r="350" spans="1:47" ht="60" customHeight="1" x14ac:dyDescent="0.35">
      <c r="A350" s="282" t="s">
        <v>5697</v>
      </c>
      <c r="B350" s="260" t="s">
        <v>5829</v>
      </c>
      <c r="C350" s="261" t="s">
        <v>5849</v>
      </c>
      <c r="D350" s="264" t="s">
        <v>5850</v>
      </c>
      <c r="E350" s="265" t="s">
        <v>5146</v>
      </c>
      <c r="F350" s="268" t="s">
        <v>5836</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5697</v>
      </c>
      <c r="B351" s="260" t="s">
        <v>5829</v>
      </c>
      <c r="C351" s="261" t="s">
        <v>5851</v>
      </c>
      <c r="D351" s="264" t="s">
        <v>5852</v>
      </c>
      <c r="E351" s="265" t="s">
        <v>5146</v>
      </c>
      <c r="F351" s="268" t="s">
        <v>5836</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5697</v>
      </c>
      <c r="B352" s="260" t="s">
        <v>5829</v>
      </c>
      <c r="C352" s="261" t="s">
        <v>5853</v>
      </c>
      <c r="D352" s="264" t="s">
        <v>5854</v>
      </c>
      <c r="E352" s="265" t="s">
        <v>5146</v>
      </c>
      <c r="F352" s="268" t="s">
        <v>5836</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5697</v>
      </c>
      <c r="B353" s="260" t="s">
        <v>5829</v>
      </c>
      <c r="C353" s="261" t="s">
        <v>5855</v>
      </c>
      <c r="D353" s="264" t="s">
        <v>5856</v>
      </c>
      <c r="E353" s="265" t="s">
        <v>5242</v>
      </c>
      <c r="F353" s="268" t="s">
        <v>5716</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5697</v>
      </c>
      <c r="B354" s="259" t="s">
        <v>5857</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5697</v>
      </c>
      <c r="B355" s="260" t="s">
        <v>5857</v>
      </c>
      <c r="C355" s="261" t="s">
        <v>5858</v>
      </c>
      <c r="D355" s="264" t="s">
        <v>5859</v>
      </c>
      <c r="E355" s="265" t="s">
        <v>5242</v>
      </c>
      <c r="F355" s="268" t="s">
        <v>5860</v>
      </c>
      <c r="G355" s="271">
        <f>IF(COUNTIF(H355:AU355,"&lt;&gt;")=0,"",SUMPRODUCT(((Recommendations[ImplStatus]="Implemented")+(Recommendations[ImplStatus]="Compensated"))*ISNUMBER(MATCH(Recommendations[Id],H355:AU355,0)))/COUNTIF(H355:AU355,"&lt;&gt;"))</f>
        <v>0</v>
      </c>
      <c r="H355" s="272" t="s">
        <v>90</v>
      </c>
      <c r="I355" s="272" t="s">
        <v>95</v>
      </c>
      <c r="J355" s="272" t="s">
        <v>110</v>
      </c>
      <c r="K355" s="272" t="s">
        <v>113</v>
      </c>
      <c r="L355" s="272" t="s">
        <v>123</v>
      </c>
      <c r="M355" s="272" t="s">
        <v>178</v>
      </c>
      <c r="N355" s="272" t="s">
        <v>183</v>
      </c>
      <c r="O355" s="272" t="s">
        <v>186</v>
      </c>
      <c r="P355" s="272" t="s">
        <v>189</v>
      </c>
      <c r="Q355" s="272" t="s">
        <v>192</v>
      </c>
      <c r="R355" s="272" t="s">
        <v>200</v>
      </c>
      <c r="S355" s="272" t="s">
        <v>205</v>
      </c>
      <c r="T355" s="272" t="s">
        <v>225</v>
      </c>
      <c r="U355" s="272" t="s">
        <v>228</v>
      </c>
      <c r="V355" s="272" t="s">
        <v>231</v>
      </c>
      <c r="W355" s="272" t="s">
        <v>233</v>
      </c>
      <c r="X355" s="272" t="s">
        <v>235</v>
      </c>
      <c r="Y355" s="272" t="s">
        <v>237</v>
      </c>
      <c r="Z355" s="272" t="s">
        <v>241</v>
      </c>
      <c r="AA355" s="272" t="s">
        <v>246</v>
      </c>
      <c r="AB355" s="272" t="s">
        <v>260</v>
      </c>
      <c r="AC355" s="272" t="s">
        <v>280</v>
      </c>
      <c r="AD355" s="272" t="s">
        <v>392</v>
      </c>
      <c r="AE355" s="272" t="s">
        <v>397</v>
      </c>
      <c r="AF355" s="272" t="s">
        <v>402</v>
      </c>
      <c r="AG355" s="272"/>
      <c r="AH355" s="272"/>
      <c r="AI355" s="272"/>
      <c r="AJ355" s="272"/>
      <c r="AK355" s="272"/>
      <c r="AL355" s="272"/>
      <c r="AM355" s="272"/>
      <c r="AN355" s="272"/>
      <c r="AO355" s="272"/>
      <c r="AP355" s="272"/>
      <c r="AQ355" s="272"/>
      <c r="AR355" s="272"/>
      <c r="AS355" s="272"/>
      <c r="AT355" s="272"/>
      <c r="AU355" s="286"/>
    </row>
    <row r="356" spans="1:47" ht="60" customHeight="1" x14ac:dyDescent="0.35">
      <c r="A356" s="282" t="s">
        <v>5697</v>
      </c>
      <c r="B356" s="260" t="s">
        <v>5857</v>
      </c>
      <c r="C356" s="261" t="s">
        <v>5861</v>
      </c>
      <c r="D356" s="264" t="s">
        <v>5862</v>
      </c>
      <c r="E356" s="265" t="s">
        <v>5242</v>
      </c>
      <c r="F356" s="268" t="s">
        <v>5860</v>
      </c>
      <c r="G356" s="271">
        <f>IF(COUNTIF(H356:AU356,"&lt;&gt;")=0,"",SUMPRODUCT(((Recommendations[ImplStatus]="Implemented")+(Recommendations[ImplStatus]="Compensated"))*ISNUMBER(MATCH(Recommendations[Id],H356:AU356,0)))/COUNTIF(H356:AU356,"&lt;&gt;"))</f>
        <v>0</v>
      </c>
      <c r="H356" s="272" t="s">
        <v>90</v>
      </c>
      <c r="I356" s="272" t="s">
        <v>95</v>
      </c>
      <c r="J356" s="272" t="s">
        <v>123</v>
      </c>
      <c r="K356" s="272" t="s">
        <v>220</v>
      </c>
      <c r="L356" s="272" t="s">
        <v>237</v>
      </c>
      <c r="M356" s="272" t="s">
        <v>241</v>
      </c>
      <c r="N356" s="272" t="s">
        <v>246</v>
      </c>
      <c r="O356" s="272" t="s">
        <v>280</v>
      </c>
      <c r="P356" s="272" t="s">
        <v>402</v>
      </c>
      <c r="Q356" s="272"/>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5697</v>
      </c>
      <c r="B357" s="260" t="s">
        <v>5857</v>
      </c>
      <c r="C357" s="261" t="s">
        <v>5863</v>
      </c>
      <c r="D357" s="264" t="s">
        <v>5864</v>
      </c>
      <c r="E357" s="265" t="s">
        <v>5290</v>
      </c>
      <c r="F357" s="268" t="s">
        <v>5860</v>
      </c>
      <c r="G357" s="271">
        <f>IF(COUNTIF(H357:AU357,"&lt;&gt;")=0,"",SUMPRODUCT(((Recommendations[ImplStatus]="Implemented")+(Recommendations[ImplStatus]="Compensated"))*ISNUMBER(MATCH(Recommendations[Id],H357:AU357,0)))/COUNTIF(H357:AU357,"&lt;&gt;"))</f>
        <v>0</v>
      </c>
      <c r="H357" s="272" t="s">
        <v>110</v>
      </c>
      <c r="I357" s="272" t="s">
        <v>113</v>
      </c>
      <c r="J357" s="272" t="s">
        <v>392</v>
      </c>
      <c r="K357" s="272"/>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5697</v>
      </c>
      <c r="B358" s="260" t="s">
        <v>5857</v>
      </c>
      <c r="C358" s="261" t="s">
        <v>5865</v>
      </c>
      <c r="D358" s="264" t="s">
        <v>5866</v>
      </c>
      <c r="E358" s="265" t="s">
        <v>5290</v>
      </c>
      <c r="F358" s="268" t="s">
        <v>5860</v>
      </c>
      <c r="G358" s="271" t="str">
        <f>IF(COUNTIF(H358:AU358,"&lt;&gt;")=0,"",SUMPRODUCT(((Recommendations[ImplStatus]="Implemented")+(Recommendations[ImplStatus]="Compensated"))*ISNUMBER(MATCH(Recommendations[Id],H358:AU358,0)))/COUNTIF(H358:AU358,"&lt;&gt;"))</f>
        <v/>
      </c>
      <c r="H358" s="272"/>
      <c r="I358" s="272"/>
      <c r="J358" s="272"/>
      <c r="K358" s="272"/>
      <c r="L358" s="272"/>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5697</v>
      </c>
      <c r="B359" s="260" t="s">
        <v>5857</v>
      </c>
      <c r="C359" s="261" t="s">
        <v>5867</v>
      </c>
      <c r="D359" s="264" t="s">
        <v>5868</v>
      </c>
      <c r="E359" s="265" t="s">
        <v>5290</v>
      </c>
      <c r="F359" s="268" t="s">
        <v>5860</v>
      </c>
      <c r="G359" s="271">
        <f>IF(COUNTIF(H359:AU359,"&lt;&gt;")=0,"",SUMPRODUCT(((Recommendations[ImplStatus]="Implemented")+(Recommendations[ImplStatus]="Compensated"))*ISNUMBER(MATCH(Recommendations[Id],H359:AU359,0)))/COUNTIF(H359:AU359,"&lt;&gt;"))</f>
        <v>0</v>
      </c>
      <c r="H359" s="272" t="s">
        <v>255</v>
      </c>
      <c r="I359" s="272" t="s">
        <v>260</v>
      </c>
      <c r="J359" s="272" t="s">
        <v>315</v>
      </c>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5697</v>
      </c>
      <c r="B360" s="260" t="s">
        <v>5857</v>
      </c>
      <c r="C360" s="261" t="s">
        <v>5869</v>
      </c>
      <c r="D360" s="264" t="s">
        <v>5870</v>
      </c>
      <c r="E360" s="265" t="s">
        <v>5242</v>
      </c>
      <c r="F360" s="268" t="s">
        <v>5860</v>
      </c>
      <c r="G360" s="271" t="str">
        <f>IF(COUNTIF(H360:AU360,"&lt;&gt;")=0,"",SUMPRODUCT(((Recommendations[ImplStatus]="Implemented")+(Recommendations[ImplStatus]="Compensated"))*ISNUMBER(MATCH(Recommendations[Id],H360:AU360,0)))/COUNTIF(H360:AU360,"&lt;&gt;"))</f>
        <v/>
      </c>
      <c r="H360" s="272"/>
      <c r="I360" s="272"/>
      <c r="J360" s="272"/>
      <c r="K360" s="272"/>
      <c r="L360" s="272"/>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5697</v>
      </c>
      <c r="B361" s="260" t="s">
        <v>5857</v>
      </c>
      <c r="C361" s="261" t="s">
        <v>5871</v>
      </c>
      <c r="D361" s="264" t="s">
        <v>5872</v>
      </c>
      <c r="E361" s="265" t="s">
        <v>5175</v>
      </c>
      <c r="F361" s="268" t="s">
        <v>5860</v>
      </c>
      <c r="G361" s="271">
        <f>IF(COUNTIF(H361:AU361,"&lt;&gt;")=0,"",SUMPRODUCT(((Recommendations[ImplStatus]="Implemented")+(Recommendations[ImplStatus]="Compensated"))*ISNUMBER(MATCH(Recommendations[Id],H361:AU361,0)))/COUNTIF(H361:AU361,"&lt;&gt;"))</f>
        <v>0</v>
      </c>
      <c r="H361" s="272" t="s">
        <v>66</v>
      </c>
      <c r="I361" s="272" t="s">
        <v>100</v>
      </c>
      <c r="J361" s="272" t="s">
        <v>105</v>
      </c>
      <c r="K361" s="272" t="s">
        <v>118</v>
      </c>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5697</v>
      </c>
      <c r="B362" s="260" t="s">
        <v>5857</v>
      </c>
      <c r="C362" s="261" t="s">
        <v>5873</v>
      </c>
      <c r="D362" s="264" t="s">
        <v>5874</v>
      </c>
      <c r="E362" s="265" t="s">
        <v>5290</v>
      </c>
      <c r="F362" s="268" t="s">
        <v>5860</v>
      </c>
      <c r="G362" s="271" t="str">
        <f>IF(COUNTIF(H362:AU362,"&lt;&gt;")=0,"",SUMPRODUCT(((Recommendations[ImplStatus]="Implemented")+(Recommendations[ImplStatus]="Compensated"))*ISNUMBER(MATCH(Recommendations[Id],H362:AU362,0)))/COUNTIF(H362:AU362,"&lt;&gt;"))</f>
        <v/>
      </c>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5697</v>
      </c>
      <c r="B363" s="260" t="s">
        <v>5857</v>
      </c>
      <c r="C363" s="261" t="s">
        <v>5875</v>
      </c>
      <c r="D363" s="264" t="s">
        <v>5876</v>
      </c>
      <c r="E363" s="265" t="s">
        <v>5290</v>
      </c>
      <c r="F363" s="268" t="s">
        <v>5860</v>
      </c>
      <c r="G363" s="271" t="str">
        <f>IF(COUNTIF(H363:AU363,"&lt;&gt;")=0,"",SUMPRODUCT(((Recommendations[ImplStatus]="Implemented")+(Recommendations[ImplStatus]="Compensated"))*ISNUMBER(MATCH(Recommendations[Id],H363:AU363,0)))/COUNTIF(H363:AU363,"&lt;&gt;"))</f>
        <v/>
      </c>
      <c r="H363" s="272"/>
      <c r="I363" s="272"/>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5697</v>
      </c>
      <c r="B364" s="260" t="s">
        <v>5857</v>
      </c>
      <c r="C364" s="261" t="s">
        <v>5877</v>
      </c>
      <c r="D364" s="264" t="s">
        <v>5878</v>
      </c>
      <c r="E364" s="265" t="s">
        <v>5290</v>
      </c>
      <c r="F364" s="268" t="s">
        <v>5860</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5697</v>
      </c>
      <c r="B365" s="260" t="s">
        <v>5857</v>
      </c>
      <c r="C365" s="261" t="s">
        <v>5879</v>
      </c>
      <c r="D365" s="264" t="s">
        <v>5880</v>
      </c>
      <c r="E365" s="265" t="s">
        <v>5290</v>
      </c>
      <c r="F365" s="268" t="s">
        <v>5860</v>
      </c>
      <c r="G365" s="271" t="str">
        <f>IF(COUNTIF(H365:AU365,"&lt;&gt;")=0,"",SUMPRODUCT(((Recommendations[ImplStatus]="Implemented")+(Recommendations[ImplStatus]="Compensated"))*ISNUMBER(MATCH(Recommendations[Id],H365:AU365,0)))/COUNTIF(H365:AU365,"&lt;&gt;"))</f>
        <v/>
      </c>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5697</v>
      </c>
      <c r="B366" s="260" t="s">
        <v>5857</v>
      </c>
      <c r="C366" s="261" t="s">
        <v>5881</v>
      </c>
      <c r="D366" s="264" t="s">
        <v>5882</v>
      </c>
      <c r="E366" s="265" t="s">
        <v>5290</v>
      </c>
      <c r="F366" s="268" t="s">
        <v>5860</v>
      </c>
      <c r="G366" s="271" t="str">
        <f>IF(COUNTIF(H366:AU366,"&lt;&gt;")=0,"",SUMPRODUCT(((Recommendations[ImplStatus]="Implemented")+(Recommendations[ImplStatus]="Compensated"))*ISNUMBER(MATCH(Recommendations[Id],H366:AU366,0)))/COUNTIF(H366:AU366,"&lt;&gt;"))</f>
        <v/>
      </c>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5697</v>
      </c>
      <c r="B367" s="260" t="s">
        <v>5857</v>
      </c>
      <c r="C367" s="261" t="s">
        <v>5883</v>
      </c>
      <c r="D367" s="264" t="s">
        <v>5884</v>
      </c>
      <c r="E367" s="265" t="s">
        <v>5290</v>
      </c>
      <c r="F367" s="268" t="s">
        <v>5860</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5697</v>
      </c>
      <c r="B368" s="260" t="s">
        <v>5857</v>
      </c>
      <c r="C368" s="261" t="s">
        <v>5885</v>
      </c>
      <c r="D368" s="264" t="s">
        <v>5886</v>
      </c>
      <c r="E368" s="265" t="s">
        <v>5290</v>
      </c>
      <c r="F368" s="268" t="s">
        <v>5860</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5697</v>
      </c>
      <c r="B369" s="260" t="s">
        <v>5857</v>
      </c>
      <c r="C369" s="261" t="s">
        <v>5887</v>
      </c>
      <c r="D369" s="264" t="s">
        <v>5888</v>
      </c>
      <c r="E369" s="265" t="s">
        <v>5290</v>
      </c>
      <c r="F369" s="268" t="s">
        <v>5860</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5889</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5889</v>
      </c>
      <c r="B371" s="259" t="s">
        <v>5890</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5889</v>
      </c>
      <c r="B372" s="260" t="s">
        <v>5890</v>
      </c>
      <c r="C372" s="261" t="s">
        <v>5891</v>
      </c>
      <c r="D372" s="264" t="s">
        <v>5892</v>
      </c>
      <c r="E372" s="265" t="s">
        <v>5146</v>
      </c>
      <c r="F372" s="268" t="s">
        <v>5893</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5889</v>
      </c>
      <c r="B373" s="260" t="s">
        <v>5890</v>
      </c>
      <c r="C373" s="261" t="s">
        <v>5894</v>
      </c>
      <c r="D373" s="264" t="s">
        <v>5895</v>
      </c>
      <c r="E373" s="265" t="s">
        <v>5146</v>
      </c>
      <c r="F373" s="268" t="s">
        <v>5896</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5889</v>
      </c>
      <c r="B374" s="260" t="s">
        <v>5890</v>
      </c>
      <c r="C374" s="261" t="s">
        <v>5897</v>
      </c>
      <c r="D374" s="264" t="s">
        <v>5898</v>
      </c>
      <c r="E374" s="265" t="s">
        <v>5175</v>
      </c>
      <c r="F374" s="268" t="s">
        <v>5896</v>
      </c>
      <c r="G374" s="271" t="str">
        <f>IF(COUNTIF(H374:AU374,"&lt;&gt;")=0,"",SUMPRODUCT(((Recommendations[ImplStatus]="Implemented")+(Recommendations[ImplStatus]="Compensated"))*ISNUMBER(MATCH(Recommendations[Id],H374:AU374,0)))/COUNTIF(H374:AU374,"&lt;&gt;"))</f>
        <v/>
      </c>
      <c r="H374" s="272"/>
      <c r="I374" s="272"/>
      <c r="J374" s="272"/>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5889</v>
      </c>
      <c r="B375" s="260" t="s">
        <v>5890</v>
      </c>
      <c r="C375" s="261" t="s">
        <v>5899</v>
      </c>
      <c r="D375" s="264" t="s">
        <v>5900</v>
      </c>
      <c r="E375" s="265" t="s">
        <v>5175</v>
      </c>
      <c r="F375" s="268" t="s">
        <v>5896</v>
      </c>
      <c r="G375" s="271">
        <f>IF(COUNTIF(H375:AU375,"&lt;&gt;")=0,"",SUMPRODUCT(((Recommendations[ImplStatus]="Implemented")+(Recommendations[ImplStatus]="Compensated"))*ISNUMBER(MATCH(Recommendations[Id],H375:AU375,0)))/COUNTIF(H375:AU375,"&lt;&gt;"))</f>
        <v>0</v>
      </c>
      <c r="H375" s="272" t="s">
        <v>270</v>
      </c>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5889</v>
      </c>
      <c r="B376" s="260" t="s">
        <v>5890</v>
      </c>
      <c r="C376" s="261" t="s">
        <v>5901</v>
      </c>
      <c r="D376" s="264" t="s">
        <v>5902</v>
      </c>
      <c r="E376" s="265" t="s">
        <v>5175</v>
      </c>
      <c r="F376" s="268" t="s">
        <v>5758</v>
      </c>
      <c r="G376" s="271">
        <f>IF(COUNTIF(H376:AU376,"&lt;&gt;")=0,"",SUMPRODUCT(((Recommendations[ImplStatus]="Implemented")+(Recommendations[ImplStatus]="Compensated"))*ISNUMBER(MATCH(Recommendations[Id],H376:AU376,0)))/COUNTIF(H376:AU376,"&lt;&gt;"))</f>
        <v>0</v>
      </c>
      <c r="H376" s="272" t="s">
        <v>255</v>
      </c>
      <c r="I376" s="272" t="s">
        <v>315</v>
      </c>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5889</v>
      </c>
      <c r="B377" s="260" t="s">
        <v>5890</v>
      </c>
      <c r="C377" s="261" t="s">
        <v>5903</v>
      </c>
      <c r="D377" s="264" t="s">
        <v>5904</v>
      </c>
      <c r="E377" s="265" t="s">
        <v>5242</v>
      </c>
      <c r="F377" s="268" t="s">
        <v>5716</v>
      </c>
      <c r="G377" s="271" t="str">
        <f>IF(COUNTIF(H377:AU377,"&lt;&gt;")=0,"",SUMPRODUCT(((Recommendations[ImplStatus]="Implemented")+(Recommendations[ImplStatus]="Compensated"))*ISNUMBER(MATCH(Recommendations[Id],H377:AU377,0)))/COUNTIF(H377:AU377,"&lt;&gt;"))</f>
        <v/>
      </c>
      <c r="H377" s="272"/>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5889</v>
      </c>
      <c r="B378" s="260" t="s">
        <v>5890</v>
      </c>
      <c r="C378" s="261" t="s">
        <v>5905</v>
      </c>
      <c r="D378" s="264" t="s">
        <v>5906</v>
      </c>
      <c r="E378" s="265" t="s">
        <v>5242</v>
      </c>
      <c r="F378" s="268" t="s">
        <v>5896</v>
      </c>
      <c r="G378" s="271" t="str">
        <f>IF(COUNTIF(H378:AU378,"&lt;&gt;")=0,"",SUMPRODUCT(((Recommendations[ImplStatus]="Implemented")+(Recommendations[ImplStatus]="Compensated"))*ISNUMBER(MATCH(Recommendations[Id],H378:AU378,0)))/COUNTIF(H378:AU378,"&lt;&gt;"))</f>
        <v/>
      </c>
      <c r="H378" s="272"/>
      <c r="I378" s="272"/>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5889</v>
      </c>
      <c r="B379" s="260" t="s">
        <v>5890</v>
      </c>
      <c r="C379" s="261" t="s">
        <v>5907</v>
      </c>
      <c r="D379" s="264" t="s">
        <v>5908</v>
      </c>
      <c r="E379" s="265" t="s">
        <v>5242</v>
      </c>
      <c r="F379" s="268" t="s">
        <v>5893</v>
      </c>
      <c r="G379" s="271">
        <f>IF(COUNTIF(H379:AU379,"&lt;&gt;")=0,"",SUMPRODUCT(((Recommendations[ImplStatus]="Implemented")+(Recommendations[ImplStatus]="Compensated"))*ISNUMBER(MATCH(Recommendations[Id],H379:AU379,0)))/COUNTIF(H379:AU379,"&lt;&gt;"))</f>
        <v>0</v>
      </c>
      <c r="H379" s="272" t="s">
        <v>373</v>
      </c>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5889</v>
      </c>
      <c r="B380" s="260" t="s">
        <v>5890</v>
      </c>
      <c r="C380" s="261" t="s">
        <v>5909</v>
      </c>
      <c r="D380" s="264" t="s">
        <v>5910</v>
      </c>
      <c r="E380" s="265" t="s">
        <v>5242</v>
      </c>
      <c r="F380" s="268" t="s">
        <v>5893</v>
      </c>
      <c r="G380" s="271" t="str">
        <f>IF(COUNTIF(H380:AU380,"&lt;&gt;")=0,"",SUMPRODUCT(((Recommendations[ImplStatus]="Implemented")+(Recommendations[ImplStatus]="Compensated"))*ISNUMBER(MATCH(Recommendations[Id],H380:AU380,0)))/COUNTIF(H380:AU380,"&lt;&gt;"))</f>
        <v/>
      </c>
      <c r="H380" s="272"/>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5889</v>
      </c>
      <c r="B381" s="260" t="s">
        <v>5890</v>
      </c>
      <c r="C381" s="261" t="s">
        <v>5911</v>
      </c>
      <c r="D381" s="264" t="s">
        <v>5912</v>
      </c>
      <c r="E381" s="265" t="s">
        <v>5242</v>
      </c>
      <c r="F381" s="268" t="s">
        <v>5893</v>
      </c>
      <c r="G381" s="271" t="str">
        <f>IF(COUNTIF(H381:AU381,"&lt;&gt;")=0,"",SUMPRODUCT(((Recommendations[ImplStatus]="Implemented")+(Recommendations[ImplStatus]="Compensated"))*ISNUMBER(MATCH(Recommendations[Id],H381:AU381,0)))/COUNTIF(H381:AU381,"&lt;&gt;"))</f>
        <v/>
      </c>
      <c r="H381" s="272"/>
      <c r="I381" s="272"/>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5889</v>
      </c>
      <c r="B382" s="260" t="s">
        <v>5890</v>
      </c>
      <c r="C382" s="261" t="s">
        <v>5913</v>
      </c>
      <c r="D382" s="264" t="s">
        <v>5914</v>
      </c>
      <c r="E382" s="265" t="s">
        <v>5290</v>
      </c>
      <c r="F382" s="268" t="s">
        <v>5893</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5889</v>
      </c>
      <c r="B383" s="260" t="s">
        <v>5890</v>
      </c>
      <c r="C383" s="261" t="s">
        <v>5915</v>
      </c>
      <c r="D383" s="264" t="s">
        <v>5916</v>
      </c>
      <c r="E383" s="265" t="s">
        <v>5290</v>
      </c>
      <c r="F383" s="268" t="s">
        <v>5893</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5889</v>
      </c>
      <c r="B384" s="260" t="s">
        <v>5890</v>
      </c>
      <c r="C384" s="261" t="s">
        <v>5917</v>
      </c>
      <c r="D384" s="264" t="s">
        <v>5918</v>
      </c>
      <c r="E384" s="265" t="s">
        <v>5290</v>
      </c>
      <c r="F384" s="268" t="s">
        <v>5893</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5889</v>
      </c>
      <c r="B385" s="260" t="s">
        <v>5890</v>
      </c>
      <c r="C385" s="261" t="s">
        <v>5919</v>
      </c>
      <c r="D385" s="264" t="s">
        <v>5920</v>
      </c>
      <c r="E385" s="265" t="s">
        <v>5242</v>
      </c>
      <c r="F385" s="268" t="s">
        <v>5893</v>
      </c>
      <c r="G385" s="271" t="str">
        <f>IF(COUNTIF(H385:AU385,"&lt;&gt;")=0,"",SUMPRODUCT(((Recommendations[ImplStatus]="Implemented")+(Recommendations[ImplStatus]="Compensated"))*ISNUMBER(MATCH(Recommendations[Id],H385:AU385,0)))/COUNTIF(H385:AU385,"&lt;&gt;"))</f>
        <v/>
      </c>
      <c r="H385" s="272"/>
      <c r="I385" s="272"/>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5889</v>
      </c>
      <c r="B386" s="259" t="s">
        <v>5921</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5889</v>
      </c>
      <c r="B387" s="260" t="s">
        <v>5921</v>
      </c>
      <c r="C387" s="261" t="s">
        <v>5922</v>
      </c>
      <c r="D387" s="264" t="s">
        <v>5923</v>
      </c>
      <c r="E387" s="265" t="s">
        <v>5146</v>
      </c>
      <c r="F387" s="268" t="s">
        <v>5924</v>
      </c>
      <c r="G387" s="271" t="str">
        <f>IF(COUNTIF(H387:AU387,"&lt;&gt;")=0,"",SUMPRODUCT(((Recommendations[ImplStatus]="Implemented")+(Recommendations[ImplStatus]="Compensated"))*ISNUMBER(MATCH(Recommendations[Id],H387:AU387,0)))/COUNTIF(H387:AU387,"&lt;&gt;"))</f>
        <v/>
      </c>
      <c r="H387" s="272"/>
      <c r="I387" s="272"/>
      <c r="J387" s="272"/>
      <c r="K387" s="272"/>
      <c r="L387" s="272"/>
      <c r="M387" s="272"/>
      <c r="N387" s="272"/>
      <c r="O387" s="272"/>
      <c r="P387" s="272"/>
      <c r="Q387" s="272"/>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5889</v>
      </c>
      <c r="B388" s="260" t="s">
        <v>5921</v>
      </c>
      <c r="C388" s="261" t="s">
        <v>5925</v>
      </c>
      <c r="D388" s="264" t="s">
        <v>5926</v>
      </c>
      <c r="E388" s="265" t="s">
        <v>5146</v>
      </c>
      <c r="F388" s="268" t="s">
        <v>5924</v>
      </c>
      <c r="G388" s="271" t="str">
        <f>IF(COUNTIF(H388:AU388,"&lt;&gt;")=0,"",SUMPRODUCT(((Recommendations[ImplStatus]="Implemented")+(Recommendations[ImplStatus]="Compensated"))*ISNUMBER(MATCH(Recommendations[Id],H388:AU388,0)))/COUNTIF(H388:AU388,"&lt;&gt;"))</f>
        <v/>
      </c>
      <c r="H388" s="272"/>
      <c r="I388" s="272"/>
      <c r="J388" s="272"/>
      <c r="K388" s="272"/>
      <c r="L388" s="272"/>
      <c r="M388" s="272"/>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5889</v>
      </c>
      <c r="B389" s="260" t="s">
        <v>5921</v>
      </c>
      <c r="C389" s="261" t="s">
        <v>5927</v>
      </c>
      <c r="D389" s="264" t="s">
        <v>5928</v>
      </c>
      <c r="E389" s="265" t="s">
        <v>5425</v>
      </c>
      <c r="F389" s="268" t="s">
        <v>5924</v>
      </c>
      <c r="G389" s="271" t="str">
        <f>IF(COUNTIF(H389:AU389,"&lt;&gt;")=0,"",SUMPRODUCT(((Recommendations[ImplStatus]="Implemented")+(Recommendations[ImplStatus]="Compensated"))*ISNUMBER(MATCH(Recommendations[Id],H389:AU389,0)))/COUNTIF(H389:AU389,"&lt;&gt;"))</f>
        <v/>
      </c>
      <c r="H389" s="272"/>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5889</v>
      </c>
      <c r="B390" s="260" t="s">
        <v>5921</v>
      </c>
      <c r="C390" s="261" t="s">
        <v>5929</v>
      </c>
      <c r="D390" s="264" t="s">
        <v>5930</v>
      </c>
      <c r="E390" s="265" t="s">
        <v>5242</v>
      </c>
      <c r="F390" s="268" t="s">
        <v>5924</v>
      </c>
      <c r="G390" s="271">
        <f>IF(COUNTIF(H390:AU390,"&lt;&gt;")=0,"",SUMPRODUCT(((Recommendations[ImplStatus]="Implemented")+(Recommendations[ImplStatus]="Compensated"))*ISNUMBER(MATCH(Recommendations[Id],H390:AU390,0)))/COUNTIF(H390:AU390,"&lt;&gt;"))</f>
        <v>0</v>
      </c>
      <c r="H390" s="272" t="s">
        <v>75</v>
      </c>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5889</v>
      </c>
      <c r="B391" s="260" t="s">
        <v>5921</v>
      </c>
      <c r="C391" s="261" t="s">
        <v>5931</v>
      </c>
      <c r="D391" s="264" t="s">
        <v>5932</v>
      </c>
      <c r="E391" s="265" t="s">
        <v>5425</v>
      </c>
      <c r="F391" s="268" t="s">
        <v>5924</v>
      </c>
      <c r="G391" s="271" t="str">
        <f>IF(COUNTIF(H391:AU391,"&lt;&gt;")=0,"",SUMPRODUCT(((Recommendations[ImplStatus]="Implemented")+(Recommendations[ImplStatus]="Compensated"))*ISNUMBER(MATCH(Recommendations[Id],H391:AU391,0)))/COUNTIF(H391:AU391,"&lt;&gt;"))</f>
        <v/>
      </c>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5889</v>
      </c>
      <c r="B392" s="260" t="s">
        <v>5921</v>
      </c>
      <c r="C392" s="261" t="s">
        <v>5933</v>
      </c>
      <c r="D392" s="264" t="s">
        <v>5934</v>
      </c>
      <c r="E392" s="265" t="s">
        <v>5175</v>
      </c>
      <c r="F392" s="268" t="s">
        <v>5924</v>
      </c>
      <c r="G392" s="271" t="str">
        <f>IF(COUNTIF(H392:AU392,"&lt;&gt;")=0,"",SUMPRODUCT(((Recommendations[ImplStatus]="Implemented")+(Recommendations[ImplStatus]="Compensated"))*ISNUMBER(MATCH(Recommendations[Id],H392:AU392,0)))/COUNTIF(H392:AU392,"&lt;&gt;"))</f>
        <v/>
      </c>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5889</v>
      </c>
      <c r="B393" s="260" t="s">
        <v>5921</v>
      </c>
      <c r="C393" s="261" t="s">
        <v>5935</v>
      </c>
      <c r="D393" s="264" t="s">
        <v>5936</v>
      </c>
      <c r="E393" s="265" t="s">
        <v>5175</v>
      </c>
      <c r="F393" s="268" t="s">
        <v>5924</v>
      </c>
      <c r="G393" s="271" t="str">
        <f>IF(COUNTIF(H393:AU393,"&lt;&gt;")=0,"",SUMPRODUCT(((Recommendations[ImplStatus]="Implemented")+(Recommendations[ImplStatus]="Compensated"))*ISNUMBER(MATCH(Recommendations[Id],H393:AU393,0)))/COUNTIF(H393:AU393,"&lt;&gt;"))</f>
        <v/>
      </c>
      <c r="H393" s="272"/>
      <c r="I393" s="272"/>
      <c r="J393" s="272"/>
      <c r="K393" s="272"/>
      <c r="L393" s="272"/>
      <c r="M393" s="272"/>
      <c r="N393" s="272"/>
      <c r="O393" s="272"/>
      <c r="P393" s="272"/>
      <c r="Q393" s="272"/>
      <c r="R393" s="272"/>
      <c r="S393" s="272"/>
      <c r="T393" s="272"/>
      <c r="U393" s="272"/>
      <c r="V393" s="272"/>
      <c r="W393" s="272"/>
      <c r="X393" s="272"/>
      <c r="Y393" s="272"/>
      <c r="Z393" s="272"/>
      <c r="AA393" s="272"/>
      <c r="AB393" s="272"/>
      <c r="AC393" s="272"/>
      <c r="AD393" s="272"/>
      <c r="AE393" s="272"/>
      <c r="AF393" s="272"/>
      <c r="AG393" s="272"/>
      <c r="AH393" s="272"/>
      <c r="AI393" s="272"/>
      <c r="AJ393" s="272"/>
      <c r="AK393" s="272"/>
      <c r="AL393" s="272"/>
      <c r="AM393" s="272"/>
      <c r="AN393" s="272"/>
      <c r="AO393" s="272"/>
      <c r="AP393" s="272"/>
      <c r="AQ393" s="272"/>
      <c r="AR393" s="272"/>
      <c r="AS393" s="272"/>
      <c r="AT393" s="272"/>
      <c r="AU393" s="286"/>
    </row>
    <row r="394" spans="1:47" ht="60" customHeight="1" x14ac:dyDescent="0.35">
      <c r="A394" s="282" t="s">
        <v>5889</v>
      </c>
      <c r="B394" s="260" t="s">
        <v>5921</v>
      </c>
      <c r="C394" s="261" t="s">
        <v>5937</v>
      </c>
      <c r="D394" s="264" t="s">
        <v>5938</v>
      </c>
      <c r="E394" s="265" t="s">
        <v>5425</v>
      </c>
      <c r="F394" s="268" t="s">
        <v>5924</v>
      </c>
      <c r="G394" s="271" t="str">
        <f>IF(COUNTIF(H394:AU394,"&lt;&gt;")=0,"",SUMPRODUCT(((Recommendations[ImplStatus]="Implemented")+(Recommendations[ImplStatus]="Compensated"))*ISNUMBER(MATCH(Recommendations[Id],H394:AU394,0)))/COUNTIF(H394:AU394,"&lt;&gt;"))</f>
        <v/>
      </c>
      <c r="H394" s="272"/>
      <c r="I394" s="272"/>
      <c r="J394" s="272"/>
      <c r="K394" s="272"/>
      <c r="L394" s="272"/>
      <c r="M394" s="272"/>
      <c r="N394" s="272"/>
      <c r="O394" s="272"/>
      <c r="P394" s="272"/>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5889</v>
      </c>
      <c r="B395" s="260" t="s">
        <v>5921</v>
      </c>
      <c r="C395" s="261" t="s">
        <v>5939</v>
      </c>
      <c r="D395" s="264" t="s">
        <v>5940</v>
      </c>
      <c r="E395" s="265" t="s">
        <v>5242</v>
      </c>
      <c r="F395" s="268" t="s">
        <v>5924</v>
      </c>
      <c r="G395" s="271">
        <f>IF(COUNTIF(H395:AU395,"&lt;&gt;")=0,"",SUMPRODUCT(((Recommendations[ImplStatus]="Implemented")+(Recommendations[ImplStatus]="Compensated"))*ISNUMBER(MATCH(Recommendations[Id],H395:AU395,0)))/COUNTIF(H395:AU395,"&lt;&gt;"))</f>
        <v>0</v>
      </c>
      <c r="H395" s="272" t="s">
        <v>133</v>
      </c>
      <c r="I395" s="272" t="s">
        <v>137</v>
      </c>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5889</v>
      </c>
      <c r="B396" s="260" t="s">
        <v>5921</v>
      </c>
      <c r="C396" s="261" t="s">
        <v>5941</v>
      </c>
      <c r="D396" s="264" t="s">
        <v>5942</v>
      </c>
      <c r="E396" s="265" t="s">
        <v>5425</v>
      </c>
      <c r="F396" s="268" t="s">
        <v>5924</v>
      </c>
      <c r="G396" s="271" t="str">
        <f>IF(COUNTIF(H396:AU396,"&lt;&gt;")=0,"",SUMPRODUCT(((Recommendations[ImplStatus]="Implemented")+(Recommendations[ImplStatus]="Compensated"))*ISNUMBER(MATCH(Recommendations[Id],H396:AU396,0)))/COUNTIF(H396:AU396,"&lt;&gt;"))</f>
        <v/>
      </c>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5889</v>
      </c>
      <c r="B397" s="260" t="s">
        <v>5921</v>
      </c>
      <c r="C397" s="261" t="s">
        <v>5943</v>
      </c>
      <c r="D397" s="264" t="s">
        <v>5944</v>
      </c>
      <c r="E397" s="265" t="s">
        <v>5175</v>
      </c>
      <c r="F397" s="268" t="s">
        <v>5924</v>
      </c>
      <c r="G397" s="271">
        <f>IF(COUNTIF(H397:AU397,"&lt;&gt;")=0,"",SUMPRODUCT(((Recommendations[ImplStatus]="Implemented")+(Recommendations[ImplStatus]="Compensated"))*ISNUMBER(MATCH(Recommendations[Id],H397:AU397,0)))/COUNTIF(H397:AU397,"&lt;&gt;"))</f>
        <v>0</v>
      </c>
      <c r="H397" s="272" t="s">
        <v>49</v>
      </c>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5889</v>
      </c>
      <c r="B398" s="260" t="s">
        <v>5921</v>
      </c>
      <c r="C398" s="261" t="s">
        <v>5945</v>
      </c>
      <c r="D398" s="264" t="s">
        <v>5946</v>
      </c>
      <c r="E398" s="265" t="s">
        <v>5290</v>
      </c>
      <c r="F398" s="268" t="s">
        <v>5924</v>
      </c>
      <c r="G398" s="271">
        <f>IF(COUNTIF(H398:AU398,"&lt;&gt;")=0,"",SUMPRODUCT(((Recommendations[ImplStatus]="Implemented")+(Recommendations[ImplStatus]="Compensated"))*ISNUMBER(MATCH(Recommendations[Id],H398:AU398,0)))/COUNTIF(H398:AU398,"&lt;&gt;"))</f>
        <v>0</v>
      </c>
      <c r="H398" s="272" t="s">
        <v>49</v>
      </c>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5889</v>
      </c>
      <c r="B399" s="260" t="s">
        <v>5921</v>
      </c>
      <c r="C399" s="261" t="s">
        <v>5947</v>
      </c>
      <c r="D399" s="264" t="s">
        <v>5948</v>
      </c>
      <c r="E399" s="265" t="s">
        <v>5425</v>
      </c>
      <c r="F399" s="268" t="s">
        <v>5924</v>
      </c>
      <c r="G399" s="271" t="str">
        <f>IF(COUNTIF(H399:AU399,"&lt;&gt;")=0,"",SUMPRODUCT(((Recommendations[ImplStatus]="Implemented")+(Recommendations[ImplStatus]="Compensated"))*ISNUMBER(MATCH(Recommendations[Id],H399:AU399,0)))/COUNTIF(H399:AU399,"&lt;&gt;"))</f>
        <v/>
      </c>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5889</v>
      </c>
      <c r="B400" s="260" t="s">
        <v>5921</v>
      </c>
      <c r="C400" s="261" t="s">
        <v>5949</v>
      </c>
      <c r="D400" s="264" t="s">
        <v>5950</v>
      </c>
      <c r="E400" s="265" t="s">
        <v>5425</v>
      </c>
      <c r="F400" s="268" t="s">
        <v>5924</v>
      </c>
      <c r="G400" s="271" t="str">
        <f>IF(COUNTIF(H400:AU400,"&lt;&gt;")=0,"",SUMPRODUCT(((Recommendations[ImplStatus]="Implemented")+(Recommendations[ImplStatus]="Compensated"))*ISNUMBER(MATCH(Recommendations[Id],H400:AU400,0)))/COUNTIF(H400:AU400,"&lt;&gt;"))</f>
        <v/>
      </c>
      <c r="H400" s="272"/>
      <c r="I400" s="272"/>
      <c r="J400" s="272"/>
      <c r="K400" s="272"/>
      <c r="L400" s="272"/>
      <c r="M400" s="272"/>
      <c r="N400" s="272"/>
      <c r="O400" s="272"/>
      <c r="P400" s="272"/>
      <c r="Q400" s="272"/>
      <c r="R400" s="272"/>
      <c r="S400" s="272"/>
      <c r="T400" s="272"/>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5889</v>
      </c>
      <c r="B401" s="260" t="s">
        <v>5921</v>
      </c>
      <c r="C401" s="261" t="s">
        <v>5951</v>
      </c>
      <c r="D401" s="264" t="s">
        <v>5952</v>
      </c>
      <c r="E401" s="265" t="s">
        <v>5175</v>
      </c>
      <c r="F401" s="268" t="s">
        <v>5924</v>
      </c>
      <c r="G401" s="271">
        <f>IF(COUNTIF(H401:AU401,"&lt;&gt;")=0,"",SUMPRODUCT(((Recommendations[ImplStatus]="Implemented")+(Recommendations[ImplStatus]="Compensated"))*ISNUMBER(MATCH(Recommendations[Id],H401:AU401,0)))/COUNTIF(H401:AU401,"&lt;&gt;"))</f>
        <v>0</v>
      </c>
      <c r="H401" s="272" t="s">
        <v>387</v>
      </c>
      <c r="I401" s="272"/>
      <c r="J401" s="272"/>
      <c r="K401" s="272"/>
      <c r="L401" s="272"/>
      <c r="M401" s="272"/>
      <c r="N401" s="272"/>
      <c r="O401" s="272"/>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5889</v>
      </c>
      <c r="B402" s="260" t="s">
        <v>5921</v>
      </c>
      <c r="C402" s="261" t="s">
        <v>5953</v>
      </c>
      <c r="D402" s="264" t="s">
        <v>5954</v>
      </c>
      <c r="E402" s="265" t="s">
        <v>5175</v>
      </c>
      <c r="F402" s="268" t="s">
        <v>5924</v>
      </c>
      <c r="G402" s="271">
        <f>IF(COUNTIF(H402:AU402,"&lt;&gt;")=0,"",SUMPRODUCT(((Recommendations[ImplStatus]="Implemented")+(Recommendations[ImplStatus]="Compensated"))*ISNUMBER(MATCH(Recommendations[Id],H402:AU402,0)))/COUNTIF(H402:AU402,"&lt;&gt;"))</f>
        <v>0</v>
      </c>
      <c r="H402" s="272" t="s">
        <v>387</v>
      </c>
      <c r="I402" s="272"/>
      <c r="J402" s="272"/>
      <c r="K402" s="272"/>
      <c r="L402" s="272"/>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5889</v>
      </c>
      <c r="B403" s="260" t="s">
        <v>5921</v>
      </c>
      <c r="C403" s="261" t="s">
        <v>5955</v>
      </c>
      <c r="D403" s="264" t="s">
        <v>5956</v>
      </c>
      <c r="E403" s="265" t="s">
        <v>5175</v>
      </c>
      <c r="F403" s="268" t="s">
        <v>5924</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5889</v>
      </c>
      <c r="B404" s="260" t="s">
        <v>5921</v>
      </c>
      <c r="C404" s="261" t="s">
        <v>5957</v>
      </c>
      <c r="D404" s="264" t="s">
        <v>5958</v>
      </c>
      <c r="E404" s="265" t="s">
        <v>5290</v>
      </c>
      <c r="F404" s="268" t="s">
        <v>5924</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5889</v>
      </c>
      <c r="B405" s="260" t="s">
        <v>5921</v>
      </c>
      <c r="C405" s="261" t="s">
        <v>5959</v>
      </c>
      <c r="D405" s="264" t="s">
        <v>5960</v>
      </c>
      <c r="E405" s="265" t="s">
        <v>5290</v>
      </c>
      <c r="F405" s="268" t="s">
        <v>5924</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5889</v>
      </c>
      <c r="B406" s="260" t="s">
        <v>5921</v>
      </c>
      <c r="C406" s="261" t="s">
        <v>5961</v>
      </c>
      <c r="D406" s="264" t="s">
        <v>5962</v>
      </c>
      <c r="E406" s="265" t="s">
        <v>5290</v>
      </c>
      <c r="F406" s="268" t="s">
        <v>5963</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5889</v>
      </c>
      <c r="B407" s="260" t="s">
        <v>5921</v>
      </c>
      <c r="C407" s="261" t="s">
        <v>5964</v>
      </c>
      <c r="D407" s="264" t="s">
        <v>5965</v>
      </c>
      <c r="E407" s="265" t="s">
        <v>5290</v>
      </c>
      <c r="F407" s="268" t="s">
        <v>5924</v>
      </c>
      <c r="G407" s="271" t="str">
        <f>IF(COUNTIF(H407:AU407,"&lt;&gt;")=0,"",SUMPRODUCT(((Recommendations[ImplStatus]="Implemented")+(Recommendations[ImplStatus]="Compensated"))*ISNUMBER(MATCH(Recommendations[Id],H407:AU407,0)))/COUNTIF(H407:AU407,"&lt;&gt;"))</f>
        <v/>
      </c>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5889</v>
      </c>
      <c r="B408" s="260" t="s">
        <v>5921</v>
      </c>
      <c r="C408" s="261" t="s">
        <v>5966</v>
      </c>
      <c r="D408" s="264" t="s">
        <v>5967</v>
      </c>
      <c r="E408" s="265" t="s">
        <v>5290</v>
      </c>
      <c r="F408" s="268" t="s">
        <v>5924</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5889</v>
      </c>
      <c r="B409" s="260" t="s">
        <v>5921</v>
      </c>
      <c r="C409" s="261" t="s">
        <v>5968</v>
      </c>
      <c r="D409" s="264" t="s">
        <v>5969</v>
      </c>
      <c r="E409" s="265" t="s">
        <v>5290</v>
      </c>
      <c r="F409" s="268" t="s">
        <v>5970</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5889</v>
      </c>
      <c r="B410" s="259" t="s">
        <v>5971</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5889</v>
      </c>
      <c r="B411" s="260" t="s">
        <v>5971</v>
      </c>
      <c r="C411" s="261" t="s">
        <v>5972</v>
      </c>
      <c r="D411" s="264" t="s">
        <v>5973</v>
      </c>
      <c r="E411" s="265" t="s">
        <v>5146</v>
      </c>
      <c r="F411" s="268" t="s">
        <v>5896</v>
      </c>
      <c r="G411" s="271">
        <f>IF(COUNTIF(H411:AU411,"&lt;&gt;")=0,"",SUMPRODUCT(((Recommendations[ImplStatus]="Implemented")+(Recommendations[ImplStatus]="Compensated"))*ISNUMBER(MATCH(Recommendations[Id],H411:AU411,0)))/COUNTIF(H411:AU411,"&lt;&gt;"))</f>
        <v>0</v>
      </c>
      <c r="H411" s="272" t="s">
        <v>178</v>
      </c>
      <c r="I411" s="272" t="s">
        <v>183</v>
      </c>
      <c r="J411" s="272" t="s">
        <v>186</v>
      </c>
      <c r="K411" s="272" t="s">
        <v>189</v>
      </c>
      <c r="L411" s="272" t="s">
        <v>192</v>
      </c>
      <c r="M411" s="272" t="s">
        <v>195</v>
      </c>
      <c r="N411" s="272" t="s">
        <v>215</v>
      </c>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5889</v>
      </c>
      <c r="B412" s="260" t="s">
        <v>5971</v>
      </c>
      <c r="C412" s="261" t="s">
        <v>5974</v>
      </c>
      <c r="D412" s="264" t="s">
        <v>5975</v>
      </c>
      <c r="E412" s="265" t="s">
        <v>5146</v>
      </c>
      <c r="F412" s="268" t="s">
        <v>5896</v>
      </c>
      <c r="G412" s="271" t="str">
        <f>IF(COUNTIF(H412:AU412,"&lt;&gt;")=0,"",SUMPRODUCT(((Recommendations[ImplStatus]="Implemented")+(Recommendations[ImplStatus]="Compensated"))*ISNUMBER(MATCH(Recommendations[Id],H412:AU412,0)))/COUNTIF(H412:AU412,"&lt;&gt;"))</f>
        <v/>
      </c>
      <c r="H412" s="272"/>
      <c r="I412" s="272"/>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5889</v>
      </c>
      <c r="B413" s="260" t="s">
        <v>5971</v>
      </c>
      <c r="C413" s="261" t="s">
        <v>5976</v>
      </c>
      <c r="D413" s="264" t="s">
        <v>5977</v>
      </c>
      <c r="E413" s="265" t="s">
        <v>5146</v>
      </c>
      <c r="F413" s="268" t="s">
        <v>5896</v>
      </c>
      <c r="G413" s="271">
        <f>IF(COUNTIF(H413:AU413,"&lt;&gt;")=0,"",SUMPRODUCT(((Recommendations[ImplStatus]="Implemented")+(Recommendations[ImplStatus]="Compensated"))*ISNUMBER(MATCH(Recommendations[Id],H413:AU413,0)))/COUNTIF(H413:AU413,"&lt;&gt;"))</f>
        <v>0</v>
      </c>
      <c r="H413" s="272" t="s">
        <v>133</v>
      </c>
      <c r="I413" s="272" t="s">
        <v>137</v>
      </c>
      <c r="J413" s="272" t="s">
        <v>270</v>
      </c>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5889</v>
      </c>
      <c r="B414" s="260" t="s">
        <v>5971</v>
      </c>
      <c r="C414" s="261" t="s">
        <v>5978</v>
      </c>
      <c r="D414" s="264" t="s">
        <v>5979</v>
      </c>
      <c r="E414" s="265" t="s">
        <v>5146</v>
      </c>
      <c r="F414" s="268" t="s">
        <v>5896</v>
      </c>
      <c r="G414" s="271">
        <f>IF(COUNTIF(H414:AU414,"&lt;&gt;")=0,"",SUMPRODUCT(((Recommendations[ImplStatus]="Implemented")+(Recommendations[ImplStatus]="Compensated"))*ISNUMBER(MATCH(Recommendations[Id],H414:AU414,0)))/COUNTIF(H414:AU414,"&lt;&gt;"))</f>
        <v>0</v>
      </c>
      <c r="H414" s="272" t="s">
        <v>305</v>
      </c>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5889</v>
      </c>
      <c r="B415" s="260" t="s">
        <v>5971</v>
      </c>
      <c r="C415" s="261" t="s">
        <v>5980</v>
      </c>
      <c r="D415" s="264" t="s">
        <v>5981</v>
      </c>
      <c r="E415" s="265" t="s">
        <v>5175</v>
      </c>
      <c r="F415" s="268" t="s">
        <v>5896</v>
      </c>
      <c r="G415" s="271">
        <f>IF(COUNTIF(H415:AU415,"&lt;&gt;")=0,"",SUMPRODUCT(((Recommendations[ImplStatus]="Implemented")+(Recommendations[ImplStatus]="Compensated"))*ISNUMBER(MATCH(Recommendations[Id],H415:AU415,0)))/COUNTIF(H415:AU415,"&lt;&gt;"))</f>
        <v>0</v>
      </c>
      <c r="H415" s="272" t="s">
        <v>305</v>
      </c>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5889</v>
      </c>
      <c r="B416" s="260" t="s">
        <v>5971</v>
      </c>
      <c r="C416" s="261" t="s">
        <v>5982</v>
      </c>
      <c r="D416" s="264" t="s">
        <v>5983</v>
      </c>
      <c r="E416" s="265" t="s">
        <v>5175</v>
      </c>
      <c r="F416" s="268" t="s">
        <v>5984</v>
      </c>
      <c r="G416" s="271" t="str">
        <f>IF(COUNTIF(H416:AU416,"&lt;&gt;")=0,"",SUMPRODUCT(((Recommendations[ImplStatus]="Implemented")+(Recommendations[ImplStatus]="Compensated"))*ISNUMBER(MATCH(Recommendations[Id],H416:AU416,0)))/COUNTIF(H416:AU416,"&lt;&gt;"))</f>
        <v/>
      </c>
      <c r="H416" s="272"/>
      <c r="I416" s="272"/>
      <c r="J416" s="272"/>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5889</v>
      </c>
      <c r="B417" s="260" t="s">
        <v>5971</v>
      </c>
      <c r="C417" s="261" t="s">
        <v>5985</v>
      </c>
      <c r="D417" s="264" t="s">
        <v>5986</v>
      </c>
      <c r="E417" s="265" t="s">
        <v>5175</v>
      </c>
      <c r="F417" s="268" t="s">
        <v>5984</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5889</v>
      </c>
      <c r="B418" s="260" t="s">
        <v>5971</v>
      </c>
      <c r="C418" s="261" t="s">
        <v>5987</v>
      </c>
      <c r="D418" s="264" t="s">
        <v>5988</v>
      </c>
      <c r="E418" s="265" t="s">
        <v>5425</v>
      </c>
      <c r="F418" s="268" t="s">
        <v>5984</v>
      </c>
      <c r="G418" s="271" t="str">
        <f>IF(COUNTIF(H418:AU418,"&lt;&gt;")=0,"",SUMPRODUCT(((Recommendations[ImplStatus]="Implemented")+(Recommendations[ImplStatus]="Compensated"))*ISNUMBER(MATCH(Recommendations[Id],H418:AU418,0)))/COUNTIF(H418:AU418,"&lt;&gt;"))</f>
        <v/>
      </c>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5889</v>
      </c>
      <c r="B419" s="260" t="s">
        <v>5971</v>
      </c>
      <c r="C419" s="261" t="s">
        <v>5989</v>
      </c>
      <c r="D419" s="264" t="s">
        <v>5990</v>
      </c>
      <c r="E419" s="265" t="s">
        <v>5175</v>
      </c>
      <c r="F419" s="268" t="s">
        <v>5984</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5889</v>
      </c>
      <c r="B420" s="260" t="s">
        <v>5971</v>
      </c>
      <c r="C420" s="261" t="s">
        <v>5991</v>
      </c>
      <c r="D420" s="264" t="s">
        <v>5992</v>
      </c>
      <c r="E420" s="265" t="s">
        <v>5425</v>
      </c>
      <c r="F420" s="268" t="s">
        <v>5984</v>
      </c>
      <c r="G420" s="271">
        <f>IF(COUNTIF(H420:AU420,"&lt;&gt;")=0,"",SUMPRODUCT(((Recommendations[ImplStatus]="Implemented")+(Recommendations[ImplStatus]="Compensated"))*ISNUMBER(MATCH(Recommendations[Id],H420:AU420,0)))/COUNTIF(H420:AU420,"&lt;&gt;"))</f>
        <v>0</v>
      </c>
      <c r="H420" s="272" t="s">
        <v>210</v>
      </c>
      <c r="I420" s="272" t="s">
        <v>233</v>
      </c>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5889</v>
      </c>
      <c r="B421" s="260" t="s">
        <v>5971</v>
      </c>
      <c r="C421" s="261" t="s">
        <v>5993</v>
      </c>
      <c r="D421" s="264" t="s">
        <v>5994</v>
      </c>
      <c r="E421" s="265" t="s">
        <v>5425</v>
      </c>
      <c r="F421" s="268" t="s">
        <v>5984</v>
      </c>
      <c r="G421" s="271">
        <f>IF(COUNTIF(H421:AU421,"&lt;&gt;")=0,"",SUMPRODUCT(((Recommendations[ImplStatus]="Implemented")+(Recommendations[ImplStatus]="Compensated"))*ISNUMBER(MATCH(Recommendations[Id],H421:AU421,0)))/COUNTIF(H421:AU421,"&lt;&gt;"))</f>
        <v>0</v>
      </c>
      <c r="H421" s="272" t="s">
        <v>320</v>
      </c>
      <c r="I421" s="272" t="s">
        <v>325</v>
      </c>
      <c r="J421" s="272" t="s">
        <v>330</v>
      </c>
      <c r="K421" s="272" t="s">
        <v>335</v>
      </c>
      <c r="L421" s="272" t="s">
        <v>339</v>
      </c>
      <c r="M421" s="272" t="s">
        <v>343</v>
      </c>
      <c r="N421" s="272" t="s">
        <v>348</v>
      </c>
      <c r="O421" s="272" t="s">
        <v>353</v>
      </c>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5889</v>
      </c>
      <c r="B422" s="260" t="s">
        <v>5971</v>
      </c>
      <c r="C422" s="261" t="s">
        <v>5995</v>
      </c>
      <c r="D422" s="264" t="s">
        <v>5996</v>
      </c>
      <c r="E422" s="265" t="s">
        <v>5175</v>
      </c>
      <c r="F422" s="268" t="s">
        <v>5984</v>
      </c>
      <c r="G422" s="271">
        <f>IF(COUNTIF(H422:AU422,"&lt;&gt;")=0,"",SUMPRODUCT(((Recommendations[ImplStatus]="Implemented")+(Recommendations[ImplStatus]="Compensated"))*ISNUMBER(MATCH(Recommendations[Id],H422:AU422,0)))/COUNTIF(H422:AU422,"&lt;&gt;"))</f>
        <v>0</v>
      </c>
      <c r="H422" s="272" t="s">
        <v>320</v>
      </c>
      <c r="I422" s="272" t="s">
        <v>325</v>
      </c>
      <c r="J422" s="272" t="s">
        <v>330</v>
      </c>
      <c r="K422" s="272" t="s">
        <v>335</v>
      </c>
      <c r="L422" s="272" t="s">
        <v>339</v>
      </c>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5889</v>
      </c>
      <c r="B423" s="260" t="s">
        <v>5971</v>
      </c>
      <c r="C423" s="261" t="s">
        <v>5997</v>
      </c>
      <c r="D423" s="264" t="s">
        <v>5998</v>
      </c>
      <c r="E423" s="265" t="s">
        <v>5175</v>
      </c>
      <c r="F423" s="268" t="s">
        <v>5984</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5999</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5999</v>
      </c>
      <c r="B425" s="259" t="s">
        <v>6000</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5999</v>
      </c>
      <c r="B426" s="260" t="s">
        <v>6000</v>
      </c>
      <c r="C426" s="261" t="s">
        <v>6001</v>
      </c>
      <c r="D426" s="264" t="s">
        <v>6002</v>
      </c>
      <c r="E426" s="265" t="s">
        <v>5146</v>
      </c>
      <c r="F426" s="268" t="s">
        <v>5963</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5999</v>
      </c>
      <c r="B427" s="260" t="s">
        <v>6000</v>
      </c>
      <c r="C427" s="261" t="s">
        <v>6003</v>
      </c>
      <c r="D427" s="264" t="s">
        <v>6004</v>
      </c>
      <c r="E427" s="265" t="s">
        <v>5146</v>
      </c>
      <c r="F427" s="268" t="s">
        <v>5963</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5999</v>
      </c>
      <c r="B428" s="260" t="s">
        <v>6000</v>
      </c>
      <c r="C428" s="261" t="s">
        <v>6005</v>
      </c>
      <c r="D428" s="264" t="s">
        <v>6006</v>
      </c>
      <c r="E428" s="265" t="s">
        <v>5425</v>
      </c>
      <c r="F428" s="268" t="s">
        <v>5963</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5999</v>
      </c>
      <c r="B429" s="260" t="s">
        <v>6000</v>
      </c>
      <c r="C429" s="261" t="s">
        <v>6007</v>
      </c>
      <c r="D429" s="264" t="s">
        <v>6008</v>
      </c>
      <c r="E429" s="265" t="s">
        <v>5175</v>
      </c>
      <c r="F429" s="268" t="s">
        <v>5963</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5999</v>
      </c>
      <c r="B430" s="260" t="s">
        <v>6000</v>
      </c>
      <c r="C430" s="261" t="s">
        <v>6009</v>
      </c>
      <c r="D430" s="264" t="s">
        <v>6010</v>
      </c>
      <c r="E430" s="265" t="s">
        <v>5175</v>
      </c>
      <c r="F430" s="268" t="s">
        <v>5963</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5999</v>
      </c>
      <c r="B431" s="260" t="s">
        <v>6000</v>
      </c>
      <c r="C431" s="261" t="s">
        <v>6011</v>
      </c>
      <c r="D431" s="264" t="s">
        <v>6012</v>
      </c>
      <c r="E431" s="265" t="s">
        <v>5425</v>
      </c>
      <c r="F431" s="268" t="s">
        <v>5963</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5999</v>
      </c>
      <c r="B432" s="260" t="s">
        <v>6000</v>
      </c>
      <c r="C432" s="261" t="s">
        <v>6013</v>
      </c>
      <c r="D432" s="264" t="s">
        <v>6014</v>
      </c>
      <c r="E432" s="265" t="s">
        <v>5425</v>
      </c>
      <c r="F432" s="268" t="s">
        <v>5963</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5999</v>
      </c>
      <c r="B433" s="260" t="s">
        <v>6000</v>
      </c>
      <c r="C433" s="261" t="s">
        <v>6015</v>
      </c>
      <c r="D433" s="264" t="s">
        <v>6016</v>
      </c>
      <c r="E433" s="265" t="s">
        <v>5242</v>
      </c>
      <c r="F433" s="268" t="s">
        <v>5963</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5999</v>
      </c>
      <c r="B434" s="260" t="s">
        <v>6000</v>
      </c>
      <c r="C434" s="261" t="s">
        <v>6017</v>
      </c>
      <c r="D434" s="264" t="s">
        <v>6018</v>
      </c>
      <c r="E434" s="265" t="s">
        <v>5242</v>
      </c>
      <c r="F434" s="268" t="s">
        <v>5963</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5999</v>
      </c>
      <c r="B435" s="260" t="s">
        <v>6000</v>
      </c>
      <c r="C435" s="261" t="s">
        <v>6019</v>
      </c>
      <c r="D435" s="264" t="s">
        <v>6020</v>
      </c>
      <c r="E435" s="265" t="s">
        <v>5175</v>
      </c>
      <c r="F435" s="268" t="s">
        <v>5963</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5999</v>
      </c>
      <c r="B436" s="260" t="s">
        <v>6000</v>
      </c>
      <c r="C436" s="261" t="s">
        <v>6021</v>
      </c>
      <c r="D436" s="264" t="s">
        <v>6022</v>
      </c>
      <c r="E436" s="265" t="s">
        <v>5242</v>
      </c>
      <c r="F436" s="268" t="s">
        <v>5963</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5999</v>
      </c>
      <c r="B437" s="260" t="s">
        <v>6000</v>
      </c>
      <c r="C437" s="261" t="s">
        <v>6023</v>
      </c>
      <c r="D437" s="264" t="s">
        <v>6024</v>
      </c>
      <c r="E437" s="265" t="s">
        <v>5175</v>
      </c>
      <c r="F437" s="268" t="s">
        <v>5963</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5999</v>
      </c>
      <c r="B438" s="259" t="s">
        <v>6025</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5999</v>
      </c>
      <c r="B439" s="260" t="s">
        <v>6025</v>
      </c>
      <c r="C439" s="261" t="s">
        <v>6026</v>
      </c>
      <c r="D439" s="264" t="s">
        <v>6027</v>
      </c>
      <c r="E439" s="265" t="s">
        <v>5146</v>
      </c>
      <c r="F439" s="268" t="s">
        <v>6028</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5999</v>
      </c>
      <c r="B440" s="260" t="s">
        <v>6025</v>
      </c>
      <c r="C440" s="261" t="s">
        <v>6029</v>
      </c>
      <c r="D440" s="264" t="s">
        <v>6030</v>
      </c>
      <c r="E440" s="265" t="s">
        <v>5146</v>
      </c>
      <c r="F440" s="268" t="s">
        <v>6028</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5999</v>
      </c>
      <c r="B441" s="260" t="s">
        <v>6025</v>
      </c>
      <c r="C441" s="261" t="s">
        <v>6031</v>
      </c>
      <c r="D441" s="264" t="s">
        <v>6032</v>
      </c>
      <c r="E441" s="265" t="s">
        <v>5146</v>
      </c>
      <c r="F441" s="268" t="s">
        <v>6028</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5999</v>
      </c>
      <c r="B442" s="260" t="s">
        <v>6025</v>
      </c>
      <c r="C442" s="261" t="s">
        <v>6033</v>
      </c>
      <c r="D442" s="264" t="s">
        <v>6034</v>
      </c>
      <c r="E442" s="265" t="s">
        <v>5146</v>
      </c>
      <c r="F442" s="268" t="s">
        <v>6028</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5999</v>
      </c>
      <c r="B443" s="260" t="s">
        <v>6025</v>
      </c>
      <c r="C443" s="261" t="s">
        <v>6035</v>
      </c>
      <c r="D443" s="264" t="s">
        <v>6036</v>
      </c>
      <c r="E443" s="265" t="s">
        <v>5175</v>
      </c>
      <c r="F443" s="268" t="s">
        <v>6028</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5999</v>
      </c>
      <c r="B444" s="260" t="s">
        <v>6025</v>
      </c>
      <c r="C444" s="261" t="s">
        <v>6037</v>
      </c>
      <c r="D444" s="264" t="s">
        <v>6038</v>
      </c>
      <c r="E444" s="265" t="s">
        <v>5175</v>
      </c>
      <c r="F444" s="268" t="s">
        <v>6028</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5999</v>
      </c>
      <c r="B445" s="260" t="s">
        <v>6025</v>
      </c>
      <c r="C445" s="261" t="s">
        <v>6039</v>
      </c>
      <c r="D445" s="264" t="s">
        <v>6040</v>
      </c>
      <c r="E445" s="265" t="s">
        <v>5175</v>
      </c>
      <c r="F445" s="268" t="s">
        <v>6028</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5999</v>
      </c>
      <c r="B446" s="260" t="s">
        <v>6025</v>
      </c>
      <c r="C446" s="261" t="s">
        <v>6041</v>
      </c>
      <c r="D446" s="264" t="s">
        <v>6042</v>
      </c>
      <c r="E446" s="265" t="s">
        <v>5290</v>
      </c>
      <c r="F446" s="268" t="s">
        <v>6028</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5999</v>
      </c>
      <c r="B447" s="260" t="s">
        <v>6025</v>
      </c>
      <c r="C447" s="261" t="s">
        <v>6043</v>
      </c>
      <c r="D447" s="264" t="s">
        <v>6044</v>
      </c>
      <c r="E447" s="265" t="s">
        <v>5175</v>
      </c>
      <c r="F447" s="268" t="s">
        <v>6028</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5999</v>
      </c>
      <c r="B448" s="260" t="s">
        <v>6025</v>
      </c>
      <c r="C448" s="261" t="s">
        <v>6045</v>
      </c>
      <c r="D448" s="264" t="s">
        <v>6046</v>
      </c>
      <c r="E448" s="265" t="s">
        <v>5290</v>
      </c>
      <c r="F448" s="268" t="s">
        <v>6028</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5999</v>
      </c>
      <c r="B449" s="260" t="s">
        <v>6025</v>
      </c>
      <c r="C449" s="261" t="s">
        <v>6047</v>
      </c>
      <c r="D449" s="264" t="s">
        <v>6048</v>
      </c>
      <c r="E449" s="265" t="s">
        <v>5290</v>
      </c>
      <c r="F449" s="268" t="s">
        <v>6028</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6049</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6049</v>
      </c>
      <c r="B451" s="259" t="s">
        <v>6050</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6049</v>
      </c>
      <c r="B452" s="260" t="s">
        <v>6050</v>
      </c>
      <c r="C452" s="261" t="s">
        <v>6051</v>
      </c>
      <c r="D452" s="264" t="s">
        <v>6052</v>
      </c>
      <c r="E452" s="265" t="s">
        <v>5146</v>
      </c>
      <c r="F452" s="268" t="s">
        <v>6053</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6049</v>
      </c>
      <c r="B453" s="260" t="s">
        <v>6050</v>
      </c>
      <c r="C453" s="261" t="s">
        <v>6054</v>
      </c>
      <c r="D453" s="264" t="s">
        <v>6055</v>
      </c>
      <c r="E453" s="265" t="s">
        <v>5146</v>
      </c>
      <c r="F453" s="268" t="s">
        <v>6053</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6049</v>
      </c>
      <c r="B454" s="260" t="s">
        <v>6050</v>
      </c>
      <c r="C454" s="261" t="s">
        <v>6056</v>
      </c>
      <c r="D454" s="264" t="s">
        <v>6057</v>
      </c>
      <c r="E454" s="265" t="s">
        <v>5146</v>
      </c>
      <c r="F454" s="268" t="s">
        <v>6053</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6049</v>
      </c>
      <c r="B455" s="260" t="s">
        <v>6050</v>
      </c>
      <c r="C455" s="261" t="s">
        <v>6058</v>
      </c>
      <c r="D455" s="264" t="s">
        <v>6059</v>
      </c>
      <c r="E455" s="265" t="s">
        <v>5146</v>
      </c>
      <c r="F455" s="268" t="s">
        <v>6053</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6049</v>
      </c>
      <c r="B456" s="260" t="s">
        <v>6050</v>
      </c>
      <c r="C456" s="261" t="s">
        <v>6060</v>
      </c>
      <c r="D456" s="264" t="s">
        <v>6061</v>
      </c>
      <c r="E456" s="265" t="s">
        <v>5146</v>
      </c>
      <c r="F456" s="268" t="s">
        <v>6053</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6049</v>
      </c>
      <c r="B457" s="260" t="s">
        <v>6050</v>
      </c>
      <c r="C457" s="261" t="s">
        <v>6062</v>
      </c>
      <c r="D457" s="264" t="s">
        <v>6063</v>
      </c>
      <c r="E457" s="265" t="s">
        <v>5175</v>
      </c>
      <c r="F457" s="268" t="s">
        <v>6053</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6049</v>
      </c>
      <c r="B458" s="260" t="s">
        <v>6050</v>
      </c>
      <c r="C458" s="261" t="s">
        <v>6064</v>
      </c>
      <c r="D458" s="264" t="s">
        <v>6065</v>
      </c>
      <c r="E458" s="265" t="s">
        <v>5175</v>
      </c>
      <c r="F458" s="268" t="s">
        <v>6053</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6049</v>
      </c>
      <c r="B459" s="260" t="s">
        <v>6050</v>
      </c>
      <c r="C459" s="261" t="s">
        <v>6066</v>
      </c>
      <c r="D459" s="264" t="s">
        <v>6067</v>
      </c>
      <c r="E459" s="265" t="s">
        <v>5175</v>
      </c>
      <c r="F459" s="268" t="s">
        <v>6053</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6049</v>
      </c>
      <c r="B460" s="260" t="s">
        <v>6050</v>
      </c>
      <c r="C460" s="261" t="s">
        <v>6068</v>
      </c>
      <c r="D460" s="264" t="s">
        <v>6069</v>
      </c>
      <c r="E460" s="265" t="s">
        <v>5175</v>
      </c>
      <c r="F460" s="268" t="s">
        <v>6053</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6049</v>
      </c>
      <c r="B461" s="260" t="s">
        <v>6050</v>
      </c>
      <c r="C461" s="261" t="s">
        <v>6070</v>
      </c>
      <c r="D461" s="264" t="s">
        <v>6071</v>
      </c>
      <c r="E461" s="265" t="s">
        <v>5175</v>
      </c>
      <c r="F461" s="268" t="s">
        <v>6053</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6049</v>
      </c>
      <c r="B462" s="260" t="s">
        <v>6050</v>
      </c>
      <c r="C462" s="261" t="s">
        <v>6072</v>
      </c>
      <c r="D462" s="264" t="s">
        <v>6073</v>
      </c>
      <c r="E462" s="265" t="s">
        <v>5175</v>
      </c>
      <c r="F462" s="268" t="s">
        <v>6053</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6049</v>
      </c>
      <c r="B463" s="260" t="s">
        <v>6050</v>
      </c>
      <c r="C463" s="261" t="s">
        <v>6074</v>
      </c>
      <c r="D463" s="264" t="s">
        <v>6075</v>
      </c>
      <c r="E463" s="265" t="s">
        <v>5175</v>
      </c>
      <c r="F463" s="268" t="s">
        <v>6053</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6049</v>
      </c>
      <c r="B464" s="260" t="s">
        <v>6050</v>
      </c>
      <c r="C464" s="261" t="s">
        <v>6076</v>
      </c>
      <c r="D464" s="264" t="s">
        <v>6077</v>
      </c>
      <c r="E464" s="265" t="s">
        <v>5175</v>
      </c>
      <c r="F464" s="268" t="s">
        <v>6053</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6049</v>
      </c>
      <c r="B465" s="260" t="s">
        <v>6050</v>
      </c>
      <c r="C465" s="261" t="s">
        <v>6078</v>
      </c>
      <c r="D465" s="264" t="s">
        <v>6079</v>
      </c>
      <c r="E465" s="265" t="s">
        <v>5175</v>
      </c>
      <c r="F465" s="268" t="s">
        <v>6053</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6049</v>
      </c>
      <c r="B466" s="259" t="s">
        <v>6080</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6049</v>
      </c>
      <c r="B467" s="260" t="s">
        <v>6080</v>
      </c>
      <c r="C467" s="261" t="s">
        <v>6081</v>
      </c>
      <c r="D467" s="264" t="s">
        <v>6082</v>
      </c>
      <c r="E467" s="265" t="s">
        <v>5146</v>
      </c>
      <c r="F467" s="268" t="s">
        <v>5285</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6049</v>
      </c>
      <c r="B468" s="260" t="s">
        <v>6080</v>
      </c>
      <c r="C468" s="261" t="s">
        <v>6083</v>
      </c>
      <c r="D468" s="264" t="s">
        <v>6084</v>
      </c>
      <c r="E468" s="265" t="s">
        <v>5146</v>
      </c>
      <c r="F468" s="268" t="s">
        <v>5285</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6049</v>
      </c>
      <c r="B469" s="260" t="s">
        <v>6080</v>
      </c>
      <c r="C469" s="261" t="s">
        <v>6085</v>
      </c>
      <c r="D469" s="264" t="s">
        <v>6086</v>
      </c>
      <c r="E469" s="265" t="s">
        <v>5146</v>
      </c>
      <c r="F469" s="268" t="s">
        <v>5285</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6049</v>
      </c>
      <c r="B470" s="260" t="s">
        <v>6080</v>
      </c>
      <c r="C470" s="261" t="s">
        <v>6087</v>
      </c>
      <c r="D470" s="264" t="s">
        <v>6088</v>
      </c>
      <c r="E470" s="265" t="s">
        <v>5242</v>
      </c>
      <c r="F470" s="268" t="s">
        <v>5654</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6049</v>
      </c>
      <c r="B471" s="260" t="s">
        <v>6080</v>
      </c>
      <c r="C471" s="261" t="s">
        <v>6089</v>
      </c>
      <c r="D471" s="264" t="s">
        <v>6090</v>
      </c>
      <c r="E471" s="265" t="s">
        <v>5242</v>
      </c>
      <c r="F471" s="268" t="s">
        <v>5654</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6049</v>
      </c>
      <c r="B472" s="260" t="s">
        <v>6080</v>
      </c>
      <c r="C472" s="261" t="s">
        <v>6091</v>
      </c>
      <c r="D472" s="264" t="s">
        <v>6092</v>
      </c>
      <c r="E472" s="265" t="s">
        <v>5146</v>
      </c>
      <c r="F472" s="268" t="s">
        <v>5654</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6049</v>
      </c>
      <c r="B473" s="260" t="s">
        <v>6080</v>
      </c>
      <c r="C473" s="261" t="s">
        <v>6093</v>
      </c>
      <c r="D473" s="264" t="s">
        <v>6094</v>
      </c>
      <c r="E473" s="265" t="s">
        <v>5146</v>
      </c>
      <c r="F473" s="268" t="s">
        <v>5593</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6049</v>
      </c>
      <c r="B474" s="260" t="s">
        <v>6080</v>
      </c>
      <c r="C474" s="261" t="s">
        <v>6095</v>
      </c>
      <c r="D474" s="264" t="s">
        <v>6096</v>
      </c>
      <c r="E474" s="265" t="s">
        <v>5175</v>
      </c>
      <c r="F474" s="268" t="s">
        <v>5593</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6049</v>
      </c>
      <c r="B475" s="260" t="s">
        <v>6080</v>
      </c>
      <c r="C475" s="261" t="s">
        <v>6097</v>
      </c>
      <c r="D475" s="264" t="s">
        <v>6098</v>
      </c>
      <c r="E475" s="265" t="s">
        <v>5175</v>
      </c>
      <c r="F475" s="268" t="s">
        <v>5593</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6049</v>
      </c>
      <c r="B476" s="260" t="s">
        <v>6080</v>
      </c>
      <c r="C476" s="261" t="s">
        <v>6099</v>
      </c>
      <c r="D476" s="264" t="s">
        <v>6100</v>
      </c>
      <c r="E476" s="265" t="s">
        <v>5175</v>
      </c>
      <c r="F476" s="268" t="s">
        <v>5593</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6049</v>
      </c>
      <c r="B477" s="260" t="s">
        <v>6080</v>
      </c>
      <c r="C477" s="261" t="s">
        <v>6101</v>
      </c>
      <c r="D477" s="264" t="s">
        <v>6102</v>
      </c>
      <c r="E477" s="265" t="s">
        <v>5175</v>
      </c>
      <c r="F477" s="268" t="s">
        <v>5593</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6049</v>
      </c>
      <c r="B478" s="260" t="s">
        <v>6080</v>
      </c>
      <c r="C478" s="261" t="s">
        <v>6103</v>
      </c>
      <c r="D478" s="264" t="s">
        <v>6104</v>
      </c>
      <c r="E478" s="265" t="s">
        <v>5175</v>
      </c>
      <c r="F478" s="268" t="s">
        <v>5654</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6049</v>
      </c>
      <c r="B479" s="260" t="s">
        <v>6080</v>
      </c>
      <c r="C479" s="261" t="s">
        <v>6105</v>
      </c>
      <c r="D479" s="264" t="s">
        <v>6106</v>
      </c>
      <c r="E479" s="265" t="s">
        <v>5290</v>
      </c>
      <c r="F479" s="268" t="s">
        <v>5654</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6049</v>
      </c>
      <c r="B480" s="260" t="s">
        <v>6080</v>
      </c>
      <c r="C480" s="261" t="s">
        <v>6107</v>
      </c>
      <c r="D480" s="264" t="s">
        <v>6108</v>
      </c>
      <c r="E480" s="265" t="s">
        <v>5290</v>
      </c>
      <c r="F480" s="268" t="s">
        <v>5654</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6049</v>
      </c>
      <c r="B481" s="273" t="s">
        <v>6080</v>
      </c>
      <c r="C481" s="274" t="s">
        <v>6109</v>
      </c>
      <c r="D481" s="275" t="s">
        <v>6110</v>
      </c>
      <c r="E481" s="276" t="s">
        <v>5290</v>
      </c>
      <c r="F481" s="277" t="s">
        <v>5285</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407</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IFERROR(INDEX('Recommendations'!$H$2:$H$84, MATCH(H2,'Recommendations'!$A$2:$A$84,0))="Implemented", FALSE))</xm:f>
            <x14:dxf>
              <font>
                <color rgb="FF000000"/>
              </font>
              <fill>
                <patternFill>
                  <bgColor rgb="FF3C7D22"/>
                </patternFill>
              </fill>
            </x14:dxf>
          </x14:cfRule>
          <x14:cfRule type="expression" priority="2" id="{00000000-000E-0000-0B00-000002000000}">
            <xm:f>AND(H2&lt;&gt;"", IFERROR(INDEX('Recommendations'!$H$2:$H$84, MATCH(H2,'Recommendations'!$A$2:$A$84,0))="Compensated", FALSE))</xm:f>
            <x14:dxf>
              <font>
                <color rgb="FF000000"/>
              </font>
              <fill>
                <patternFill>
                  <bgColor rgb="FFC6E0B4"/>
                </patternFill>
              </fill>
            </x14:dxf>
          </x14:cfRule>
          <x14:cfRule type="expression" priority="3" id="{00000000-000E-0000-0B00-000003000000}">
            <xm:f>AND(H2&lt;&gt;"", IFERROR(INDEX('Recommendations'!$H$2:$H$84, MATCH(H2,'Recommendations'!$A$2:$A$84,0))="Testing", FALSE))</xm:f>
            <x14:dxf>
              <font>
                <color rgb="FF000000"/>
              </font>
              <fill>
                <patternFill>
                  <bgColor rgb="FFFFC000"/>
                </patternFill>
              </fill>
            </x14:dxf>
          </x14:cfRule>
          <x14:cfRule type="expression" priority="4" id="{00000000-000E-0000-0B00-000004000000}">
            <xm:f>AND(H2&lt;&gt;"", IFERROR(INDEX('Recommendations'!$H$2:$H$84, MATCH(H2,'Recommendations'!$A$2:$A$84,0))="Failed", FALSE))</xm:f>
            <x14:dxf>
              <font>
                <color rgb="FF000000"/>
              </font>
              <fill>
                <patternFill>
                  <bgColor rgb="FFD82891"/>
                </patternFill>
              </fill>
            </x14:dxf>
          </x14:cfRule>
          <x14:cfRule type="expression" priority="5" id="{00000000-000E-0000-0B00-000005000000}">
            <xm:f>AND(H2&lt;&gt;"", IFERROR(INDEX('Recommendations'!$H$2:$H$84, MATCH(H2,'Recommendations'!$A$2:$A$84,0))="Risk Accepted", FALSE))</xm:f>
            <x14:dxf>
              <font>
                <color rgb="FF000000"/>
              </font>
              <fill>
                <patternFill>
                  <bgColor rgb="FFD9D9D9"/>
                </patternFill>
              </fill>
            </x14:dxf>
          </x14:cfRule>
          <x14:cfRule type="expression" priority="6" id="{00000000-000E-0000-0B00-000006000000}">
            <xm:f>AND(H2&lt;&gt;"", IFERROR(INDEX('Recommendations'!$H$2:$H$84, MATCH(H2,'Recommendations'!$A$2:$A$84,0))="N/A",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92" t="s">
        <v>490</v>
      </c>
      <c r="C2" s="293"/>
      <c r="D2" s="293"/>
      <c r="E2" s="293"/>
      <c r="F2" s="293"/>
      <c r="G2" s="293"/>
      <c r="H2" s="293"/>
      <c r="I2" s="293"/>
    </row>
    <row r="4" spans="2:15" ht="18.5" x14ac:dyDescent="0.45">
      <c r="B4" s="42" t="s">
        <v>491</v>
      </c>
    </row>
    <row r="5" spans="2:15" x14ac:dyDescent="0.35">
      <c r="B5" s="44" t="s">
        <v>21</v>
      </c>
      <c r="C5" s="44" t="s">
        <v>492</v>
      </c>
      <c r="D5" s="44" t="s">
        <v>493</v>
      </c>
      <c r="F5" s="294" t="s">
        <v>494</v>
      </c>
      <c r="G5" s="294"/>
      <c r="H5" s="294"/>
      <c r="I5" s="295" t="s">
        <v>495</v>
      </c>
      <c r="J5" s="295"/>
      <c r="K5" s="295"/>
      <c r="L5" s="295"/>
      <c r="M5" s="295"/>
      <c r="N5" s="295"/>
      <c r="O5" s="295"/>
    </row>
    <row r="6" spans="2:15" x14ac:dyDescent="0.35">
      <c r="B6" s="50" t="s">
        <v>496</v>
      </c>
      <c r="C6" s="51">
        <v>83</v>
      </c>
      <c r="D6" s="52" t="s">
        <v>21</v>
      </c>
      <c r="F6" s="294" t="s">
        <v>497</v>
      </c>
      <c r="G6" s="294"/>
      <c r="H6" s="294"/>
      <c r="I6" s="296" t="s">
        <v>498</v>
      </c>
      <c r="J6" s="296"/>
      <c r="K6" s="296"/>
      <c r="L6" s="296"/>
      <c r="M6" s="296"/>
      <c r="N6" s="296"/>
      <c r="O6" s="296"/>
    </row>
    <row r="7" spans="2:15" x14ac:dyDescent="0.35">
      <c r="B7" s="53" t="s">
        <v>499</v>
      </c>
      <c r="C7" s="54">
        <f>C6-C8-C9</f>
        <v>83</v>
      </c>
      <c r="D7" s="55">
        <f>IF(C6&gt;0,C7/C6,0)</f>
        <v>1</v>
      </c>
      <c r="F7" s="294" t="s">
        <v>500</v>
      </c>
      <c r="G7" s="294"/>
      <c r="H7" s="294"/>
      <c r="I7" s="296" t="s">
        <v>498</v>
      </c>
      <c r="J7" s="296"/>
      <c r="K7" s="296"/>
      <c r="L7" s="296"/>
      <c r="M7" s="296"/>
      <c r="N7" s="296"/>
      <c r="O7" s="296"/>
    </row>
    <row r="8" spans="2:15" x14ac:dyDescent="0.35">
      <c r="B8" s="46" t="s">
        <v>501</v>
      </c>
      <c r="C8" s="47">
        <f>COUNTIF('Recommendations'!H:H,"Risk Accepted")</f>
        <v>0</v>
      </c>
      <c r="D8" s="48">
        <f>IF(C6&gt;0,C8/C6,0)</f>
        <v>0</v>
      </c>
      <c r="F8" s="294" t="s">
        <v>502</v>
      </c>
      <c r="G8" s="294"/>
      <c r="H8" s="294"/>
      <c r="I8" s="296" t="s">
        <v>498</v>
      </c>
      <c r="J8" s="296"/>
      <c r="K8" s="296"/>
      <c r="L8" s="296"/>
      <c r="M8" s="296"/>
      <c r="N8" s="296"/>
      <c r="O8" s="296"/>
    </row>
    <row r="9" spans="2:15" x14ac:dyDescent="0.35">
      <c r="B9" s="46" t="s">
        <v>503</v>
      </c>
      <c r="C9" s="47">
        <f>COUNTIF('Recommendations'!H:H,"N/A")</f>
        <v>0</v>
      </c>
      <c r="D9" s="48">
        <f>IF(C6&gt;0,C9/C6,0)</f>
        <v>0</v>
      </c>
      <c r="F9" s="294" t="s">
        <v>504</v>
      </c>
      <c r="G9" s="294"/>
      <c r="H9" s="294"/>
      <c r="I9" s="296" t="s">
        <v>498</v>
      </c>
      <c r="J9" s="296"/>
      <c r="K9" s="296"/>
      <c r="L9" s="296"/>
      <c r="M9" s="296"/>
      <c r="N9" s="296"/>
      <c r="O9" s="296"/>
    </row>
    <row r="12" spans="2:15" ht="18.5" x14ac:dyDescent="0.45">
      <c r="B12" s="42" t="s">
        <v>505</v>
      </c>
    </row>
    <row r="14" spans="2:15" x14ac:dyDescent="0.35">
      <c r="B14" s="56" t="s">
        <v>506</v>
      </c>
    </row>
    <row r="15" spans="2:15" x14ac:dyDescent="0.35">
      <c r="B15" s="44" t="s">
        <v>21</v>
      </c>
      <c r="C15" s="44" t="s">
        <v>507</v>
      </c>
      <c r="D15" s="44" t="s">
        <v>508</v>
      </c>
      <c r="E15" s="44" t="s">
        <v>509</v>
      </c>
      <c r="F15" s="44" t="s">
        <v>510</v>
      </c>
    </row>
    <row r="16" spans="2:15" x14ac:dyDescent="0.35">
      <c r="B16" s="46" t="s">
        <v>511</v>
      </c>
      <c r="C16" s="47">
        <f>COUNTIF('Recommendations'!M:M,"Resolved")</f>
        <v>0</v>
      </c>
      <c r="D16" s="47">
        <f>COUNTIF('Recommendations'!M:M,"Testing")</f>
        <v>0</v>
      </c>
      <c r="E16" s="47">
        <f>COUNTIF('Recommendations'!M:M,"Outstanding")</f>
        <v>83</v>
      </c>
      <c r="F16" s="47">
        <f>SUM(C16:E16)</f>
        <v>83</v>
      </c>
    </row>
    <row r="18" spans="2:6" x14ac:dyDescent="0.35">
      <c r="B18" s="56" t="s">
        <v>512</v>
      </c>
    </row>
    <row r="19" spans="2:6" x14ac:dyDescent="0.35">
      <c r="B19" s="57" t="s">
        <v>21</v>
      </c>
      <c r="C19" s="57" t="s">
        <v>507</v>
      </c>
      <c r="D19" s="57" t="s">
        <v>508</v>
      </c>
      <c r="E19" s="57" t="s">
        <v>509</v>
      </c>
      <c r="F19" s="57" t="s">
        <v>21</v>
      </c>
    </row>
    <row r="20" spans="2:6" x14ac:dyDescent="0.35">
      <c r="B20" s="46" t="s">
        <v>511</v>
      </c>
      <c r="C20" s="48">
        <f>IF(F16&gt;0, C16/F16, 0)</f>
        <v>0</v>
      </c>
      <c r="D20" s="48">
        <f>IF(F16&gt;0, D16/F16, 0)</f>
        <v>0</v>
      </c>
      <c r="E20" s="48">
        <f>IF(F16&gt;0, E16/F16, 0)</f>
        <v>1</v>
      </c>
      <c r="F20" s="49" t="s">
        <v>21</v>
      </c>
    </row>
    <row r="25" spans="2:6" ht="18.5" x14ac:dyDescent="0.45">
      <c r="B25" s="42" t="s">
        <v>513</v>
      </c>
    </row>
    <row r="27" spans="2:6" x14ac:dyDescent="0.35">
      <c r="B27" s="56" t="s">
        <v>506</v>
      </c>
    </row>
    <row r="28" spans="2:6" x14ac:dyDescent="0.35">
      <c r="B28" s="44" t="s">
        <v>3</v>
      </c>
      <c r="C28" s="44" t="s">
        <v>507</v>
      </c>
      <c r="D28" s="44" t="s">
        <v>508</v>
      </c>
      <c r="E28" s="44" t="s">
        <v>509</v>
      </c>
      <c r="F28" s="44" t="s">
        <v>510</v>
      </c>
    </row>
    <row r="29" spans="2:6" x14ac:dyDescent="0.35">
      <c r="B29" s="46" t="s">
        <v>17</v>
      </c>
      <c r="C29" s="47">
        <f>COUNTIFS('Recommendations'!D:D,"NAC",'Recommendations'!M:M,"=Resolved")</f>
        <v>0</v>
      </c>
      <c r="D29" s="47">
        <f>COUNTIFS('Recommendations'!D:D,"=NAC",'Recommendations'!M:M,"=Testing")</f>
        <v>0</v>
      </c>
      <c r="E29" s="47">
        <f>COUNTIFS('Recommendations'!D:D,"=NAC",'Recommendations'!M:M,"=Outstanding")</f>
        <v>30</v>
      </c>
      <c r="F29" s="47">
        <f>SUM(C29:E29)</f>
        <v>30</v>
      </c>
    </row>
    <row r="30" spans="2:6" x14ac:dyDescent="0.35">
      <c r="B30" s="46" t="s">
        <v>169</v>
      </c>
      <c r="C30" s="47">
        <f>COUNTIFS('Recommendations'!D:D,"NDM",'Recommendations'!M:M,"=Resolved")</f>
        <v>0</v>
      </c>
      <c r="D30" s="47">
        <f>COUNTIFS('Recommendations'!D:D,"=NDM",'Recommendations'!M:M,"=Testing")</f>
        <v>0</v>
      </c>
      <c r="E30" s="47">
        <f>COUNTIFS('Recommendations'!D:D,"=NDM",'Recommendations'!M:M,"=Outstanding")</f>
        <v>53</v>
      </c>
      <c r="F30" s="47">
        <f>SUM(C30:E30)</f>
        <v>53</v>
      </c>
    </row>
    <row r="32" spans="2:6" x14ac:dyDescent="0.35">
      <c r="B32" s="56" t="s">
        <v>512</v>
      </c>
    </row>
    <row r="33" spans="2:6" x14ac:dyDescent="0.35">
      <c r="B33" s="57" t="s">
        <v>3</v>
      </c>
      <c r="C33" s="57" t="s">
        <v>507</v>
      </c>
      <c r="D33" s="57" t="s">
        <v>508</v>
      </c>
      <c r="E33" s="57" t="s">
        <v>509</v>
      </c>
      <c r="F33" s="57" t="s">
        <v>21</v>
      </c>
    </row>
    <row r="34" spans="2:6" x14ac:dyDescent="0.35">
      <c r="B34" s="46" t="s">
        <v>17</v>
      </c>
      <c r="C34" s="48">
        <f>IF(F29&gt;0, C29/F29, 0)</f>
        <v>0</v>
      </c>
      <c r="D34" s="48">
        <f>IF(F29&gt;0, D29/F29, 0)</f>
        <v>0</v>
      </c>
      <c r="E34" s="48">
        <f>IF(F29&gt;0, E29/F29, 0)</f>
        <v>1</v>
      </c>
      <c r="F34" s="49" t="s">
        <v>21</v>
      </c>
    </row>
    <row r="35" spans="2:6" x14ac:dyDescent="0.35">
      <c r="B35" s="46" t="s">
        <v>169</v>
      </c>
      <c r="C35" s="48">
        <f>IF(F30&gt;0, C30/F30, 0)</f>
        <v>0</v>
      </c>
      <c r="D35" s="48">
        <f>IF(F30&gt;0, D30/F30, 0)</f>
        <v>0</v>
      </c>
      <c r="E35" s="48">
        <f>IF(F30&gt;0, E30/F30, 0)</f>
        <v>1</v>
      </c>
      <c r="F35" s="49" t="s">
        <v>21</v>
      </c>
    </row>
    <row r="40" spans="2:6" ht="18.5" x14ac:dyDescent="0.45">
      <c r="B40" s="42" t="s">
        <v>514</v>
      </c>
    </row>
    <row r="42" spans="2:6" x14ac:dyDescent="0.35">
      <c r="B42" s="56" t="s">
        <v>506</v>
      </c>
    </row>
    <row r="43" spans="2:6" x14ac:dyDescent="0.35">
      <c r="B43" s="44" t="s">
        <v>6</v>
      </c>
      <c r="C43" s="44" t="s">
        <v>507</v>
      </c>
      <c r="D43" s="44" t="s">
        <v>508</v>
      </c>
      <c r="E43" s="44" t="s">
        <v>509</v>
      </c>
      <c r="F43" s="44" t="s">
        <v>510</v>
      </c>
    </row>
    <row r="44" spans="2:6" x14ac:dyDescent="0.35">
      <c r="B44" s="46" t="s">
        <v>515</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516</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517</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518</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519</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83</v>
      </c>
      <c r="F49" s="47">
        <f t="shared" si="0"/>
        <v>83</v>
      </c>
    </row>
    <row r="51" spans="2:6" x14ac:dyDescent="0.35">
      <c r="B51" s="56" t="s">
        <v>512</v>
      </c>
    </row>
    <row r="52" spans="2:6" x14ac:dyDescent="0.35">
      <c r="B52" s="57" t="s">
        <v>6</v>
      </c>
      <c r="C52" s="57" t="s">
        <v>507</v>
      </c>
      <c r="D52" s="57" t="s">
        <v>508</v>
      </c>
      <c r="E52" s="57" t="s">
        <v>509</v>
      </c>
      <c r="F52" s="57" t="s">
        <v>21</v>
      </c>
    </row>
    <row r="53" spans="2:6" x14ac:dyDescent="0.35">
      <c r="B53" s="46" t="s">
        <v>515</v>
      </c>
      <c r="C53" s="48">
        <f t="shared" ref="C53:C58" si="1">IF(F44&gt;0, C44/F44, 0)</f>
        <v>0</v>
      </c>
      <c r="D53" s="48">
        <f t="shared" ref="D53:D58" si="2">IF(F44&gt;0, D44/F44, 0)</f>
        <v>0</v>
      </c>
      <c r="E53" s="48">
        <f t="shared" ref="E53:E58" si="3">IF(F44&gt;0, E44/F44, 0)</f>
        <v>0</v>
      </c>
      <c r="F53" s="49" t="s">
        <v>21</v>
      </c>
    </row>
    <row r="54" spans="2:6" x14ac:dyDescent="0.35">
      <c r="B54" s="46" t="s">
        <v>516</v>
      </c>
      <c r="C54" s="48">
        <f t="shared" si="1"/>
        <v>0</v>
      </c>
      <c r="D54" s="48">
        <f t="shared" si="2"/>
        <v>0</v>
      </c>
      <c r="E54" s="48">
        <f t="shared" si="3"/>
        <v>0</v>
      </c>
      <c r="F54" s="49" t="s">
        <v>21</v>
      </c>
    </row>
    <row r="55" spans="2:6" x14ac:dyDescent="0.35">
      <c r="B55" s="46" t="s">
        <v>517</v>
      </c>
      <c r="C55" s="48">
        <f t="shared" si="1"/>
        <v>0</v>
      </c>
      <c r="D55" s="48">
        <f t="shared" si="2"/>
        <v>0</v>
      </c>
      <c r="E55" s="48">
        <f t="shared" si="3"/>
        <v>0</v>
      </c>
      <c r="F55" s="49" t="s">
        <v>21</v>
      </c>
    </row>
    <row r="56" spans="2:6" x14ac:dyDescent="0.35">
      <c r="B56" s="46" t="s">
        <v>518</v>
      </c>
      <c r="C56" s="48">
        <f t="shared" si="1"/>
        <v>0</v>
      </c>
      <c r="D56" s="48">
        <f t="shared" si="2"/>
        <v>0</v>
      </c>
      <c r="E56" s="48">
        <f t="shared" si="3"/>
        <v>0</v>
      </c>
      <c r="F56" s="49" t="s">
        <v>21</v>
      </c>
    </row>
    <row r="57" spans="2:6" x14ac:dyDescent="0.35">
      <c r="B57" s="46" t="s">
        <v>519</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520</v>
      </c>
    </row>
    <row r="65" spans="2:6" x14ac:dyDescent="0.35">
      <c r="B65" s="56" t="s">
        <v>506</v>
      </c>
    </row>
    <row r="66" spans="2:6" x14ac:dyDescent="0.35">
      <c r="B66" s="44" t="s">
        <v>2</v>
      </c>
      <c r="C66" s="44" t="s">
        <v>507</v>
      </c>
      <c r="D66" s="44" t="s">
        <v>508</v>
      </c>
      <c r="E66" s="44" t="s">
        <v>509</v>
      </c>
      <c r="F66" s="44" t="s">
        <v>510</v>
      </c>
    </row>
    <row r="67" spans="2:6" x14ac:dyDescent="0.35">
      <c r="B67" s="46" t="s">
        <v>16</v>
      </c>
      <c r="C67" s="47">
        <f>COUNTIFS('Recommendations'!C:C,"CAT I (High)",'Recommendations'!M:M,"=Resolved")</f>
        <v>0</v>
      </c>
      <c r="D67" s="47">
        <f>COUNTIFS('Recommendations'!C:C,"=CAT I (High)",'Recommendations'!M:M,"=Testing")</f>
        <v>0</v>
      </c>
      <c r="E67" s="47">
        <f>COUNTIFS('Recommendations'!C:C,"=CAT I (High)",'Recommendations'!M:M,"=Outstanding")</f>
        <v>17</v>
      </c>
      <c r="F67" s="47">
        <f>SUM(C67:E67)</f>
        <v>17</v>
      </c>
    </row>
    <row r="68" spans="2:6" x14ac:dyDescent="0.35">
      <c r="B68" s="46" t="s">
        <v>51</v>
      </c>
      <c r="C68" s="47">
        <f>COUNTIFS('Recommendations'!C:C,"CAT II (Medium)",'Recommendations'!M:M,"=Resolved")</f>
        <v>0</v>
      </c>
      <c r="D68" s="47">
        <f>COUNTIFS('Recommendations'!C:C,"=CAT II (Medium)",'Recommendations'!M:M,"=Testing")</f>
        <v>0</v>
      </c>
      <c r="E68" s="47">
        <f>COUNTIFS('Recommendations'!C:C,"=CAT II (Medium)",'Recommendations'!M:M,"=Outstanding")</f>
        <v>62</v>
      </c>
      <c r="F68" s="47">
        <f>SUM(C68:E68)</f>
        <v>62</v>
      </c>
    </row>
    <row r="69" spans="2:6" x14ac:dyDescent="0.35">
      <c r="B69" s="46" t="s">
        <v>57</v>
      </c>
      <c r="C69" s="47">
        <f>COUNTIFS('Recommendations'!C:C,"CAT III (Low)",'Recommendations'!M:M,"=Resolved")</f>
        <v>0</v>
      </c>
      <c r="D69" s="47">
        <f>COUNTIFS('Recommendations'!C:C,"=CAT III (Low)",'Recommendations'!M:M,"=Testing")</f>
        <v>0</v>
      </c>
      <c r="E69" s="47">
        <f>COUNTIFS('Recommendations'!C:C,"=CAT III (Low)",'Recommendations'!M:M,"=Outstanding")</f>
        <v>4</v>
      </c>
      <c r="F69" s="47">
        <f>SUM(C69:E69)</f>
        <v>4</v>
      </c>
    </row>
    <row r="71" spans="2:6" x14ac:dyDescent="0.35">
      <c r="B71" s="56" t="s">
        <v>512</v>
      </c>
    </row>
    <row r="72" spans="2:6" x14ac:dyDescent="0.35">
      <c r="B72" s="57" t="s">
        <v>2</v>
      </c>
      <c r="C72" s="57" t="s">
        <v>507</v>
      </c>
      <c r="D72" s="57" t="s">
        <v>508</v>
      </c>
      <c r="E72" s="57" t="s">
        <v>509</v>
      </c>
      <c r="F72" s="57" t="s">
        <v>21</v>
      </c>
    </row>
    <row r="73" spans="2:6" x14ac:dyDescent="0.35">
      <c r="B73" s="46" t="s">
        <v>16</v>
      </c>
      <c r="C73" s="48">
        <f>IF(F67&gt;0, C67/F67, 0)</f>
        <v>0</v>
      </c>
      <c r="D73" s="48">
        <f>IF(F67&gt;0, D67/F67, 0)</f>
        <v>0</v>
      </c>
      <c r="E73" s="48">
        <f>IF(F67&gt;0, E67/F67, 0)</f>
        <v>1</v>
      </c>
      <c r="F73" s="49" t="s">
        <v>21</v>
      </c>
    </row>
    <row r="74" spans="2:6" x14ac:dyDescent="0.35">
      <c r="B74" s="46" t="s">
        <v>51</v>
      </c>
      <c r="C74" s="48">
        <f>IF(F68&gt;0, C68/F68, 0)</f>
        <v>0</v>
      </c>
      <c r="D74" s="48">
        <f>IF(F68&gt;0, D68/F68, 0)</f>
        <v>0</v>
      </c>
      <c r="E74" s="48">
        <f>IF(F68&gt;0, E68/F68, 0)</f>
        <v>1</v>
      </c>
      <c r="F74" s="49" t="s">
        <v>21</v>
      </c>
    </row>
    <row r="75" spans="2:6" x14ac:dyDescent="0.35">
      <c r="B75" s="46" t="s">
        <v>57</v>
      </c>
      <c r="C75" s="48">
        <f>IF(F69&gt;0, C69/F69, 0)</f>
        <v>0</v>
      </c>
      <c r="D75" s="48">
        <f>IF(F69&gt;0, D69/F69, 0)</f>
        <v>0</v>
      </c>
      <c r="E75" s="48">
        <f>IF(F69&gt;0, E69/F69, 0)</f>
        <v>1</v>
      </c>
      <c r="F75" s="49" t="s">
        <v>21</v>
      </c>
    </row>
    <row r="80" spans="2:6" ht="18.5" x14ac:dyDescent="0.45">
      <c r="B80" s="42" t="s">
        <v>521</v>
      </c>
    </row>
    <row r="82" spans="2:6" x14ac:dyDescent="0.35">
      <c r="B82" s="56" t="s">
        <v>506</v>
      </c>
    </row>
    <row r="83" spans="2:6" x14ac:dyDescent="0.35">
      <c r="B83" s="44" t="s">
        <v>4</v>
      </c>
      <c r="C83" s="44" t="s">
        <v>507</v>
      </c>
      <c r="D83" s="44" t="s">
        <v>508</v>
      </c>
      <c r="E83" s="44" t="s">
        <v>509</v>
      </c>
      <c r="F83" s="44" t="s">
        <v>510</v>
      </c>
    </row>
    <row r="84" spans="2:6" x14ac:dyDescent="0.35">
      <c r="B84" s="46" t="s">
        <v>522</v>
      </c>
      <c r="C84" s="47">
        <f>COUNTIFS('Recommendations'!E:E,"Must",'Recommendations'!M:M,"=Resolved")</f>
        <v>0</v>
      </c>
      <c r="D84" s="47">
        <f>COUNTIFS('Recommendations'!E:E,"=Must",'Recommendations'!M:M,"=Testing")</f>
        <v>0</v>
      </c>
      <c r="E84" s="47">
        <f>COUNTIFS('Recommendations'!E:E,"=Must",'Recommendations'!M:M,"=Outstanding")</f>
        <v>0</v>
      </c>
      <c r="F84" s="47">
        <f>SUM(C84:E84)</f>
        <v>0</v>
      </c>
    </row>
    <row r="85" spans="2:6" x14ac:dyDescent="0.35">
      <c r="B85" s="46" t="s">
        <v>523</v>
      </c>
      <c r="C85" s="47">
        <f>COUNTIFS('Recommendations'!E:E,"Should",'Recommendations'!M:M,"=Resolved")</f>
        <v>0</v>
      </c>
      <c r="D85" s="47">
        <f>COUNTIFS('Recommendations'!E:E,"=Should",'Recommendations'!M:M,"=Testing")</f>
        <v>0</v>
      </c>
      <c r="E85" s="47">
        <f>COUNTIFS('Recommendations'!E:E,"=Should",'Recommendations'!M:M,"=Outstanding")</f>
        <v>0</v>
      </c>
      <c r="F85" s="47">
        <f>SUM(C85:E85)</f>
        <v>0</v>
      </c>
    </row>
    <row r="86" spans="2:6" x14ac:dyDescent="0.35">
      <c r="B86" s="46" t="s">
        <v>524</v>
      </c>
      <c r="C86" s="47">
        <f>COUNTIFS('Recommendations'!E:E,"Could",'Recommendations'!M:M,"=Resolved")</f>
        <v>0</v>
      </c>
      <c r="D86" s="47">
        <f>COUNTIFS('Recommendations'!E:E,"=Could",'Recommendations'!M:M,"=Testing")</f>
        <v>0</v>
      </c>
      <c r="E86" s="47">
        <f>COUNTIFS('Recommendations'!E:E,"=Could",'Recommendations'!M:M,"=Outstanding")</f>
        <v>0</v>
      </c>
      <c r="F86" s="47">
        <f>SUM(C86:E86)</f>
        <v>0</v>
      </c>
    </row>
    <row r="87" spans="2:6" x14ac:dyDescent="0.35">
      <c r="B87" s="46" t="s">
        <v>525</v>
      </c>
      <c r="C87" s="47">
        <f>COUNTIFS('Recommendations'!E:E,"Won't",'Recommendations'!M:M,"=Resolved")</f>
        <v>0</v>
      </c>
      <c r="D87" s="47">
        <f>COUNTIFS('Recommendations'!E:E,"=Won't",'Recommendations'!M:M,"=Testing")</f>
        <v>0</v>
      </c>
      <c r="E87" s="47">
        <f>COUNTIFS('Recommendations'!E:E,"=Won't",'Recommendations'!M:M,"=Outstanding")</f>
        <v>0</v>
      </c>
      <c r="F87" s="47">
        <f>SUM(C87:E87)</f>
        <v>0</v>
      </c>
    </row>
    <row r="88" spans="2:6" x14ac:dyDescent="0.35">
      <c r="B88" s="46" t="s">
        <v>18</v>
      </c>
      <c r="C88" s="47">
        <f>COUNTIFS('Recommendations'!E:E,"Unassigned",'Recommendations'!M:M,"=Resolved")</f>
        <v>0</v>
      </c>
      <c r="D88" s="47">
        <f>COUNTIFS('Recommendations'!E:E,"=Unassigned",'Recommendations'!M:M,"=Testing")</f>
        <v>0</v>
      </c>
      <c r="E88" s="47">
        <f>COUNTIFS('Recommendations'!E:E,"=Unassigned",'Recommendations'!M:M,"=Outstanding")</f>
        <v>83</v>
      </c>
      <c r="F88" s="47">
        <f>SUM(C88:E88)</f>
        <v>83</v>
      </c>
    </row>
    <row r="90" spans="2:6" x14ac:dyDescent="0.35">
      <c r="B90" s="56" t="s">
        <v>512</v>
      </c>
    </row>
    <row r="91" spans="2:6" x14ac:dyDescent="0.35">
      <c r="B91" s="57" t="s">
        <v>4</v>
      </c>
      <c r="C91" s="57" t="s">
        <v>507</v>
      </c>
      <c r="D91" s="57" t="s">
        <v>508</v>
      </c>
      <c r="E91" s="57" t="s">
        <v>509</v>
      </c>
      <c r="F91" s="57" t="s">
        <v>21</v>
      </c>
    </row>
    <row r="92" spans="2:6" x14ac:dyDescent="0.35">
      <c r="B92" s="46" t="s">
        <v>522</v>
      </c>
      <c r="C92" s="48">
        <f>IF(F84&gt;0, C84/F84, 0)</f>
        <v>0</v>
      </c>
      <c r="D92" s="48">
        <f>IF(F84&gt;0, D84/F84, 0)</f>
        <v>0</v>
      </c>
      <c r="E92" s="48">
        <f>IF(F84&gt;0, E84/F84, 0)</f>
        <v>0</v>
      </c>
      <c r="F92" s="49" t="s">
        <v>21</v>
      </c>
    </row>
    <row r="93" spans="2:6" x14ac:dyDescent="0.35">
      <c r="B93" s="46" t="s">
        <v>523</v>
      </c>
      <c r="C93" s="48">
        <f>IF(F85&gt;0, C85/F85, 0)</f>
        <v>0</v>
      </c>
      <c r="D93" s="48">
        <f>IF(F85&gt;0, D85/F85, 0)</f>
        <v>0</v>
      </c>
      <c r="E93" s="48">
        <f>IF(F85&gt;0, E85/F85, 0)</f>
        <v>0</v>
      </c>
      <c r="F93" s="49" t="s">
        <v>21</v>
      </c>
    </row>
    <row r="94" spans="2:6" x14ac:dyDescent="0.35">
      <c r="B94" s="46" t="s">
        <v>524</v>
      </c>
      <c r="C94" s="48">
        <f>IF(F86&gt;0, C86/F86, 0)</f>
        <v>0</v>
      </c>
      <c r="D94" s="48">
        <f>IF(F86&gt;0, D86/F86, 0)</f>
        <v>0</v>
      </c>
      <c r="E94" s="48">
        <f>IF(F86&gt;0, E86/F86, 0)</f>
        <v>0</v>
      </c>
      <c r="F94" s="49" t="s">
        <v>21</v>
      </c>
    </row>
    <row r="95" spans="2:6" x14ac:dyDescent="0.35">
      <c r="B95" s="46" t="s">
        <v>525</v>
      </c>
      <c r="C95" s="48">
        <f>IF(F87&gt;0, C87/F87, 0)</f>
        <v>0</v>
      </c>
      <c r="D95" s="48">
        <f>IF(F87&gt;0, D87/F87, 0)</f>
        <v>0</v>
      </c>
      <c r="E95" s="48">
        <f>IF(F87&gt;0, E87/F87, 0)</f>
        <v>0</v>
      </c>
      <c r="F95" s="49" t="s">
        <v>21</v>
      </c>
    </row>
    <row r="96" spans="2:6" x14ac:dyDescent="0.35">
      <c r="B96" s="46" t="s">
        <v>18</v>
      </c>
      <c r="C96" s="48">
        <f>IF(F88&gt;0, C88/F88, 0)</f>
        <v>0</v>
      </c>
      <c r="D96" s="48">
        <f>IF(F88&gt;0, D88/F88, 0)</f>
        <v>0</v>
      </c>
      <c r="E96" s="48">
        <f>IF(F88&gt;0, E88/F88, 0)</f>
        <v>1</v>
      </c>
      <c r="F96" s="49" t="s">
        <v>21</v>
      </c>
    </row>
    <row r="101" spans="2:6" ht="18.5" x14ac:dyDescent="0.45">
      <c r="B101" s="42" t="s">
        <v>526</v>
      </c>
    </row>
    <row r="103" spans="2:6" x14ac:dyDescent="0.35">
      <c r="B103" s="56" t="s">
        <v>506</v>
      </c>
    </row>
    <row r="104" spans="2:6" x14ac:dyDescent="0.35">
      <c r="B104" s="44" t="s">
        <v>527</v>
      </c>
      <c r="C104" s="44" t="s">
        <v>507</v>
      </c>
      <c r="D104" s="44" t="s">
        <v>508</v>
      </c>
      <c r="E104" s="44" t="s">
        <v>509</v>
      </c>
      <c r="F104" s="44" t="s">
        <v>510</v>
      </c>
    </row>
    <row r="105" spans="2:6" x14ac:dyDescent="0.35">
      <c r="B105" s="46" t="s">
        <v>528</v>
      </c>
      <c r="C105" s="47">
        <f>COUNTIFS('Recommendations'!F:F,"Low",'Recommendations'!M:M,"=Resolved")</f>
        <v>0</v>
      </c>
      <c r="D105" s="47">
        <f>COUNTIFS('Recommendations'!F:F,"=Low",'Recommendations'!M:M,"=Testing")</f>
        <v>0</v>
      </c>
      <c r="E105" s="47">
        <f>COUNTIFS('Recommendations'!F:F,"=Low",'Recommendations'!M:M,"=Outstanding")</f>
        <v>0</v>
      </c>
      <c r="F105" s="47">
        <f>SUM(C105:E105)</f>
        <v>0</v>
      </c>
    </row>
    <row r="106" spans="2:6" x14ac:dyDescent="0.35">
      <c r="B106" s="46" t="s">
        <v>529</v>
      </c>
      <c r="C106" s="47">
        <f>COUNTIFS('Recommendations'!F:F,"Medium",'Recommendations'!M:M,"=Resolved")</f>
        <v>0</v>
      </c>
      <c r="D106" s="47">
        <f>COUNTIFS('Recommendations'!F:F,"=Medium",'Recommendations'!M:M,"=Testing")</f>
        <v>0</v>
      </c>
      <c r="E106" s="47">
        <f>COUNTIFS('Recommendations'!F:F,"=Medium",'Recommendations'!M:M,"=Outstanding")</f>
        <v>0</v>
      </c>
      <c r="F106" s="47">
        <f>SUM(C106:E106)</f>
        <v>0</v>
      </c>
    </row>
    <row r="107" spans="2:6" x14ac:dyDescent="0.35">
      <c r="B107" s="46" t="s">
        <v>530</v>
      </c>
      <c r="C107" s="47">
        <f>COUNTIFS('Recommendations'!F:F,"High",'Recommendations'!M:M,"=Resolved")</f>
        <v>0</v>
      </c>
      <c r="D107" s="47">
        <f>COUNTIFS('Recommendations'!F:F,"=High",'Recommendations'!M:M,"=Testing")</f>
        <v>0</v>
      </c>
      <c r="E107" s="47">
        <f>COUNTIFS('Recommendations'!F:F,"=High",'Recommendations'!M:M,"=Outstanding")</f>
        <v>0</v>
      </c>
      <c r="F107" s="47">
        <f>SUM(C107:E107)</f>
        <v>0</v>
      </c>
    </row>
    <row r="108" spans="2:6" x14ac:dyDescent="0.35">
      <c r="B108" s="46" t="s">
        <v>19</v>
      </c>
      <c r="C108" s="47">
        <f>COUNTIFS('Recommendations'!F:F,"Unassessed",'Recommendations'!M:M,"=Resolved")</f>
        <v>0</v>
      </c>
      <c r="D108" s="47">
        <f>COUNTIFS('Recommendations'!F:F,"=Unassessed",'Recommendations'!M:M,"=Testing")</f>
        <v>0</v>
      </c>
      <c r="E108" s="47">
        <f>COUNTIFS('Recommendations'!F:F,"=Unassessed",'Recommendations'!M:M,"=Outstanding")</f>
        <v>83</v>
      </c>
      <c r="F108" s="47">
        <f>SUM(C108:E108)</f>
        <v>83</v>
      </c>
    </row>
    <row r="110" spans="2:6" x14ac:dyDescent="0.35">
      <c r="B110" s="56" t="s">
        <v>512</v>
      </c>
    </row>
    <row r="111" spans="2:6" x14ac:dyDescent="0.35">
      <c r="B111" s="57" t="s">
        <v>527</v>
      </c>
      <c r="C111" s="57" t="s">
        <v>507</v>
      </c>
      <c r="D111" s="57" t="s">
        <v>508</v>
      </c>
      <c r="E111" s="57" t="s">
        <v>509</v>
      </c>
      <c r="F111" s="57" t="s">
        <v>21</v>
      </c>
    </row>
    <row r="112" spans="2:6" x14ac:dyDescent="0.35">
      <c r="B112" s="46" t="s">
        <v>528</v>
      </c>
      <c r="C112" s="48">
        <f>IF(F105&gt;0, C105/F105, 0)</f>
        <v>0</v>
      </c>
      <c r="D112" s="48">
        <f>IF(F105&gt;0, D105/F105, 0)</f>
        <v>0</v>
      </c>
      <c r="E112" s="48">
        <f>IF(F105&gt;0, E105/F105, 0)</f>
        <v>0</v>
      </c>
      <c r="F112" s="49" t="s">
        <v>21</v>
      </c>
    </row>
    <row r="113" spans="2:15" x14ac:dyDescent="0.35">
      <c r="B113" s="46" t="s">
        <v>529</v>
      </c>
      <c r="C113" s="48">
        <f>IF(F106&gt;0, C106/F106, 0)</f>
        <v>0</v>
      </c>
      <c r="D113" s="48">
        <f>IF(F106&gt;0, D106/F106, 0)</f>
        <v>0</v>
      </c>
      <c r="E113" s="48">
        <f>IF(F106&gt;0, E106/F106, 0)</f>
        <v>0</v>
      </c>
      <c r="F113" s="49" t="s">
        <v>21</v>
      </c>
    </row>
    <row r="114" spans="2:15" x14ac:dyDescent="0.35">
      <c r="B114" s="46" t="s">
        <v>530</v>
      </c>
      <c r="C114" s="48">
        <f>IF(F107&gt;0, C107/F107, 0)</f>
        <v>0</v>
      </c>
      <c r="D114" s="48">
        <f>IF(F107&gt;0, D107/F107, 0)</f>
        <v>0</v>
      </c>
      <c r="E114" s="48">
        <f>IF(F107&gt;0, E107/F107, 0)</f>
        <v>0</v>
      </c>
      <c r="F114" s="49" t="s">
        <v>21</v>
      </c>
    </row>
    <row r="115" spans="2:15" x14ac:dyDescent="0.35">
      <c r="B115" s="46" t="s">
        <v>19</v>
      </c>
      <c r="C115" s="48">
        <f>IF(F108&gt;0, C108/F108, 0)</f>
        <v>0</v>
      </c>
      <c r="D115" s="48">
        <f>IF(F108&gt;0, D108/F108, 0)</f>
        <v>0</v>
      </c>
      <c r="E115" s="48">
        <f>IF(F108&gt;0, E108/F108, 0)</f>
        <v>1</v>
      </c>
      <c r="F115" s="49" t="s">
        <v>21</v>
      </c>
    </row>
    <row r="120" spans="2:15" ht="18.5" x14ac:dyDescent="0.45">
      <c r="B120" s="42" t="s">
        <v>531</v>
      </c>
      <c r="J120" s="42" t="s">
        <v>532</v>
      </c>
    </row>
    <row r="121" spans="2:15" x14ac:dyDescent="0.35">
      <c r="B121" s="44" t="s">
        <v>6</v>
      </c>
      <c r="C121" s="297" t="s">
        <v>533</v>
      </c>
      <c r="D121" s="297"/>
      <c r="E121" s="44" t="s">
        <v>499</v>
      </c>
      <c r="F121" s="44" t="s">
        <v>507</v>
      </c>
      <c r="G121" s="297" t="s">
        <v>534</v>
      </c>
      <c r="H121" s="297"/>
      <c r="J121" s="44" t="s">
        <v>6</v>
      </c>
      <c r="K121" s="44" t="s">
        <v>522</v>
      </c>
      <c r="L121" s="44" t="s">
        <v>523</v>
      </c>
      <c r="M121" s="44" t="s">
        <v>524</v>
      </c>
      <c r="N121" s="44" t="s">
        <v>525</v>
      </c>
      <c r="O121" s="44" t="s">
        <v>18</v>
      </c>
    </row>
    <row r="122" spans="2:15" x14ac:dyDescent="0.35">
      <c r="B122" s="50" t="s">
        <v>515</v>
      </c>
      <c r="C122" s="298" t="s">
        <v>21</v>
      </c>
      <c r="D122" s="298"/>
      <c r="E122" s="47">
        <f>COUNTIF('Recommendations'!G:G,"Phase1")-COUNTIFS('Recommendations'!G:G,"Phase1",'Recommendations'!H:H,"Risk Accepted")-COUNTIFS('Recommendations'!G:G,"Phase1",'Recommendations'!H:H,"N/A")</f>
        <v>0</v>
      </c>
      <c r="F122" s="47">
        <f>COUNTIFS('Recommendations'!G:G,"Phase1",'Recommendations'!M:M,"Resolved")</f>
        <v>0</v>
      </c>
      <c r="G122" s="299">
        <f t="shared" ref="G122:G127" si="4">IF(E122&gt;0,F122/E122,0)</f>
        <v>0</v>
      </c>
      <c r="H122" s="299"/>
      <c r="J122" s="50" t="s">
        <v>515</v>
      </c>
      <c r="K122" s="47">
        <f>COUNTIFS('Recommendations'!G:G,"Phase1",'Recommendations'!E:E,"Must")</f>
        <v>0</v>
      </c>
      <c r="L122" s="47">
        <f>COUNTIFS('Recommendations'!G:G,"Phase1",'Recommendations'!E:E,"Should")</f>
        <v>0</v>
      </c>
      <c r="M122" s="47">
        <f>COUNTIFS('Recommendations'!G:G,"Phase1",'Recommendations'!E:E,"Could")</f>
        <v>0</v>
      </c>
      <c r="N122" s="47">
        <f>COUNTIFS('Recommendations'!G:G,"Phase1",'Recommendations'!E:E,"Won't")</f>
        <v>0</v>
      </c>
      <c r="O122" s="47">
        <f>COUNTIFS('Recommendations'!G:G,"Phase1",'Recommendations'!E:E,"Unassigned")</f>
        <v>0</v>
      </c>
    </row>
    <row r="123" spans="2:15" x14ac:dyDescent="0.35">
      <c r="B123" s="50" t="s">
        <v>516</v>
      </c>
      <c r="C123" s="298" t="s">
        <v>21</v>
      </c>
      <c r="D123" s="298"/>
      <c r="E123" s="47">
        <f>COUNTIF('Recommendations'!G:G,"Phase2")-COUNTIFS('Recommendations'!G:G,"Phase2",'Recommendations'!H:H,"Risk Accepted")-COUNTIFS('Recommendations'!G:G,"Phase2",'Recommendations'!H:H,"N/A")</f>
        <v>0</v>
      </c>
      <c r="F123" s="47">
        <f>COUNTIFS('Recommendations'!G:G,"Phase2",'Recommendations'!M:M,"Resolved")</f>
        <v>0</v>
      </c>
      <c r="G123" s="299">
        <f t="shared" si="4"/>
        <v>0</v>
      </c>
      <c r="H123" s="299"/>
      <c r="J123" s="50" t="s">
        <v>516</v>
      </c>
      <c r="K123" s="47">
        <f>COUNTIFS('Recommendations'!G:G,"Phase2",'Recommendations'!E:E,"Must")</f>
        <v>0</v>
      </c>
      <c r="L123" s="47">
        <f>COUNTIFS('Recommendations'!G:G,"Phase2",'Recommendations'!E:E,"Should")</f>
        <v>0</v>
      </c>
      <c r="M123" s="47">
        <f>COUNTIFS('Recommendations'!G:G,"Phase2",'Recommendations'!E:E,"Could")</f>
        <v>0</v>
      </c>
      <c r="N123" s="47">
        <f>COUNTIFS('Recommendations'!G:G,"Phase2",'Recommendations'!E:E,"Won't")</f>
        <v>0</v>
      </c>
      <c r="O123" s="47">
        <f>COUNTIFS('Recommendations'!G:G,"Phase2",'Recommendations'!E:E,"Unassigned")</f>
        <v>0</v>
      </c>
    </row>
    <row r="124" spans="2:15" x14ac:dyDescent="0.35">
      <c r="B124" s="50" t="s">
        <v>517</v>
      </c>
      <c r="C124" s="298" t="s">
        <v>21</v>
      </c>
      <c r="D124" s="298"/>
      <c r="E124" s="47">
        <f>COUNTIF('Recommendations'!G:G,"Phase3")-COUNTIFS('Recommendations'!G:G,"Phase3",'Recommendations'!H:H,"Risk Accepted")-COUNTIFS('Recommendations'!G:G,"Phase3",'Recommendations'!H:H,"N/A")</f>
        <v>0</v>
      </c>
      <c r="F124" s="47">
        <f>COUNTIFS('Recommendations'!G:G,"Phase3",'Recommendations'!M:M,"Resolved")</f>
        <v>0</v>
      </c>
      <c r="G124" s="299">
        <f t="shared" si="4"/>
        <v>0</v>
      </c>
      <c r="H124" s="299"/>
      <c r="J124" s="50" t="s">
        <v>517</v>
      </c>
      <c r="K124" s="47">
        <f>COUNTIFS('Recommendations'!G:G,"Phase3",'Recommendations'!E:E,"Must")</f>
        <v>0</v>
      </c>
      <c r="L124" s="47">
        <f>COUNTIFS('Recommendations'!G:G,"Phase3",'Recommendations'!E:E,"Should")</f>
        <v>0</v>
      </c>
      <c r="M124" s="47">
        <f>COUNTIFS('Recommendations'!G:G,"Phase3",'Recommendations'!E:E,"Could")</f>
        <v>0</v>
      </c>
      <c r="N124" s="47">
        <f>COUNTIFS('Recommendations'!G:G,"Phase3",'Recommendations'!E:E,"Won't")</f>
        <v>0</v>
      </c>
      <c r="O124" s="47">
        <f>COUNTIFS('Recommendations'!G:G,"Phase3",'Recommendations'!E:E,"Unassigned")</f>
        <v>0</v>
      </c>
    </row>
    <row r="125" spans="2:15" x14ac:dyDescent="0.35">
      <c r="B125" s="50" t="s">
        <v>518</v>
      </c>
      <c r="C125" s="298" t="s">
        <v>21</v>
      </c>
      <c r="D125" s="298"/>
      <c r="E125" s="47">
        <f>COUNTIF('Recommendations'!G:G,"Phase4")-COUNTIFS('Recommendations'!G:G,"Phase4",'Recommendations'!H:H,"Risk Accepted")-COUNTIFS('Recommendations'!G:G,"Phase4",'Recommendations'!H:H,"N/A")</f>
        <v>0</v>
      </c>
      <c r="F125" s="47">
        <f>COUNTIFS('Recommendations'!G:G,"Phase4",'Recommendations'!M:M,"Resolved")</f>
        <v>0</v>
      </c>
      <c r="G125" s="299">
        <f t="shared" si="4"/>
        <v>0</v>
      </c>
      <c r="H125" s="299"/>
      <c r="J125" s="50" t="s">
        <v>518</v>
      </c>
      <c r="K125" s="47">
        <f>COUNTIFS('Recommendations'!G:G,"Phase4",'Recommendations'!E:E,"Must")</f>
        <v>0</v>
      </c>
      <c r="L125" s="47">
        <f>COUNTIFS('Recommendations'!G:G,"Phase4",'Recommendations'!E:E,"Should")</f>
        <v>0</v>
      </c>
      <c r="M125" s="47">
        <f>COUNTIFS('Recommendations'!G:G,"Phase4",'Recommendations'!E:E,"Could")</f>
        <v>0</v>
      </c>
      <c r="N125" s="47">
        <f>COUNTIFS('Recommendations'!G:G,"Phase4",'Recommendations'!E:E,"Won't")</f>
        <v>0</v>
      </c>
      <c r="O125" s="47">
        <f>COUNTIFS('Recommendations'!G:G,"Phase4",'Recommendations'!E:E,"Unassigned")</f>
        <v>0</v>
      </c>
    </row>
    <row r="126" spans="2:15" x14ac:dyDescent="0.35">
      <c r="B126" s="50" t="s">
        <v>519</v>
      </c>
      <c r="C126" s="298" t="s">
        <v>21</v>
      </c>
      <c r="D126" s="298"/>
      <c r="E126" s="47">
        <f>COUNTIF('Recommendations'!G:G,"Phase5")-COUNTIFS('Recommendations'!G:G,"Phase5",'Recommendations'!H:H,"Risk Accepted")-COUNTIFS('Recommendations'!G:G,"Phase5",'Recommendations'!H:H,"N/A")</f>
        <v>0</v>
      </c>
      <c r="F126" s="47">
        <f>COUNTIFS('Recommendations'!G:G,"Phase5",'Recommendations'!M:M,"Resolved")</f>
        <v>0</v>
      </c>
      <c r="G126" s="299">
        <f t="shared" si="4"/>
        <v>0</v>
      </c>
      <c r="H126" s="299"/>
      <c r="J126" s="50" t="s">
        <v>519</v>
      </c>
      <c r="K126" s="47">
        <f>COUNTIFS('Recommendations'!G:G,"Phase5",'Recommendations'!E:E,"Must")</f>
        <v>0</v>
      </c>
      <c r="L126" s="47">
        <f>COUNTIFS('Recommendations'!G:G,"Phase5",'Recommendations'!E:E,"Should")</f>
        <v>0</v>
      </c>
      <c r="M126" s="47">
        <f>COUNTIFS('Recommendations'!G:G,"Phase5",'Recommendations'!E:E,"Could")</f>
        <v>0</v>
      </c>
      <c r="N126" s="47">
        <f>COUNTIFS('Recommendations'!G:G,"Phase5",'Recommendations'!E:E,"Won't")</f>
        <v>0</v>
      </c>
      <c r="O126" s="47">
        <f>COUNTIFS('Recommendations'!G:G,"Phase5",'Recommendations'!E:E,"Unassigned")</f>
        <v>0</v>
      </c>
    </row>
    <row r="127" spans="2:15" x14ac:dyDescent="0.35">
      <c r="B127" s="50" t="s">
        <v>20</v>
      </c>
      <c r="C127" s="298" t="s">
        <v>21</v>
      </c>
      <c r="D127" s="298"/>
      <c r="E127" s="47">
        <f>COUNTIF('Recommendations'!G:G,"Pending")-COUNTIFS('Recommendations'!G:G,"Pending",'Recommendations'!H:H,"Risk Accepted")-COUNTIFS('Recommendations'!G:G,"Pending",'Recommendations'!H:H,"N/A")</f>
        <v>83</v>
      </c>
      <c r="F127" s="47">
        <f>COUNTIFS('Recommendations'!G:G,"Pending",'Recommendations'!M:M,"Resolved")</f>
        <v>0</v>
      </c>
      <c r="G127" s="299">
        <f t="shared" si="4"/>
        <v>0</v>
      </c>
      <c r="H127" s="299"/>
      <c r="J127" s="50" t="s">
        <v>20</v>
      </c>
      <c r="K127" s="47">
        <f>COUNTIFS('Recommendations'!G:G,"Pending",'Recommendations'!E:E,"Must")</f>
        <v>0</v>
      </c>
      <c r="L127" s="47">
        <f>COUNTIFS('Recommendations'!G:G,"Pending",'Recommendations'!E:E,"Should")</f>
        <v>0</v>
      </c>
      <c r="M127" s="47">
        <f>COUNTIFS('Recommendations'!G:G,"Pending",'Recommendations'!E:E,"Could")</f>
        <v>0</v>
      </c>
      <c r="N127" s="47">
        <f>COUNTIFS('Recommendations'!G:G,"Pending",'Recommendations'!E:E,"Won't")</f>
        <v>0</v>
      </c>
      <c r="O127" s="47">
        <f>COUNTIFS('Recommendations'!G:G,"Pending",'Recommendations'!E:E,"Unassigned")</f>
        <v>83</v>
      </c>
    </row>
    <row r="134" spans="2:24" ht="21" x14ac:dyDescent="0.5">
      <c r="B134" s="42" t="s">
        <v>535</v>
      </c>
      <c r="P134" s="59" t="s">
        <v>536</v>
      </c>
    </row>
    <row r="136" spans="2:24" ht="60" customHeight="1" x14ac:dyDescent="0.35">
      <c r="B136" s="300" t="s">
        <v>537</v>
      </c>
      <c r="C136" s="293"/>
      <c r="D136" s="293"/>
      <c r="E136" s="293"/>
      <c r="F136" s="293"/>
      <c r="P136" s="300" t="s">
        <v>538</v>
      </c>
      <c r="Q136" s="293"/>
      <c r="R136" s="293"/>
      <c r="S136" s="293"/>
      <c r="T136" s="293"/>
      <c r="U136" s="293"/>
      <c r="V136" s="293"/>
      <c r="W136" s="293"/>
    </row>
    <row r="138" spans="2:24" ht="30" customHeight="1" x14ac:dyDescent="0.35">
      <c r="P138" s="60" t="s">
        <v>539</v>
      </c>
      <c r="Q138" s="61">
        <f>C16</f>
        <v>0</v>
      </c>
      <c r="R138" s="62"/>
      <c r="S138" s="61">
        <f>C84</f>
        <v>0</v>
      </c>
      <c r="T138" s="62"/>
      <c r="U138" s="61">
        <f>C85</f>
        <v>0</v>
      </c>
      <c r="V138" s="62"/>
      <c r="W138" s="61">
        <f>C86</f>
        <v>0</v>
      </c>
      <c r="X138" s="62"/>
    </row>
    <row r="139" spans="2:24" ht="35" customHeight="1" x14ac:dyDescent="0.35">
      <c r="P139" s="63" t="s">
        <v>540</v>
      </c>
      <c r="Q139" s="63" t="s">
        <v>541</v>
      </c>
      <c r="R139" s="63" t="s">
        <v>542</v>
      </c>
      <c r="S139" s="63" t="s">
        <v>543</v>
      </c>
      <c r="T139" s="63" t="s">
        <v>544</v>
      </c>
      <c r="U139" s="63" t="s">
        <v>545</v>
      </c>
      <c r="V139" s="63" t="s">
        <v>546</v>
      </c>
      <c r="W139" s="63" t="s">
        <v>547</v>
      </c>
      <c r="X139" s="63" t="s">
        <v>548</v>
      </c>
    </row>
    <row r="140" spans="2:24" x14ac:dyDescent="0.35">
      <c r="O140" s="64" t="s">
        <v>549</v>
      </c>
      <c r="P140" s="65" t="s">
        <v>550</v>
      </c>
      <c r="Q140" s="66">
        <v>0</v>
      </c>
      <c r="R140" s="67">
        <f>IF(Dashboard!F16&gt;0, Q140/Dashboard!F16, "")</f>
        <v>0</v>
      </c>
      <c r="S140" s="66">
        <v>0</v>
      </c>
      <c r="T140" s="67" t="str">
        <f>IF(AND(NOT(ISBLANK(S140)),Dashboard!F84&gt;0), S140/Dashboard!F84, "")</f>
        <v/>
      </c>
      <c r="U140" s="66">
        <v>0</v>
      </c>
      <c r="V140" s="67" t="str">
        <f>IF(AND(NOT(ISBLANK(U140)),Dashboard!F85&gt;0), U140/Dashboard!F85, "")</f>
        <v/>
      </c>
      <c r="W140" s="66">
        <v>0</v>
      </c>
      <c r="X140" s="67" t="str">
        <f>IF(AND(NOT(ISBLANK(W140)),Dashboard!F86&gt;0), W140/Dashboard!F86, "")</f>
        <v/>
      </c>
    </row>
    <row r="141" spans="2:24" x14ac:dyDescent="0.35">
      <c r="P141" s="58"/>
      <c r="Q141" s="45"/>
      <c r="R141" s="48" t="str">
        <f>IF(AND(NOT(ISBLANK(Q141)),Dashboard!F16&gt;0), Q141/Dashboard!F16, "")</f>
        <v/>
      </c>
      <c r="S141" s="45"/>
      <c r="T141" s="48" t="str">
        <f>IF(AND(NOT(ISBLANK(S141)),Dashboard!F84&gt;0), S141/Dashboard!F84, "")</f>
        <v/>
      </c>
      <c r="U141" s="45"/>
      <c r="V141" s="48" t="str">
        <f>IF(AND(NOT(ISBLANK(U141)),Dashboard!F85&gt;0), U141/Dashboard!F85, "")</f>
        <v/>
      </c>
      <c r="W141" s="45"/>
      <c r="X141" s="48" t="str">
        <f>IF(AND(NOT(ISBLANK(W141)),Dashboard!F86&gt;0), W141/Dashboard!F86, "")</f>
        <v/>
      </c>
    </row>
    <row r="142" spans="2:24" x14ac:dyDescent="0.35">
      <c r="P142" s="58"/>
      <c r="Q142" s="45"/>
      <c r="R142" s="48" t="str">
        <f>IF(AND(NOT(ISBLANK(Q142)),Dashboard!F16&gt;0), Q142/Dashboard!F16, "")</f>
        <v/>
      </c>
      <c r="S142" s="45"/>
      <c r="T142" s="48" t="str">
        <f>IF(AND(NOT(ISBLANK(S142)),Dashboard!F84&gt;0), S142/Dashboard!F84, "")</f>
        <v/>
      </c>
      <c r="U142" s="45"/>
      <c r="V142" s="48" t="str">
        <f>IF(AND(NOT(ISBLANK(U142)),Dashboard!F85&gt;0), U142/Dashboard!F85, "")</f>
        <v/>
      </c>
      <c r="W142" s="45"/>
      <c r="X142" s="48" t="str">
        <f>IF(AND(NOT(ISBLANK(W142)),Dashboard!F86&gt;0), W142/Dashboard!F86, "")</f>
        <v/>
      </c>
    </row>
    <row r="143" spans="2:24" x14ac:dyDescent="0.35">
      <c r="P143" s="58"/>
      <c r="Q143" s="45"/>
      <c r="R143" s="48" t="str">
        <f>IF(AND(NOT(ISBLANK(Q143)),Dashboard!F16&gt;0), Q143/Dashboard!F16, "")</f>
        <v/>
      </c>
      <c r="S143" s="45"/>
      <c r="T143" s="48" t="str">
        <f>IF(AND(NOT(ISBLANK(S143)),Dashboard!F84&gt;0), S143/Dashboard!F84, "")</f>
        <v/>
      </c>
      <c r="U143" s="45"/>
      <c r="V143" s="48" t="str">
        <f>IF(AND(NOT(ISBLANK(U143)),Dashboard!F85&gt;0), U143/Dashboard!F85, "")</f>
        <v/>
      </c>
      <c r="W143" s="45"/>
      <c r="X143" s="48" t="str">
        <f>IF(AND(NOT(ISBLANK(W143)),Dashboard!F86&gt;0), W143/Dashboard!F86, "")</f>
        <v/>
      </c>
    </row>
    <row r="144" spans="2:24" x14ac:dyDescent="0.35">
      <c r="P144" s="58"/>
      <c r="Q144" s="45"/>
      <c r="R144" s="48" t="str">
        <f>IF(AND(NOT(ISBLANK(Q144)),Dashboard!F16&gt;0), Q144/Dashboard!F16, "")</f>
        <v/>
      </c>
      <c r="S144" s="45"/>
      <c r="T144" s="48" t="str">
        <f>IF(AND(NOT(ISBLANK(S144)),Dashboard!F84&gt;0), S144/Dashboard!F84, "")</f>
        <v/>
      </c>
      <c r="U144" s="45"/>
      <c r="V144" s="48" t="str">
        <f>IF(AND(NOT(ISBLANK(U144)),Dashboard!F85&gt;0), U144/Dashboard!F85, "")</f>
        <v/>
      </c>
      <c r="W144" s="45"/>
      <c r="X144" s="48" t="str">
        <f>IF(AND(NOT(ISBLANK(W144)),Dashboard!F86&gt;0), W144/Dashboard!F86, "")</f>
        <v/>
      </c>
    </row>
    <row r="145" spans="16:24" x14ac:dyDescent="0.35">
      <c r="P145" s="58"/>
      <c r="Q145" s="45"/>
      <c r="R145" s="48" t="str">
        <f>IF(AND(NOT(ISBLANK(Q145)),Dashboard!F16&gt;0), Q145/Dashboard!F16, "")</f>
        <v/>
      </c>
      <c r="S145" s="45"/>
      <c r="T145" s="48" t="str">
        <f>IF(AND(NOT(ISBLANK(S145)),Dashboard!F84&gt;0), S145/Dashboard!F84, "")</f>
        <v/>
      </c>
      <c r="U145" s="45"/>
      <c r="V145" s="48" t="str">
        <f>IF(AND(NOT(ISBLANK(U145)),Dashboard!F85&gt;0), U145/Dashboard!F85, "")</f>
        <v/>
      </c>
      <c r="W145" s="45"/>
      <c r="X145" s="48" t="str">
        <f>IF(AND(NOT(ISBLANK(W145)),Dashboard!F86&gt;0), W145/Dashboard!F86, "")</f>
        <v/>
      </c>
    </row>
    <row r="146" spans="16:24" x14ac:dyDescent="0.35">
      <c r="P146" s="58"/>
      <c r="Q146" s="45"/>
      <c r="R146" s="48" t="str">
        <f>IF(AND(NOT(ISBLANK(Q146)),Dashboard!F16&gt;0), Q146/Dashboard!F16, "")</f>
        <v/>
      </c>
      <c r="S146" s="45"/>
      <c r="T146" s="48" t="str">
        <f>IF(AND(NOT(ISBLANK(S146)),Dashboard!F84&gt;0), S146/Dashboard!F84, "")</f>
        <v/>
      </c>
      <c r="U146" s="45"/>
      <c r="V146" s="48" t="str">
        <f>IF(AND(NOT(ISBLANK(U146)),Dashboard!F85&gt;0), U146/Dashboard!F85, "")</f>
        <v/>
      </c>
      <c r="W146" s="45"/>
      <c r="X146" s="48" t="str">
        <f>IF(AND(NOT(ISBLANK(W146)),Dashboard!F86&gt;0), W146/Dashboard!F86, "")</f>
        <v/>
      </c>
    </row>
    <row r="147" spans="16:24" x14ac:dyDescent="0.35">
      <c r="P147" s="58"/>
      <c r="Q147" s="45"/>
      <c r="R147" s="48" t="str">
        <f>IF(AND(NOT(ISBLANK(Q147)),Dashboard!F16&gt;0), Q147/Dashboard!F16, "")</f>
        <v/>
      </c>
      <c r="S147" s="45"/>
      <c r="T147" s="48" t="str">
        <f>IF(AND(NOT(ISBLANK(S147)),Dashboard!F84&gt;0), S147/Dashboard!F84, "")</f>
        <v/>
      </c>
      <c r="U147" s="45"/>
      <c r="V147" s="48" t="str">
        <f>IF(AND(NOT(ISBLANK(U147)),Dashboard!F85&gt;0), U147/Dashboard!F85, "")</f>
        <v/>
      </c>
      <c r="W147" s="45"/>
      <c r="X147" s="48" t="str">
        <f>IF(AND(NOT(ISBLANK(W147)),Dashboard!F86&gt;0), W147/Dashboard!F86, "")</f>
        <v/>
      </c>
    </row>
    <row r="148" spans="16:24" x14ac:dyDescent="0.35">
      <c r="P148" s="58"/>
      <c r="Q148" s="45"/>
      <c r="R148" s="48" t="str">
        <f>IF(AND(NOT(ISBLANK(Q148)),Dashboard!F16&gt;0), Q148/Dashboard!F16, "")</f>
        <v/>
      </c>
      <c r="S148" s="45"/>
      <c r="T148" s="48" t="str">
        <f>IF(AND(NOT(ISBLANK(S148)),Dashboard!F84&gt;0), S148/Dashboard!F84, "")</f>
        <v/>
      </c>
      <c r="U148" s="45"/>
      <c r="V148" s="48" t="str">
        <f>IF(AND(NOT(ISBLANK(U148)),Dashboard!F85&gt;0), U148/Dashboard!F85, "")</f>
        <v/>
      </c>
      <c r="W148" s="45"/>
      <c r="X148" s="48" t="str">
        <f>IF(AND(NOT(ISBLANK(W148)),Dashboard!F86&gt;0), W148/Dashboard!F86, "")</f>
        <v/>
      </c>
    </row>
    <row r="149" spans="16:24" x14ac:dyDescent="0.35">
      <c r="P149" s="58"/>
      <c r="Q149" s="45"/>
      <c r="R149" s="48" t="str">
        <f>IF(AND(NOT(ISBLANK(Q149)),Dashboard!F16&gt;0), Q149/Dashboard!F16, "")</f>
        <v/>
      </c>
      <c r="S149" s="45"/>
      <c r="T149" s="48" t="str">
        <f>IF(AND(NOT(ISBLANK(S149)),Dashboard!F84&gt;0), S149/Dashboard!F84, "")</f>
        <v/>
      </c>
      <c r="U149" s="45"/>
      <c r="V149" s="48" t="str">
        <f>IF(AND(NOT(ISBLANK(U149)),Dashboard!F85&gt;0), U149/Dashboard!F85, "")</f>
        <v/>
      </c>
      <c r="W149" s="45"/>
      <c r="X149" s="48" t="str">
        <f>IF(AND(NOT(ISBLANK(W149)),Dashboard!F86&gt;0), W149/Dashboard!F86, "")</f>
        <v/>
      </c>
    </row>
    <row r="150" spans="16:24" x14ac:dyDescent="0.35">
      <c r="P150" s="58"/>
      <c r="Q150" s="45"/>
      <c r="R150" s="48" t="str">
        <f>IF(AND(NOT(ISBLANK(Q150)),Dashboard!F16&gt;0), Q150/Dashboard!F16, "")</f>
        <v/>
      </c>
      <c r="S150" s="45"/>
      <c r="T150" s="48" t="str">
        <f>IF(AND(NOT(ISBLANK(S150)),Dashboard!F84&gt;0), S150/Dashboard!F84, "")</f>
        <v/>
      </c>
      <c r="U150" s="45"/>
      <c r="V150" s="48" t="str">
        <f>IF(AND(NOT(ISBLANK(U150)),Dashboard!F85&gt;0), U150/Dashboard!F85, "")</f>
        <v/>
      </c>
      <c r="W150" s="45"/>
      <c r="X150" s="48" t="str">
        <f>IF(AND(NOT(ISBLANK(W150)),Dashboard!F86&gt;0), W150/Dashboard!F86, "")</f>
        <v/>
      </c>
    </row>
    <row r="151" spans="16:24" x14ac:dyDescent="0.35">
      <c r="P151" s="58"/>
      <c r="Q151" s="45"/>
      <c r="R151" s="48" t="str">
        <f>IF(AND(NOT(ISBLANK(Q151)),Dashboard!F16&gt;0), Q151/Dashboard!F16, "")</f>
        <v/>
      </c>
      <c r="S151" s="45"/>
      <c r="T151" s="48" t="str">
        <f>IF(AND(NOT(ISBLANK(S151)),Dashboard!F84&gt;0), S151/Dashboard!F84, "")</f>
        <v/>
      </c>
      <c r="U151" s="45"/>
      <c r="V151" s="48" t="str">
        <f>IF(AND(NOT(ISBLANK(U151)),Dashboard!F85&gt;0), U151/Dashboard!F85, "")</f>
        <v/>
      </c>
      <c r="W151" s="45"/>
      <c r="X151" s="48" t="str">
        <f>IF(AND(NOT(ISBLANK(W151)),Dashboard!F86&gt;0), W151/Dashboard!F86, "")</f>
        <v/>
      </c>
    </row>
    <row r="152" spans="16:24" x14ac:dyDescent="0.35">
      <c r="P152" s="58"/>
      <c r="Q152" s="45"/>
      <c r="R152" s="48" t="str">
        <f>IF(AND(NOT(ISBLANK(Q152)),Dashboard!F16&gt;0), Q152/Dashboard!F16, "")</f>
        <v/>
      </c>
      <c r="S152" s="45"/>
      <c r="T152" s="48" t="str">
        <f>IF(AND(NOT(ISBLANK(S152)),Dashboard!F84&gt;0), S152/Dashboard!F84, "")</f>
        <v/>
      </c>
      <c r="U152" s="45"/>
      <c r="V152" s="48" t="str">
        <f>IF(AND(NOT(ISBLANK(U152)),Dashboard!F85&gt;0), U152/Dashboard!F85, "")</f>
        <v/>
      </c>
      <c r="W152" s="45"/>
      <c r="X152" s="48" t="str">
        <f>IF(AND(NOT(ISBLANK(W152)),Dashboard!F86&gt;0), W152/Dashboard!F86, "")</f>
        <v/>
      </c>
    </row>
    <row r="153" spans="16:24" x14ac:dyDescent="0.35">
      <c r="P153" s="58"/>
      <c r="Q153" s="45"/>
      <c r="R153" s="48" t="str">
        <f>IF(AND(NOT(ISBLANK(Q153)),Dashboard!F16&gt;0), Q153/Dashboard!F16, "")</f>
        <v/>
      </c>
      <c r="S153" s="45"/>
      <c r="T153" s="48" t="str">
        <f>IF(AND(NOT(ISBLANK(S153)),Dashboard!F84&gt;0), S153/Dashboard!F84, "")</f>
        <v/>
      </c>
      <c r="U153" s="45"/>
      <c r="V153" s="48" t="str">
        <f>IF(AND(NOT(ISBLANK(U153)),Dashboard!F85&gt;0), U153/Dashboard!F85, "")</f>
        <v/>
      </c>
      <c r="W153" s="45"/>
      <c r="X153" s="48" t="str">
        <f>IF(AND(NOT(ISBLANK(W153)),Dashboard!F86&gt;0), W153/Dashboard!F86, "")</f>
        <v/>
      </c>
    </row>
    <row r="154" spans="16:24" x14ac:dyDescent="0.35">
      <c r="P154" s="58"/>
      <c r="Q154" s="45"/>
      <c r="R154" s="48" t="str">
        <f>IF(AND(NOT(ISBLANK(Q154)),Dashboard!F16&gt;0), Q154/Dashboard!F16, "")</f>
        <v/>
      </c>
      <c r="S154" s="45"/>
      <c r="T154" s="48" t="str">
        <f>IF(AND(NOT(ISBLANK(S154)),Dashboard!F84&gt;0), S154/Dashboard!F84, "")</f>
        <v/>
      </c>
      <c r="U154" s="45"/>
      <c r="V154" s="48" t="str">
        <f>IF(AND(NOT(ISBLANK(U154)),Dashboard!F85&gt;0), U154/Dashboard!F85, "")</f>
        <v/>
      </c>
      <c r="W154" s="45"/>
      <c r="X154" s="48" t="str">
        <f>IF(AND(NOT(ISBLANK(W154)),Dashboard!F86&gt;0), W154/Dashboard!F86, "")</f>
        <v/>
      </c>
    </row>
    <row r="155" spans="16:24" x14ac:dyDescent="0.35">
      <c r="P155" s="58"/>
      <c r="Q155" s="45"/>
      <c r="R155" s="48" t="str">
        <f>IF(AND(NOT(ISBLANK(Q155)),Dashboard!F16&gt;0), Q155/Dashboard!F16, "")</f>
        <v/>
      </c>
      <c r="S155" s="45"/>
      <c r="T155" s="48" t="str">
        <f>IF(AND(NOT(ISBLANK(S155)),Dashboard!F84&gt;0), S155/Dashboard!F84, "")</f>
        <v/>
      </c>
      <c r="U155" s="45"/>
      <c r="V155" s="48" t="str">
        <f>IF(AND(NOT(ISBLANK(U155)),Dashboard!F85&gt;0), U155/Dashboard!F85, "")</f>
        <v/>
      </c>
      <c r="W155" s="45"/>
      <c r="X155" s="48" t="str">
        <f>IF(AND(NOT(ISBLANK(W155)),Dashboard!F86&gt;0), W155/Dashboard!F86, "")</f>
        <v/>
      </c>
    </row>
    <row r="156" spans="16:24" x14ac:dyDescent="0.35">
      <c r="P156" s="58"/>
      <c r="Q156" s="45"/>
      <c r="R156" s="48" t="str">
        <f>IF(AND(NOT(ISBLANK(Q156)),Dashboard!F16&gt;0), Q156/Dashboard!F16, "")</f>
        <v/>
      </c>
      <c r="S156" s="45"/>
      <c r="T156" s="48" t="str">
        <f>IF(AND(NOT(ISBLANK(S156)),Dashboard!F84&gt;0), S156/Dashboard!F84, "")</f>
        <v/>
      </c>
      <c r="U156" s="45"/>
      <c r="V156" s="48" t="str">
        <f>IF(AND(NOT(ISBLANK(U156)),Dashboard!F85&gt;0), U156/Dashboard!F85, "")</f>
        <v/>
      </c>
      <c r="W156" s="45"/>
      <c r="X156" s="48" t="str">
        <f>IF(AND(NOT(ISBLANK(W156)),Dashboard!F86&gt;0), W156/Dashboard!F86, "")</f>
        <v/>
      </c>
    </row>
    <row r="157" spans="16:24" x14ac:dyDescent="0.35">
      <c r="P157" s="58"/>
      <c r="Q157" s="45"/>
      <c r="R157" s="48" t="str">
        <f>IF(AND(NOT(ISBLANK(Q157)),Dashboard!F16&gt;0), Q157/Dashboard!F16, "")</f>
        <v/>
      </c>
      <c r="S157" s="45"/>
      <c r="T157" s="48" t="str">
        <f>IF(AND(NOT(ISBLANK(S157)),Dashboard!F84&gt;0), S157/Dashboard!F84, "")</f>
        <v/>
      </c>
      <c r="U157" s="45"/>
      <c r="V157" s="48" t="str">
        <f>IF(AND(NOT(ISBLANK(U157)),Dashboard!F85&gt;0), U157/Dashboard!F85, "")</f>
        <v/>
      </c>
      <c r="W157" s="45"/>
      <c r="X157" s="48" t="str">
        <f>IF(AND(NOT(ISBLANK(W157)),Dashboard!F86&gt;0), W157/Dashboard!F86, "")</f>
        <v/>
      </c>
    </row>
    <row r="158" spans="16:24" x14ac:dyDescent="0.35">
      <c r="P158" s="58"/>
      <c r="Q158" s="45"/>
      <c r="R158" s="48" t="str">
        <f>IF(AND(NOT(ISBLANK(Q158)),Dashboard!F16&gt;0), Q158/Dashboard!F16, "")</f>
        <v/>
      </c>
      <c r="S158" s="45"/>
      <c r="T158" s="48" t="str">
        <f>IF(AND(NOT(ISBLANK(S158)),Dashboard!F84&gt;0), S158/Dashboard!F84, "")</f>
        <v/>
      </c>
      <c r="U158" s="45"/>
      <c r="V158" s="48" t="str">
        <f>IF(AND(NOT(ISBLANK(U158)),Dashboard!F85&gt;0), U158/Dashboard!F85, "")</f>
        <v/>
      </c>
      <c r="W158" s="45"/>
      <c r="X158" s="48" t="str">
        <f>IF(AND(NOT(ISBLANK(W158)),Dashboard!F86&gt;0), W158/Dashboard!F86, "")</f>
        <v/>
      </c>
    </row>
    <row r="159" spans="16:24" x14ac:dyDescent="0.35">
      <c r="P159" s="58"/>
      <c r="Q159" s="45"/>
      <c r="R159" s="48" t="str">
        <f>IF(AND(NOT(ISBLANK(Q159)),Dashboard!F16&gt;0), Q159/Dashboard!F16, "")</f>
        <v/>
      </c>
      <c r="S159" s="45"/>
      <c r="T159" s="48" t="str">
        <f>IF(AND(NOT(ISBLANK(S159)),Dashboard!F84&gt;0), S159/Dashboard!F84, "")</f>
        <v/>
      </c>
      <c r="U159" s="45"/>
      <c r="V159" s="48" t="str">
        <f>IF(AND(NOT(ISBLANK(U159)),Dashboard!F85&gt;0), U159/Dashboard!F85, "")</f>
        <v/>
      </c>
      <c r="W159" s="45"/>
      <c r="X159" s="48" t="str">
        <f>IF(AND(NOT(ISBLANK(W159)),Dashboard!F86&gt;0), W159/Dashboard!F86, "")</f>
        <v/>
      </c>
    </row>
    <row r="160" spans="16:24" x14ac:dyDescent="0.35">
      <c r="P160" s="58"/>
      <c r="Q160" s="45"/>
      <c r="R160" s="48" t="str">
        <f>IF(AND(NOT(ISBLANK(Q160)),Dashboard!F16&gt;0), Q160/Dashboard!F16, "")</f>
        <v/>
      </c>
      <c r="S160" s="45"/>
      <c r="T160" s="48" t="str">
        <f>IF(AND(NOT(ISBLANK(S160)),Dashboard!F84&gt;0), S160/Dashboard!F84, "")</f>
        <v/>
      </c>
      <c r="U160" s="45"/>
      <c r="V160" s="48" t="str">
        <f>IF(AND(NOT(ISBLANK(U160)),Dashboard!F85&gt;0), U160/Dashboard!F85, "")</f>
        <v/>
      </c>
      <c r="W160" s="45"/>
      <c r="X160" s="48" t="str">
        <f>IF(AND(NOT(ISBLANK(W160)),Dashboard!F86&gt;0), W160/Dashboard!F86, "")</f>
        <v/>
      </c>
    </row>
    <row r="161" spans="2:24" x14ac:dyDescent="0.35">
      <c r="P161" s="58"/>
      <c r="Q161" s="45"/>
      <c r="R161" s="48" t="str">
        <f>IF(AND(NOT(ISBLANK(Q161)),Dashboard!F16&gt;0), Q161/Dashboard!F16, "")</f>
        <v/>
      </c>
      <c r="S161" s="45"/>
      <c r="T161" s="48" t="str">
        <f>IF(AND(NOT(ISBLANK(S161)),Dashboard!F84&gt;0), S161/Dashboard!F84, "")</f>
        <v/>
      </c>
      <c r="U161" s="45"/>
      <c r="V161" s="48" t="str">
        <f>IF(AND(NOT(ISBLANK(U161)),Dashboard!F85&gt;0), U161/Dashboard!F85, "")</f>
        <v/>
      </c>
      <c r="W161" s="45"/>
      <c r="X161" s="48" t="str">
        <f>IF(AND(NOT(ISBLANK(W161)),Dashboard!F86&gt;0), W161/Dashboard!F86, "")</f>
        <v/>
      </c>
    </row>
    <row r="162" spans="2:24" x14ac:dyDescent="0.35">
      <c r="P162" s="58"/>
      <c r="Q162" s="45"/>
      <c r="R162" s="48" t="str">
        <f>IF(AND(NOT(ISBLANK(Q162)),Dashboard!F16&gt;0), Q162/Dashboard!F16, "")</f>
        <v/>
      </c>
      <c r="S162" s="45"/>
      <c r="T162" s="48" t="str">
        <f>IF(AND(NOT(ISBLANK(S162)),Dashboard!F84&gt;0), S162/Dashboard!F84, "")</f>
        <v/>
      </c>
      <c r="U162" s="45"/>
      <c r="V162" s="48" t="str">
        <f>IF(AND(NOT(ISBLANK(U162)),Dashboard!F85&gt;0), U162/Dashboard!F85, "")</f>
        <v/>
      </c>
      <c r="W162" s="45"/>
      <c r="X162" s="48" t="str">
        <f>IF(AND(NOT(ISBLANK(W162)),Dashboard!F86&gt;0), W162/Dashboard!F86, "")</f>
        <v/>
      </c>
    </row>
    <row r="163" spans="2:24" x14ac:dyDescent="0.35">
      <c r="P163" s="58"/>
      <c r="Q163" s="45"/>
      <c r="R163" s="48" t="str">
        <f>IF(AND(NOT(ISBLANK(Q163)),Dashboard!F16&gt;0), Q163/Dashboard!F16, "")</f>
        <v/>
      </c>
      <c r="S163" s="45"/>
      <c r="T163" s="48" t="str">
        <f>IF(AND(NOT(ISBLANK(S163)),Dashboard!F84&gt;0), S163/Dashboard!F84, "")</f>
        <v/>
      </c>
      <c r="U163" s="45"/>
      <c r="V163" s="48" t="str">
        <f>IF(AND(NOT(ISBLANK(U163)),Dashboard!F85&gt;0), U163/Dashboard!F85, "")</f>
        <v/>
      </c>
      <c r="W163" s="45"/>
      <c r="X163" s="48" t="str">
        <f>IF(AND(NOT(ISBLANK(W163)),Dashboard!F86&gt;0), W163/Dashboard!F86, "")</f>
        <v/>
      </c>
    </row>
    <row r="164" spans="2:24" x14ac:dyDescent="0.35">
      <c r="P164" s="58"/>
      <c r="Q164" s="45"/>
      <c r="R164" s="48" t="str">
        <f>IF(AND(NOT(ISBLANK(Q164)),Dashboard!F16&gt;0), Q164/Dashboard!F16, "")</f>
        <v/>
      </c>
      <c r="S164" s="45"/>
      <c r="T164" s="48" t="str">
        <f>IF(AND(NOT(ISBLANK(S164)),Dashboard!F84&gt;0), S164/Dashboard!F84, "")</f>
        <v/>
      </c>
      <c r="U164" s="45"/>
      <c r="V164" s="48" t="str">
        <f>IF(AND(NOT(ISBLANK(U164)),Dashboard!F85&gt;0), U164/Dashboard!F85, "")</f>
        <v/>
      </c>
      <c r="W164" s="45"/>
      <c r="X164" s="48" t="str">
        <f>IF(AND(NOT(ISBLANK(W164)),Dashboard!F86&gt;0), W164/Dashboard!F86, "")</f>
        <v/>
      </c>
    </row>
    <row r="165" spans="2:24" x14ac:dyDescent="0.35">
      <c r="P165" s="58"/>
      <c r="Q165" s="45"/>
      <c r="R165" s="48" t="str">
        <f>IF(AND(NOT(ISBLANK(Q165)),Dashboard!F16&gt;0), Q165/Dashboard!F16, "")</f>
        <v/>
      </c>
      <c r="S165" s="45"/>
      <c r="T165" s="48" t="str">
        <f>IF(AND(NOT(ISBLANK(S165)),Dashboard!F84&gt;0), S165/Dashboard!F84, "")</f>
        <v/>
      </c>
      <c r="U165" s="45"/>
      <c r="V165" s="48" t="str">
        <f>IF(AND(NOT(ISBLANK(U165)),Dashboard!F85&gt;0), U165/Dashboard!F85, "")</f>
        <v/>
      </c>
      <c r="W165" s="45"/>
      <c r="X165" s="48" t="str">
        <f>IF(AND(NOT(ISBLANK(W165)),Dashboard!F86&gt;0), W165/Dashboard!F86, "")</f>
        <v/>
      </c>
    </row>
    <row r="166" spans="2:24" x14ac:dyDescent="0.35">
      <c r="P166" s="58"/>
      <c r="Q166" s="45"/>
      <c r="R166" s="48" t="str">
        <f>IF(AND(NOT(ISBLANK(Q166)),Dashboard!F16&gt;0), Q166/Dashboard!F16, "")</f>
        <v/>
      </c>
      <c r="S166" s="45"/>
      <c r="T166" s="48" t="str">
        <f>IF(AND(NOT(ISBLANK(S166)),Dashboard!F84&gt;0), S166/Dashboard!F84, "")</f>
        <v/>
      </c>
      <c r="U166" s="45"/>
      <c r="V166" s="48" t="str">
        <f>IF(AND(NOT(ISBLANK(U166)),Dashboard!F85&gt;0), U166/Dashboard!F85, "")</f>
        <v/>
      </c>
      <c r="W166" s="45"/>
      <c r="X166" s="48" t="str">
        <f>IF(AND(NOT(ISBLANK(W166)),Dashboard!F86&gt;0), W166/Dashboard!F86, "")</f>
        <v/>
      </c>
    </row>
    <row r="167" spans="2:24" x14ac:dyDescent="0.35">
      <c r="P167" s="58"/>
      <c r="Q167" s="45"/>
      <c r="R167" s="48" t="str">
        <f>IF(AND(NOT(ISBLANK(Q167)),Dashboard!F16&gt;0), Q167/Dashboard!F16, "")</f>
        <v/>
      </c>
      <c r="S167" s="45"/>
      <c r="T167" s="48" t="str">
        <f>IF(AND(NOT(ISBLANK(S167)),Dashboard!F84&gt;0), S167/Dashboard!F84, "")</f>
        <v/>
      </c>
      <c r="U167" s="45"/>
      <c r="V167" s="48" t="str">
        <f>IF(AND(NOT(ISBLANK(U167)),Dashboard!F85&gt;0), U167/Dashboard!F85, "")</f>
        <v/>
      </c>
      <c r="W167" s="45"/>
      <c r="X167" s="48" t="str">
        <f>IF(AND(NOT(ISBLANK(W167)),Dashboard!F86&gt;0), W167/Dashboard!F86, "")</f>
        <v/>
      </c>
    </row>
    <row r="168" spans="2:24" x14ac:dyDescent="0.35">
      <c r="P168" s="58"/>
      <c r="Q168" s="45"/>
      <c r="R168" s="48" t="str">
        <f>IF(AND(NOT(ISBLANK(Q168)),Dashboard!F16&gt;0), Q168/Dashboard!F16, "")</f>
        <v/>
      </c>
      <c r="S168" s="45"/>
      <c r="T168" s="48" t="str">
        <f>IF(AND(NOT(ISBLANK(S168)),Dashboard!F84&gt;0), S168/Dashboard!F84, "")</f>
        <v/>
      </c>
      <c r="U168" s="45"/>
      <c r="V168" s="48" t="str">
        <f>IF(AND(NOT(ISBLANK(U168)),Dashboard!F85&gt;0), U168/Dashboard!F85, "")</f>
        <v/>
      </c>
      <c r="W168" s="45"/>
      <c r="X168" s="48" t="str">
        <f>IF(AND(NOT(ISBLANK(W168)),Dashboard!F86&gt;0), W168/Dashboard!F86, "")</f>
        <v/>
      </c>
    </row>
    <row r="169" spans="2:24" x14ac:dyDescent="0.35">
      <c r="P169" s="58"/>
      <c r="Q169" s="45"/>
      <c r="R169" s="48" t="str">
        <f>IF(AND(NOT(ISBLANK(Q169)),Dashboard!F16&gt;0), Q169/Dashboard!F16, "")</f>
        <v/>
      </c>
      <c r="S169" s="45"/>
      <c r="T169" s="48" t="str">
        <f>IF(AND(NOT(ISBLANK(S169)),Dashboard!F84&gt;0), S169/Dashboard!F84, "")</f>
        <v/>
      </c>
      <c r="U169" s="45"/>
      <c r="V169" s="48" t="str">
        <f>IF(AND(NOT(ISBLANK(U169)),Dashboard!F85&gt;0), U169/Dashboard!F85, "")</f>
        <v/>
      </c>
      <c r="W169" s="45"/>
      <c r="X169" s="48" t="str">
        <f>IF(AND(NOT(ISBLANK(W169)),Dashboard!F86&gt;0), W169/Dashboard!F86, "")</f>
        <v/>
      </c>
    </row>
    <row r="170" spans="2:24" x14ac:dyDescent="0.35">
      <c r="P170" s="58"/>
      <c r="Q170" s="45"/>
      <c r="R170" s="48" t="str">
        <f>IF(AND(NOT(ISBLANK(Q170)),Dashboard!F16&gt;0), Q170/Dashboard!F16, "")</f>
        <v/>
      </c>
      <c r="S170" s="45"/>
      <c r="T170" s="48" t="str">
        <f>IF(AND(NOT(ISBLANK(S170)),Dashboard!F84&gt;0), S170/Dashboard!F84, "")</f>
        <v/>
      </c>
      <c r="U170" s="45"/>
      <c r="V170" s="48" t="str">
        <f>IF(AND(NOT(ISBLANK(U170)),Dashboard!F85&gt;0), U170/Dashboard!F85, "")</f>
        <v/>
      </c>
      <c r="W170" s="45"/>
      <c r="X170" s="48" t="str">
        <f>IF(AND(NOT(ISBLANK(W170)),Dashboard!F86&gt;0), W170/Dashboard!F86, "")</f>
        <v/>
      </c>
    </row>
    <row r="175" spans="2:24" ht="21" x14ac:dyDescent="0.5">
      <c r="B175" s="42" t="s">
        <v>551</v>
      </c>
      <c r="P175" s="59" t="s">
        <v>552</v>
      </c>
    </row>
    <row r="177" spans="2:22" ht="45" customHeight="1" x14ac:dyDescent="0.35">
      <c r="B177" s="300" t="s">
        <v>553</v>
      </c>
      <c r="C177" s="293"/>
      <c r="D177" s="293"/>
      <c r="E177" s="293"/>
      <c r="F177" s="293"/>
      <c r="P177" s="300" t="s">
        <v>554</v>
      </c>
      <c r="Q177" s="293"/>
      <c r="R177" s="293"/>
      <c r="S177" s="293"/>
      <c r="T177" s="293"/>
      <c r="U177" s="293"/>
    </row>
    <row r="178" spans="2:22" ht="35" customHeight="1" x14ac:dyDescent="0.35">
      <c r="P178" s="297" t="s">
        <v>555</v>
      </c>
      <c r="Q178" s="297"/>
      <c r="R178" s="297" t="s">
        <v>556</v>
      </c>
      <c r="S178" s="297"/>
      <c r="T178" s="297"/>
    </row>
    <row r="179" spans="2:22" ht="30" customHeight="1" x14ac:dyDescent="0.35">
      <c r="P179" s="301">
        <v>0</v>
      </c>
      <c r="Q179" s="302"/>
      <c r="R179" s="303" t="s">
        <v>557</v>
      </c>
      <c r="S179" s="304"/>
      <c r="T179" s="304"/>
    </row>
    <row r="182" spans="2:22" ht="25" customHeight="1" x14ac:dyDescent="0.35">
      <c r="P182" s="68" t="s">
        <v>540</v>
      </c>
      <c r="Q182" s="68" t="s">
        <v>558</v>
      </c>
      <c r="R182" s="68" t="s">
        <v>559</v>
      </c>
      <c r="S182" s="305" t="s">
        <v>8</v>
      </c>
      <c r="T182" s="305"/>
      <c r="U182" s="305"/>
      <c r="V182" s="293"/>
    </row>
    <row r="183" spans="2:22" ht="20" customHeight="1" x14ac:dyDescent="0.35">
      <c r="P183" s="70"/>
      <c r="Q183" s="71"/>
      <c r="R183" s="72" t="str">
        <f>IF(AND(NOT(ISBLANK(Q183)), Dashboard!$P179&gt;0), Q183/Dashboard!$P179, "")</f>
        <v/>
      </c>
      <c r="S183" s="306"/>
      <c r="T183" s="307"/>
      <c r="U183" s="307"/>
      <c r="V183" s="307"/>
    </row>
    <row r="184" spans="2:22" ht="20" customHeight="1" x14ac:dyDescent="0.35">
      <c r="P184" s="70"/>
      <c r="Q184" s="71"/>
      <c r="R184" s="72" t="str">
        <f>IF(AND(NOT(ISBLANK(Q184)), Dashboard!$P179&gt;0), Q184/Dashboard!$P179, "")</f>
        <v/>
      </c>
      <c r="S184" s="306"/>
      <c r="T184" s="307"/>
      <c r="U184" s="307"/>
      <c r="V184" s="307"/>
    </row>
    <row r="185" spans="2:22" ht="20" customHeight="1" x14ac:dyDescent="0.35">
      <c r="P185" s="70"/>
      <c r="Q185" s="71"/>
      <c r="R185" s="72" t="str">
        <f>IF(AND(NOT(ISBLANK(Q185)), Dashboard!$P179&gt;0), Q185/Dashboard!$P179, "")</f>
        <v/>
      </c>
      <c r="S185" s="306"/>
      <c r="T185" s="307"/>
      <c r="U185" s="307"/>
      <c r="V185" s="307"/>
    </row>
    <row r="186" spans="2:22" ht="20" customHeight="1" x14ac:dyDescent="0.35">
      <c r="P186" s="70"/>
      <c r="Q186" s="71"/>
      <c r="R186" s="72" t="str">
        <f>IF(AND(NOT(ISBLANK(Q186)), Dashboard!$P179&gt;0), Q186/Dashboard!$P179, "")</f>
        <v/>
      </c>
      <c r="S186" s="306"/>
      <c r="T186" s="307"/>
      <c r="U186" s="307"/>
      <c r="V186" s="307"/>
    </row>
    <row r="187" spans="2:22" ht="20" customHeight="1" x14ac:dyDescent="0.35">
      <c r="P187" s="70"/>
      <c r="Q187" s="71"/>
      <c r="R187" s="72" t="str">
        <f>IF(AND(NOT(ISBLANK(Q187)), Dashboard!$P179&gt;0), Q187/Dashboard!$P179, "")</f>
        <v/>
      </c>
      <c r="S187" s="306"/>
      <c r="T187" s="307"/>
      <c r="U187" s="307"/>
      <c r="V187" s="307"/>
    </row>
    <row r="188" spans="2:22" ht="20" customHeight="1" x14ac:dyDescent="0.35">
      <c r="P188" s="70"/>
      <c r="Q188" s="71"/>
      <c r="R188" s="72" t="str">
        <f>IF(AND(NOT(ISBLANK(Q188)), Dashboard!$P179&gt;0), Q188/Dashboard!$P179, "")</f>
        <v/>
      </c>
      <c r="S188" s="306"/>
      <c r="T188" s="307"/>
      <c r="U188" s="307"/>
      <c r="V188" s="307"/>
    </row>
    <row r="189" spans="2:22" ht="20" customHeight="1" x14ac:dyDescent="0.35">
      <c r="P189" s="70"/>
      <c r="Q189" s="71"/>
      <c r="R189" s="72" t="str">
        <f>IF(AND(NOT(ISBLANK(Q189)), Dashboard!$P179&gt;0), Q189/Dashboard!$P179, "")</f>
        <v/>
      </c>
      <c r="S189" s="306"/>
      <c r="T189" s="307"/>
      <c r="U189" s="307"/>
      <c r="V189" s="307"/>
    </row>
    <row r="190" spans="2:22" ht="20" customHeight="1" x14ac:dyDescent="0.35">
      <c r="P190" s="70"/>
      <c r="Q190" s="71"/>
      <c r="R190" s="72" t="str">
        <f>IF(AND(NOT(ISBLANK(Q190)), Dashboard!$P179&gt;0), Q190/Dashboard!$P179, "")</f>
        <v/>
      </c>
      <c r="S190" s="306"/>
      <c r="T190" s="307"/>
      <c r="U190" s="307"/>
      <c r="V190" s="307"/>
    </row>
    <row r="191" spans="2:22" ht="20" customHeight="1" x14ac:dyDescent="0.35">
      <c r="P191" s="70"/>
      <c r="Q191" s="71"/>
      <c r="R191" s="72" t="str">
        <f>IF(AND(NOT(ISBLANK(Q191)), Dashboard!$P179&gt;0), Q191/Dashboard!$P179, "")</f>
        <v/>
      </c>
      <c r="S191" s="306"/>
      <c r="T191" s="307"/>
      <c r="U191" s="307"/>
      <c r="V191" s="307"/>
    </row>
    <row r="192" spans="2:22" ht="20" customHeight="1" x14ac:dyDescent="0.35">
      <c r="P192" s="70"/>
      <c r="Q192" s="71"/>
      <c r="R192" s="72" t="str">
        <f>IF(AND(NOT(ISBLANK(Q192)), Dashboard!$P179&gt;0), Q192/Dashboard!$P179, "")</f>
        <v/>
      </c>
      <c r="S192" s="306"/>
      <c r="T192" s="307"/>
      <c r="U192" s="307"/>
      <c r="V192" s="307"/>
    </row>
    <row r="193" spans="2:22" ht="20" customHeight="1" x14ac:dyDescent="0.35">
      <c r="P193" s="70"/>
      <c r="Q193" s="71"/>
      <c r="R193" s="72" t="str">
        <f>IF(AND(NOT(ISBLANK(Q193)), Dashboard!$P179&gt;0), Q193/Dashboard!$P179, "")</f>
        <v/>
      </c>
      <c r="S193" s="306"/>
      <c r="T193" s="307"/>
      <c r="U193" s="307"/>
      <c r="V193" s="307"/>
    </row>
    <row r="194" spans="2:22" ht="20" customHeight="1" x14ac:dyDescent="0.35">
      <c r="P194" s="70"/>
      <c r="Q194" s="71"/>
      <c r="R194" s="72" t="str">
        <f>IF(AND(NOT(ISBLANK(Q194)), Dashboard!$P179&gt;0), Q194/Dashboard!$P179, "")</f>
        <v/>
      </c>
      <c r="S194" s="306"/>
      <c r="T194" s="307"/>
      <c r="U194" s="307"/>
      <c r="V194" s="307"/>
    </row>
    <row r="195" spans="2:22" ht="20" customHeight="1" x14ac:dyDescent="0.35">
      <c r="P195" s="70"/>
      <c r="Q195" s="71"/>
      <c r="R195" s="72" t="str">
        <f>IF(AND(NOT(ISBLANK(Q195)), Dashboard!$P179&gt;0), Q195/Dashboard!$P179, "")</f>
        <v/>
      </c>
      <c r="S195" s="306"/>
      <c r="T195" s="307"/>
      <c r="U195" s="307"/>
      <c r="V195" s="307"/>
    </row>
    <row r="196" spans="2:22" ht="20" customHeight="1" x14ac:dyDescent="0.35">
      <c r="P196" s="70"/>
      <c r="Q196" s="71"/>
      <c r="R196" s="72" t="str">
        <f>IF(AND(NOT(ISBLANK(Q196)), Dashboard!$P179&gt;0), Q196/Dashboard!$P179, "")</f>
        <v/>
      </c>
      <c r="S196" s="306"/>
      <c r="T196" s="307"/>
      <c r="U196" s="307"/>
      <c r="V196" s="307"/>
    </row>
    <row r="197" spans="2:22" ht="20" customHeight="1" x14ac:dyDescent="0.35">
      <c r="P197" s="70"/>
      <c r="Q197" s="71"/>
      <c r="R197" s="72" t="str">
        <f>IF(AND(NOT(ISBLANK(Q197)), Dashboard!$P179&gt;0), Q197/Dashboard!$P179, "")</f>
        <v/>
      </c>
      <c r="S197" s="306"/>
      <c r="T197" s="307"/>
      <c r="U197" s="307"/>
      <c r="V197" s="307"/>
    </row>
    <row r="198" spans="2:22" ht="20" customHeight="1" x14ac:dyDescent="0.35">
      <c r="P198" s="70"/>
      <c r="Q198" s="71"/>
      <c r="R198" s="72" t="str">
        <f>IF(AND(NOT(ISBLANK(Q198)), Dashboard!$P179&gt;0), Q198/Dashboard!$P179, "")</f>
        <v/>
      </c>
      <c r="S198" s="306"/>
      <c r="T198" s="307"/>
      <c r="U198" s="307"/>
      <c r="V198" s="307"/>
    </row>
    <row r="199" spans="2:22" ht="20" customHeight="1" x14ac:dyDescent="0.35">
      <c r="P199" s="70"/>
      <c r="Q199" s="71"/>
      <c r="R199" s="72" t="str">
        <f>IF(AND(NOT(ISBLANK(Q199)), Dashboard!$P179&gt;0), Q199/Dashboard!$P179, "")</f>
        <v/>
      </c>
      <c r="S199" s="306"/>
      <c r="T199" s="307"/>
      <c r="U199" s="307"/>
      <c r="V199" s="307"/>
    </row>
    <row r="200" spans="2:22" ht="20" customHeight="1" x14ac:dyDescent="0.35">
      <c r="P200" s="70"/>
      <c r="Q200" s="71"/>
      <c r="R200" s="72" t="str">
        <f>IF(AND(NOT(ISBLANK(Q200)), Dashboard!$P179&gt;0), Q200/Dashboard!$P179, "")</f>
        <v/>
      </c>
      <c r="S200" s="306"/>
      <c r="T200" s="307"/>
      <c r="U200" s="307"/>
      <c r="V200" s="307"/>
    </row>
    <row r="201" spans="2:22" ht="20" customHeight="1" x14ac:dyDescent="0.35">
      <c r="P201" s="70"/>
      <c r="Q201" s="71"/>
      <c r="R201" s="72" t="str">
        <f>IF(AND(NOT(ISBLANK(Q201)), Dashboard!$P179&gt;0), Q201/Dashboard!$P179, "")</f>
        <v/>
      </c>
      <c r="S201" s="306"/>
      <c r="T201" s="307"/>
      <c r="U201" s="307"/>
      <c r="V201" s="307"/>
    </row>
    <row r="202" spans="2:22" ht="20" customHeight="1" x14ac:dyDescent="0.35">
      <c r="P202" s="70"/>
      <c r="Q202" s="71"/>
      <c r="R202" s="72" t="str">
        <f>IF(AND(NOT(ISBLANK(Q202)), Dashboard!$P179&gt;0), Q202/Dashboard!$P179, "")</f>
        <v/>
      </c>
      <c r="S202" s="306"/>
      <c r="T202" s="307"/>
      <c r="U202" s="307"/>
      <c r="V202" s="307"/>
    </row>
    <row r="206" spans="2:22" ht="32" customHeight="1" x14ac:dyDescent="0.35">
      <c r="B206" s="291" t="s">
        <v>407</v>
      </c>
      <c r="C206" s="291"/>
      <c r="D206" s="291"/>
      <c r="E206" s="291"/>
      <c r="F206" s="291"/>
      <c r="G206" s="291"/>
      <c r="H206" s="291"/>
      <c r="I206" s="291"/>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22:H127">
    <cfRule type="expression" dxfId="80" priority="4">
      <formula>$G122&gt;=0.8</formula>
    </cfRule>
    <cfRule type="expression" dxfId="79" priority="5">
      <formula>AND($G122&gt;=0.5,$G122&lt;0.8)</formula>
    </cfRule>
    <cfRule type="expression" dxfId="78" priority="6">
      <formula>$G122&lt;0.5</formula>
    </cfRule>
  </conditionalFormatting>
  <conditionalFormatting sqref="K122:K127">
    <cfRule type="cellIs" dxfId="77" priority="7" operator="greaterThan">
      <formula>0</formula>
    </cfRule>
  </conditionalFormatting>
  <conditionalFormatting sqref="L122:L127">
    <cfRule type="cellIs" dxfId="76" priority="8" operator="greaterThan">
      <formula>0</formula>
    </cfRule>
  </conditionalFormatting>
  <conditionalFormatting sqref="M122:M127">
    <cfRule type="cellIs" dxfId="75" priority="9" operator="greaterThan">
      <formula>0</formula>
    </cfRule>
  </conditionalFormatting>
  <conditionalFormatting sqref="N122:N127">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88"/>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84"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16</v>
      </c>
      <c r="D6" s="3" t="s">
        <v>17</v>
      </c>
      <c r="E6" s="4" t="s">
        <v>18</v>
      </c>
      <c r="F6" s="4" t="s">
        <v>19</v>
      </c>
      <c r="G6" s="4" t="s">
        <v>20</v>
      </c>
      <c r="H6" s="4" t="s">
        <v>21</v>
      </c>
      <c r="I6" s="5" t="s">
        <v>21</v>
      </c>
      <c r="J6" s="1" t="s">
        <v>42</v>
      </c>
      <c r="K6" s="1" t="s">
        <v>43</v>
      </c>
      <c r="L6" s="1" t="s">
        <v>44</v>
      </c>
      <c r="M6" s="4" t="str">
        <f t="shared" si="0"/>
        <v>Outstanding</v>
      </c>
      <c r="N6" s="13" t="s">
        <v>21</v>
      </c>
    </row>
    <row r="7" spans="1:14" ht="60" customHeight="1" x14ac:dyDescent="0.35">
      <c r="A7" s="11" t="s">
        <v>45</v>
      </c>
      <c r="B7" s="1" t="s">
        <v>46</v>
      </c>
      <c r="C7" s="2" t="s">
        <v>16</v>
      </c>
      <c r="D7" s="3" t="s">
        <v>17</v>
      </c>
      <c r="E7" s="4" t="s">
        <v>18</v>
      </c>
      <c r="F7" s="4" t="s">
        <v>19</v>
      </c>
      <c r="G7" s="4" t="s">
        <v>20</v>
      </c>
      <c r="H7" s="4" t="s">
        <v>21</v>
      </c>
      <c r="I7" s="5" t="s">
        <v>21</v>
      </c>
      <c r="J7" s="1" t="s">
        <v>47</v>
      </c>
      <c r="K7" s="1" t="s">
        <v>38</v>
      </c>
      <c r="L7" s="1" t="s">
        <v>48</v>
      </c>
      <c r="M7" s="4" t="str">
        <f t="shared" si="0"/>
        <v>Outstanding</v>
      </c>
      <c r="N7" s="13" t="s">
        <v>21</v>
      </c>
    </row>
    <row r="8" spans="1:14" ht="60" customHeight="1" x14ac:dyDescent="0.35">
      <c r="A8" s="11" t="s">
        <v>49</v>
      </c>
      <c r="B8" s="1" t="s">
        <v>50</v>
      </c>
      <c r="C8" s="2" t="s">
        <v>51</v>
      </c>
      <c r="D8" s="3" t="s">
        <v>17</v>
      </c>
      <c r="E8" s="4" t="s">
        <v>18</v>
      </c>
      <c r="F8" s="4" t="s">
        <v>19</v>
      </c>
      <c r="G8" s="4" t="s">
        <v>20</v>
      </c>
      <c r="H8" s="4" t="s">
        <v>21</v>
      </c>
      <c r="I8" s="5" t="s">
        <v>21</v>
      </c>
      <c r="J8" s="1" t="s">
        <v>52</v>
      </c>
      <c r="K8" s="1" t="s">
        <v>53</v>
      </c>
      <c r="L8" s="1" t="s">
        <v>54</v>
      </c>
      <c r="M8" s="4" t="str">
        <f t="shared" si="0"/>
        <v>Outstanding</v>
      </c>
      <c r="N8" s="13" t="s">
        <v>21</v>
      </c>
    </row>
    <row r="9" spans="1:14" ht="60" customHeight="1" x14ac:dyDescent="0.35">
      <c r="A9" s="11" t="s">
        <v>55</v>
      </c>
      <c r="B9" s="1" t="s">
        <v>56</v>
      </c>
      <c r="C9" s="2" t="s">
        <v>57</v>
      </c>
      <c r="D9" s="3" t="s">
        <v>17</v>
      </c>
      <c r="E9" s="4" t="s">
        <v>18</v>
      </c>
      <c r="F9" s="4" t="s">
        <v>19</v>
      </c>
      <c r="G9" s="4" t="s">
        <v>20</v>
      </c>
      <c r="H9" s="4" t="s">
        <v>21</v>
      </c>
      <c r="I9" s="5" t="s">
        <v>21</v>
      </c>
      <c r="J9" s="1" t="s">
        <v>58</v>
      </c>
      <c r="K9" s="1" t="s">
        <v>59</v>
      </c>
      <c r="L9" s="1" t="s">
        <v>60</v>
      </c>
      <c r="M9" s="4" t="str">
        <f t="shared" si="0"/>
        <v>Outstanding</v>
      </c>
      <c r="N9" s="13" t="s">
        <v>21</v>
      </c>
    </row>
    <row r="10" spans="1:14" ht="60" customHeight="1" x14ac:dyDescent="0.35">
      <c r="A10" s="11" t="s">
        <v>61</v>
      </c>
      <c r="B10" s="1" t="s">
        <v>62</v>
      </c>
      <c r="C10" s="2" t="s">
        <v>51</v>
      </c>
      <c r="D10" s="3" t="s">
        <v>17</v>
      </c>
      <c r="E10" s="4" t="s">
        <v>18</v>
      </c>
      <c r="F10" s="4" t="s">
        <v>19</v>
      </c>
      <c r="G10" s="4" t="s">
        <v>20</v>
      </c>
      <c r="H10" s="4" t="s">
        <v>21</v>
      </c>
      <c r="I10" s="5" t="s">
        <v>21</v>
      </c>
      <c r="J10" s="1" t="s">
        <v>63</v>
      </c>
      <c r="K10" s="1" t="s">
        <v>64</v>
      </c>
      <c r="L10" s="1" t="s">
        <v>65</v>
      </c>
      <c r="M10" s="4" t="str">
        <f t="shared" si="0"/>
        <v>Outstanding</v>
      </c>
      <c r="N10" s="13" t="s">
        <v>21</v>
      </c>
    </row>
    <row r="11" spans="1:14" ht="60" customHeight="1" x14ac:dyDescent="0.35">
      <c r="A11" s="11" t="s">
        <v>66</v>
      </c>
      <c r="B11" s="1" t="s">
        <v>67</v>
      </c>
      <c r="C11" s="2" t="s">
        <v>51</v>
      </c>
      <c r="D11" s="3" t="s">
        <v>17</v>
      </c>
      <c r="E11" s="4" t="s">
        <v>18</v>
      </c>
      <c r="F11" s="4" t="s">
        <v>19</v>
      </c>
      <c r="G11" s="4" t="s">
        <v>20</v>
      </c>
      <c r="H11" s="4" t="s">
        <v>21</v>
      </c>
      <c r="I11" s="5" t="s">
        <v>21</v>
      </c>
      <c r="J11" s="1" t="s">
        <v>68</v>
      </c>
      <c r="K11" s="1" t="s">
        <v>69</v>
      </c>
      <c r="L11" s="1" t="s">
        <v>70</v>
      </c>
      <c r="M11" s="4" t="str">
        <f t="shared" si="0"/>
        <v>Outstanding</v>
      </c>
      <c r="N11" s="13" t="s">
        <v>21</v>
      </c>
    </row>
    <row r="12" spans="1:14" ht="60" customHeight="1" x14ac:dyDescent="0.35">
      <c r="A12" s="11" t="s">
        <v>71</v>
      </c>
      <c r="B12" s="1" t="s">
        <v>72</v>
      </c>
      <c r="C12" s="2" t="s">
        <v>51</v>
      </c>
      <c r="D12" s="3" t="s">
        <v>17</v>
      </c>
      <c r="E12" s="4" t="s">
        <v>18</v>
      </c>
      <c r="F12" s="4" t="s">
        <v>19</v>
      </c>
      <c r="G12" s="4" t="s">
        <v>20</v>
      </c>
      <c r="H12" s="4" t="s">
        <v>21</v>
      </c>
      <c r="I12" s="5" t="s">
        <v>21</v>
      </c>
      <c r="J12" s="1" t="s">
        <v>73</v>
      </c>
      <c r="K12" s="1" t="s">
        <v>74</v>
      </c>
      <c r="L12" s="1" t="s">
        <v>60</v>
      </c>
      <c r="M12" s="4" t="str">
        <f t="shared" si="0"/>
        <v>Outstanding</v>
      </c>
      <c r="N12" s="13" t="s">
        <v>21</v>
      </c>
    </row>
    <row r="13" spans="1:14" ht="60" customHeight="1" x14ac:dyDescent="0.35">
      <c r="A13" s="11" t="s">
        <v>75</v>
      </c>
      <c r="B13" s="1" t="s">
        <v>76</v>
      </c>
      <c r="C13" s="2" t="s">
        <v>51</v>
      </c>
      <c r="D13" s="3" t="s">
        <v>17</v>
      </c>
      <c r="E13" s="4" t="s">
        <v>18</v>
      </c>
      <c r="F13" s="4" t="s">
        <v>19</v>
      </c>
      <c r="G13" s="4" t="s">
        <v>20</v>
      </c>
      <c r="H13" s="4" t="s">
        <v>21</v>
      </c>
      <c r="I13" s="5" t="s">
        <v>21</v>
      </c>
      <c r="J13" s="1" t="s">
        <v>77</v>
      </c>
      <c r="K13" s="1" t="s">
        <v>78</v>
      </c>
      <c r="L13" s="1" t="s">
        <v>79</v>
      </c>
      <c r="M13" s="4" t="str">
        <f t="shared" si="0"/>
        <v>Outstanding</v>
      </c>
      <c r="N13" s="13" t="s">
        <v>21</v>
      </c>
    </row>
    <row r="14" spans="1:14" ht="60" customHeight="1" x14ac:dyDescent="0.35">
      <c r="A14" s="11" t="s">
        <v>80</v>
      </c>
      <c r="B14" s="1" t="s">
        <v>81</v>
      </c>
      <c r="C14" s="2" t="s">
        <v>51</v>
      </c>
      <c r="D14" s="3" t="s">
        <v>17</v>
      </c>
      <c r="E14" s="4" t="s">
        <v>18</v>
      </c>
      <c r="F14" s="4" t="s">
        <v>19</v>
      </c>
      <c r="G14" s="4" t="s">
        <v>20</v>
      </c>
      <c r="H14" s="4" t="s">
        <v>21</v>
      </c>
      <c r="I14" s="5" t="s">
        <v>21</v>
      </c>
      <c r="J14" s="1" t="s">
        <v>82</v>
      </c>
      <c r="K14" s="1" t="s">
        <v>83</v>
      </c>
      <c r="L14" s="1" t="s">
        <v>84</v>
      </c>
      <c r="M14" s="4" t="str">
        <f t="shared" si="0"/>
        <v>Outstanding</v>
      </c>
      <c r="N14" s="13" t="s">
        <v>21</v>
      </c>
    </row>
    <row r="15" spans="1:14" ht="60" customHeight="1" x14ac:dyDescent="0.35">
      <c r="A15" s="11" t="s">
        <v>85</v>
      </c>
      <c r="B15" s="1" t="s">
        <v>86</v>
      </c>
      <c r="C15" s="2" t="s">
        <v>51</v>
      </c>
      <c r="D15" s="3" t="s">
        <v>17</v>
      </c>
      <c r="E15" s="4" t="s">
        <v>18</v>
      </c>
      <c r="F15" s="4" t="s">
        <v>19</v>
      </c>
      <c r="G15" s="4" t="s">
        <v>20</v>
      </c>
      <c r="H15" s="4" t="s">
        <v>21</v>
      </c>
      <c r="I15" s="5" t="s">
        <v>21</v>
      </c>
      <c r="J15" s="1" t="s">
        <v>87</v>
      </c>
      <c r="K15" s="1" t="s">
        <v>88</v>
      </c>
      <c r="L15" s="1" t="s">
        <v>89</v>
      </c>
      <c r="M15" s="4" t="str">
        <f t="shared" si="0"/>
        <v>Outstanding</v>
      </c>
      <c r="N15" s="13" t="s">
        <v>21</v>
      </c>
    </row>
    <row r="16" spans="1:14" ht="60" customHeight="1" x14ac:dyDescent="0.35">
      <c r="A16" s="11" t="s">
        <v>90</v>
      </c>
      <c r="B16" s="1" t="s">
        <v>91</v>
      </c>
      <c r="C16" s="2" t="s">
        <v>51</v>
      </c>
      <c r="D16" s="3" t="s">
        <v>17</v>
      </c>
      <c r="E16" s="4" t="s">
        <v>18</v>
      </c>
      <c r="F16" s="4" t="s">
        <v>19</v>
      </c>
      <c r="G16" s="4" t="s">
        <v>20</v>
      </c>
      <c r="H16" s="4" t="s">
        <v>21</v>
      </c>
      <c r="I16" s="5" t="s">
        <v>21</v>
      </c>
      <c r="J16" s="1" t="s">
        <v>92</v>
      </c>
      <c r="K16" s="1" t="s">
        <v>93</v>
      </c>
      <c r="L16" s="1" t="s">
        <v>94</v>
      </c>
      <c r="M16" s="4" t="str">
        <f t="shared" si="0"/>
        <v>Outstanding</v>
      </c>
      <c r="N16" s="13" t="s">
        <v>21</v>
      </c>
    </row>
    <row r="17" spans="1:14" ht="60" customHeight="1" x14ac:dyDescent="0.35">
      <c r="A17" s="11" t="s">
        <v>95</v>
      </c>
      <c r="B17" s="1" t="s">
        <v>96</v>
      </c>
      <c r="C17" s="2" t="s">
        <v>51</v>
      </c>
      <c r="D17" s="3" t="s">
        <v>17</v>
      </c>
      <c r="E17" s="4" t="s">
        <v>18</v>
      </c>
      <c r="F17" s="4" t="s">
        <v>19</v>
      </c>
      <c r="G17" s="4" t="s">
        <v>20</v>
      </c>
      <c r="H17" s="4" t="s">
        <v>21</v>
      </c>
      <c r="I17" s="5" t="s">
        <v>21</v>
      </c>
      <c r="J17" s="1" t="s">
        <v>97</v>
      </c>
      <c r="K17" s="1" t="s">
        <v>98</v>
      </c>
      <c r="L17" s="1" t="s">
        <v>99</v>
      </c>
      <c r="M17" s="4" t="str">
        <f t="shared" si="0"/>
        <v>Outstanding</v>
      </c>
      <c r="N17" s="13" t="s">
        <v>21</v>
      </c>
    </row>
    <row r="18" spans="1:14" ht="60" customHeight="1" x14ac:dyDescent="0.35">
      <c r="A18" s="11" t="s">
        <v>100</v>
      </c>
      <c r="B18" s="1" t="s">
        <v>101</v>
      </c>
      <c r="C18" s="2" t="s">
        <v>51</v>
      </c>
      <c r="D18" s="3" t="s">
        <v>17</v>
      </c>
      <c r="E18" s="4" t="s">
        <v>18</v>
      </c>
      <c r="F18" s="4" t="s">
        <v>19</v>
      </c>
      <c r="G18" s="4" t="s">
        <v>20</v>
      </c>
      <c r="H18" s="4" t="s">
        <v>21</v>
      </c>
      <c r="I18" s="5" t="s">
        <v>21</v>
      </c>
      <c r="J18" s="1" t="s">
        <v>102</v>
      </c>
      <c r="K18" s="1" t="s">
        <v>103</v>
      </c>
      <c r="L18" s="1" t="s">
        <v>104</v>
      </c>
      <c r="M18" s="4" t="str">
        <f t="shared" si="0"/>
        <v>Outstanding</v>
      </c>
      <c r="N18" s="13" t="s">
        <v>21</v>
      </c>
    </row>
    <row r="19" spans="1:14" ht="60" customHeight="1" x14ac:dyDescent="0.35">
      <c r="A19" s="11" t="s">
        <v>105</v>
      </c>
      <c r="B19" s="1" t="s">
        <v>106</v>
      </c>
      <c r="C19" s="2" t="s">
        <v>51</v>
      </c>
      <c r="D19" s="3" t="s">
        <v>17</v>
      </c>
      <c r="E19" s="4" t="s">
        <v>18</v>
      </c>
      <c r="F19" s="4" t="s">
        <v>19</v>
      </c>
      <c r="G19" s="4" t="s">
        <v>20</v>
      </c>
      <c r="H19" s="4" t="s">
        <v>21</v>
      </c>
      <c r="I19" s="5" t="s">
        <v>21</v>
      </c>
      <c r="J19" s="1" t="s">
        <v>107</v>
      </c>
      <c r="K19" s="1" t="s">
        <v>108</v>
      </c>
      <c r="L19" s="1" t="s">
        <v>109</v>
      </c>
      <c r="M19" s="4" t="str">
        <f t="shared" si="0"/>
        <v>Outstanding</v>
      </c>
      <c r="N19" s="13" t="s">
        <v>21</v>
      </c>
    </row>
    <row r="20" spans="1:14" ht="60" customHeight="1" x14ac:dyDescent="0.35">
      <c r="A20" s="11" t="s">
        <v>110</v>
      </c>
      <c r="B20" s="1" t="s">
        <v>111</v>
      </c>
      <c r="C20" s="2" t="s">
        <v>51</v>
      </c>
      <c r="D20" s="3" t="s">
        <v>17</v>
      </c>
      <c r="E20" s="4" t="s">
        <v>18</v>
      </c>
      <c r="F20" s="4" t="s">
        <v>19</v>
      </c>
      <c r="G20" s="4" t="s">
        <v>20</v>
      </c>
      <c r="H20" s="4" t="s">
        <v>21</v>
      </c>
      <c r="I20" s="5" t="s">
        <v>21</v>
      </c>
      <c r="J20" s="1" t="s">
        <v>107</v>
      </c>
      <c r="K20" s="1" t="s">
        <v>112</v>
      </c>
      <c r="L20" s="1" t="s">
        <v>109</v>
      </c>
      <c r="M20" s="4" t="str">
        <f t="shared" si="0"/>
        <v>Outstanding</v>
      </c>
      <c r="N20" s="13" t="s">
        <v>21</v>
      </c>
    </row>
    <row r="21" spans="1:14" ht="60" customHeight="1" x14ac:dyDescent="0.35">
      <c r="A21" s="11" t="s">
        <v>113</v>
      </c>
      <c r="B21" s="1" t="s">
        <v>114</v>
      </c>
      <c r="C21" s="2" t="s">
        <v>51</v>
      </c>
      <c r="D21" s="3" t="s">
        <v>17</v>
      </c>
      <c r="E21" s="4" t="s">
        <v>18</v>
      </c>
      <c r="F21" s="4" t="s">
        <v>19</v>
      </c>
      <c r="G21" s="4" t="s">
        <v>20</v>
      </c>
      <c r="H21" s="4" t="s">
        <v>21</v>
      </c>
      <c r="I21" s="5" t="s">
        <v>21</v>
      </c>
      <c r="J21" s="1" t="s">
        <v>115</v>
      </c>
      <c r="K21" s="1" t="s">
        <v>116</v>
      </c>
      <c r="L21" s="1" t="s">
        <v>117</v>
      </c>
      <c r="M21" s="4" t="str">
        <f t="shared" si="0"/>
        <v>Outstanding</v>
      </c>
      <c r="N21" s="13" t="s">
        <v>21</v>
      </c>
    </row>
    <row r="22" spans="1:14" ht="60" customHeight="1" x14ac:dyDescent="0.35">
      <c r="A22" s="11" t="s">
        <v>118</v>
      </c>
      <c r="B22" s="1" t="s">
        <v>119</v>
      </c>
      <c r="C22" s="2" t="s">
        <v>51</v>
      </c>
      <c r="D22" s="3" t="s">
        <v>17</v>
      </c>
      <c r="E22" s="4" t="s">
        <v>18</v>
      </c>
      <c r="F22" s="4" t="s">
        <v>19</v>
      </c>
      <c r="G22" s="4" t="s">
        <v>20</v>
      </c>
      <c r="H22" s="4" t="s">
        <v>21</v>
      </c>
      <c r="I22" s="5" t="s">
        <v>21</v>
      </c>
      <c r="J22" s="1" t="s">
        <v>120</v>
      </c>
      <c r="K22" s="1" t="s">
        <v>121</v>
      </c>
      <c r="L22" s="1" t="s">
        <v>122</v>
      </c>
      <c r="M22" s="4" t="str">
        <f t="shared" si="0"/>
        <v>Outstanding</v>
      </c>
      <c r="N22" s="13" t="s">
        <v>21</v>
      </c>
    </row>
    <row r="23" spans="1:14" ht="60" customHeight="1" x14ac:dyDescent="0.35">
      <c r="A23" s="11" t="s">
        <v>123</v>
      </c>
      <c r="B23" s="1" t="s">
        <v>124</v>
      </c>
      <c r="C23" s="2" t="s">
        <v>51</v>
      </c>
      <c r="D23" s="3" t="s">
        <v>17</v>
      </c>
      <c r="E23" s="4" t="s">
        <v>18</v>
      </c>
      <c r="F23" s="4" t="s">
        <v>19</v>
      </c>
      <c r="G23" s="4" t="s">
        <v>20</v>
      </c>
      <c r="H23" s="4" t="s">
        <v>21</v>
      </c>
      <c r="I23" s="5" t="s">
        <v>21</v>
      </c>
      <c r="J23" s="1" t="s">
        <v>125</v>
      </c>
      <c r="K23" s="1" t="s">
        <v>126</v>
      </c>
      <c r="L23" s="1" t="s">
        <v>127</v>
      </c>
      <c r="M23" s="4" t="str">
        <f t="shared" si="0"/>
        <v>Outstanding</v>
      </c>
      <c r="N23" s="13" t="s">
        <v>21</v>
      </c>
    </row>
    <row r="24" spans="1:14" ht="60" customHeight="1" x14ac:dyDescent="0.35">
      <c r="A24" s="11" t="s">
        <v>128</v>
      </c>
      <c r="B24" s="1" t="s">
        <v>129</v>
      </c>
      <c r="C24" s="2" t="s">
        <v>51</v>
      </c>
      <c r="D24" s="3" t="s">
        <v>17</v>
      </c>
      <c r="E24" s="4" t="s">
        <v>18</v>
      </c>
      <c r="F24" s="4" t="s">
        <v>19</v>
      </c>
      <c r="G24" s="4" t="s">
        <v>20</v>
      </c>
      <c r="H24" s="4" t="s">
        <v>21</v>
      </c>
      <c r="I24" s="5" t="s">
        <v>21</v>
      </c>
      <c r="J24" s="1" t="s">
        <v>130</v>
      </c>
      <c r="K24" s="1" t="s">
        <v>131</v>
      </c>
      <c r="L24" s="1" t="s">
        <v>132</v>
      </c>
      <c r="M24" s="4" t="str">
        <f t="shared" si="0"/>
        <v>Outstanding</v>
      </c>
      <c r="N24" s="13" t="s">
        <v>21</v>
      </c>
    </row>
    <row r="25" spans="1:14" ht="60" customHeight="1" x14ac:dyDescent="0.35">
      <c r="A25" s="11" t="s">
        <v>133</v>
      </c>
      <c r="B25" s="1" t="s">
        <v>134</v>
      </c>
      <c r="C25" s="2" t="s">
        <v>51</v>
      </c>
      <c r="D25" s="3" t="s">
        <v>17</v>
      </c>
      <c r="E25" s="4" t="s">
        <v>18</v>
      </c>
      <c r="F25" s="4" t="s">
        <v>19</v>
      </c>
      <c r="G25" s="4" t="s">
        <v>20</v>
      </c>
      <c r="H25" s="4" t="s">
        <v>21</v>
      </c>
      <c r="I25" s="5" t="s">
        <v>21</v>
      </c>
      <c r="J25" s="1" t="s">
        <v>135</v>
      </c>
      <c r="K25" s="1" t="s">
        <v>136</v>
      </c>
      <c r="L25" s="1" t="s">
        <v>29</v>
      </c>
      <c r="M25" s="4" t="str">
        <f t="shared" si="0"/>
        <v>Outstanding</v>
      </c>
      <c r="N25" s="13" t="s">
        <v>21</v>
      </c>
    </row>
    <row r="26" spans="1:14" ht="60" customHeight="1" x14ac:dyDescent="0.35">
      <c r="A26" s="11" t="s">
        <v>137</v>
      </c>
      <c r="B26" s="1" t="s">
        <v>138</v>
      </c>
      <c r="C26" s="2" t="s">
        <v>51</v>
      </c>
      <c r="D26" s="3" t="s">
        <v>17</v>
      </c>
      <c r="E26" s="4" t="s">
        <v>18</v>
      </c>
      <c r="F26" s="4" t="s">
        <v>19</v>
      </c>
      <c r="G26" s="4" t="s">
        <v>20</v>
      </c>
      <c r="H26" s="4" t="s">
        <v>21</v>
      </c>
      <c r="I26" s="5" t="s">
        <v>21</v>
      </c>
      <c r="J26" s="1" t="s">
        <v>139</v>
      </c>
      <c r="K26" s="1" t="s">
        <v>140</v>
      </c>
      <c r="L26" s="1" t="s">
        <v>141</v>
      </c>
      <c r="M26" s="4" t="str">
        <f t="shared" si="0"/>
        <v>Outstanding</v>
      </c>
      <c r="N26" s="13" t="s">
        <v>21</v>
      </c>
    </row>
    <row r="27" spans="1:14" ht="60" customHeight="1" x14ac:dyDescent="0.35">
      <c r="A27" s="11" t="s">
        <v>142</v>
      </c>
      <c r="B27" s="1" t="s">
        <v>143</v>
      </c>
      <c r="C27" s="2" t="s">
        <v>51</v>
      </c>
      <c r="D27" s="3" t="s">
        <v>17</v>
      </c>
      <c r="E27" s="4" t="s">
        <v>18</v>
      </c>
      <c r="F27" s="4" t="s">
        <v>19</v>
      </c>
      <c r="G27" s="4" t="s">
        <v>20</v>
      </c>
      <c r="H27" s="4" t="s">
        <v>21</v>
      </c>
      <c r="I27" s="5" t="s">
        <v>21</v>
      </c>
      <c r="J27" s="1" t="s">
        <v>144</v>
      </c>
      <c r="K27" s="1" t="s">
        <v>145</v>
      </c>
      <c r="L27" s="1" t="s">
        <v>146</v>
      </c>
      <c r="M27" s="4" t="str">
        <f t="shared" si="0"/>
        <v>Outstanding</v>
      </c>
      <c r="N27" s="13" t="s">
        <v>21</v>
      </c>
    </row>
    <row r="28" spans="1:14" ht="60" customHeight="1" x14ac:dyDescent="0.35">
      <c r="A28" s="11" t="s">
        <v>147</v>
      </c>
      <c r="B28" s="1" t="s">
        <v>148</v>
      </c>
      <c r="C28" s="2" t="s">
        <v>51</v>
      </c>
      <c r="D28" s="3" t="s">
        <v>17</v>
      </c>
      <c r="E28" s="4" t="s">
        <v>18</v>
      </c>
      <c r="F28" s="4" t="s">
        <v>19</v>
      </c>
      <c r="G28" s="4" t="s">
        <v>20</v>
      </c>
      <c r="H28" s="4" t="s">
        <v>21</v>
      </c>
      <c r="I28" s="5" t="s">
        <v>21</v>
      </c>
      <c r="J28" s="1" t="s">
        <v>149</v>
      </c>
      <c r="K28" s="1" t="s">
        <v>150</v>
      </c>
      <c r="L28" s="1" t="s">
        <v>151</v>
      </c>
      <c r="M28" s="4" t="str">
        <f t="shared" si="0"/>
        <v>Outstanding</v>
      </c>
      <c r="N28" s="13" t="s">
        <v>21</v>
      </c>
    </row>
    <row r="29" spans="1:14" ht="60" customHeight="1" x14ac:dyDescent="0.35">
      <c r="A29" s="11" t="s">
        <v>152</v>
      </c>
      <c r="B29" s="1" t="s">
        <v>153</v>
      </c>
      <c r="C29" s="2" t="s">
        <v>51</v>
      </c>
      <c r="D29" s="3" t="s">
        <v>17</v>
      </c>
      <c r="E29" s="4" t="s">
        <v>18</v>
      </c>
      <c r="F29" s="4" t="s">
        <v>19</v>
      </c>
      <c r="G29" s="4" t="s">
        <v>20</v>
      </c>
      <c r="H29" s="4" t="s">
        <v>21</v>
      </c>
      <c r="I29" s="5" t="s">
        <v>21</v>
      </c>
      <c r="J29" s="1" t="s">
        <v>154</v>
      </c>
      <c r="K29" s="1" t="s">
        <v>155</v>
      </c>
      <c r="L29" s="1" t="s">
        <v>156</v>
      </c>
      <c r="M29" s="4" t="str">
        <f t="shared" si="0"/>
        <v>Outstanding</v>
      </c>
      <c r="N29" s="13" t="s">
        <v>21</v>
      </c>
    </row>
    <row r="30" spans="1:14" ht="60" customHeight="1" x14ac:dyDescent="0.35">
      <c r="A30" s="11" t="s">
        <v>157</v>
      </c>
      <c r="B30" s="1" t="s">
        <v>158</v>
      </c>
      <c r="C30" s="2" t="s">
        <v>16</v>
      </c>
      <c r="D30" s="3" t="s">
        <v>17</v>
      </c>
      <c r="E30" s="4" t="s">
        <v>18</v>
      </c>
      <c r="F30" s="4" t="s">
        <v>19</v>
      </c>
      <c r="G30" s="4" t="s">
        <v>20</v>
      </c>
      <c r="H30" s="4" t="s">
        <v>21</v>
      </c>
      <c r="I30" s="5" t="s">
        <v>21</v>
      </c>
      <c r="J30" s="1" t="s">
        <v>159</v>
      </c>
      <c r="K30" s="1" t="s">
        <v>160</v>
      </c>
      <c r="L30" s="1" t="s">
        <v>161</v>
      </c>
      <c r="M30" s="4" t="str">
        <f t="shared" si="0"/>
        <v>Outstanding</v>
      </c>
      <c r="N30" s="13" t="s">
        <v>21</v>
      </c>
    </row>
    <row r="31" spans="1:14" ht="60" customHeight="1" x14ac:dyDescent="0.35">
      <c r="A31" s="11" t="s">
        <v>162</v>
      </c>
      <c r="B31" s="1" t="s">
        <v>163</v>
      </c>
      <c r="C31" s="2" t="s">
        <v>16</v>
      </c>
      <c r="D31" s="3" t="s">
        <v>17</v>
      </c>
      <c r="E31" s="4" t="s">
        <v>18</v>
      </c>
      <c r="F31" s="4" t="s">
        <v>19</v>
      </c>
      <c r="G31" s="4" t="s">
        <v>20</v>
      </c>
      <c r="H31" s="4" t="s">
        <v>21</v>
      </c>
      <c r="I31" s="5" t="s">
        <v>21</v>
      </c>
      <c r="J31" s="1" t="s">
        <v>164</v>
      </c>
      <c r="K31" s="1" t="s">
        <v>165</v>
      </c>
      <c r="L31" s="1" t="s">
        <v>166</v>
      </c>
      <c r="M31" s="4" t="str">
        <f t="shared" si="0"/>
        <v>Outstanding</v>
      </c>
      <c r="N31" s="13" t="s">
        <v>21</v>
      </c>
    </row>
    <row r="32" spans="1:14" ht="60" customHeight="1" x14ac:dyDescent="0.35">
      <c r="A32" s="11" t="s">
        <v>167</v>
      </c>
      <c r="B32" s="1" t="s">
        <v>168</v>
      </c>
      <c r="C32" s="2" t="s">
        <v>57</v>
      </c>
      <c r="D32" s="3" t="s">
        <v>169</v>
      </c>
      <c r="E32" s="4" t="s">
        <v>18</v>
      </c>
      <c r="F32" s="4" t="s">
        <v>19</v>
      </c>
      <c r="G32" s="4" t="s">
        <v>20</v>
      </c>
      <c r="H32" s="4" t="s">
        <v>21</v>
      </c>
      <c r="I32" s="5" t="s">
        <v>21</v>
      </c>
      <c r="J32" s="1" t="s">
        <v>170</v>
      </c>
      <c r="K32" s="1" t="s">
        <v>171</v>
      </c>
      <c r="L32" s="1" t="s">
        <v>172</v>
      </c>
      <c r="M32" s="4" t="str">
        <f t="shared" si="0"/>
        <v>Outstanding</v>
      </c>
      <c r="N32" s="13" t="s">
        <v>21</v>
      </c>
    </row>
    <row r="33" spans="1:14" ht="60" customHeight="1" x14ac:dyDescent="0.35">
      <c r="A33" s="11" t="s">
        <v>173</v>
      </c>
      <c r="B33" s="1" t="s">
        <v>174</v>
      </c>
      <c r="C33" s="2" t="s">
        <v>51</v>
      </c>
      <c r="D33" s="3" t="s">
        <v>169</v>
      </c>
      <c r="E33" s="4" t="s">
        <v>18</v>
      </c>
      <c r="F33" s="4" t="s">
        <v>19</v>
      </c>
      <c r="G33" s="4" t="s">
        <v>20</v>
      </c>
      <c r="H33" s="4" t="s">
        <v>21</v>
      </c>
      <c r="I33" s="5" t="s">
        <v>21</v>
      </c>
      <c r="J33" s="1" t="s">
        <v>175</v>
      </c>
      <c r="K33" s="1" t="s">
        <v>176</v>
      </c>
      <c r="L33" s="1" t="s">
        <v>177</v>
      </c>
      <c r="M33" s="4" t="str">
        <f t="shared" si="0"/>
        <v>Outstanding</v>
      </c>
      <c r="N33" s="13" t="s">
        <v>21</v>
      </c>
    </row>
    <row r="34" spans="1:14" ht="60" customHeight="1" x14ac:dyDescent="0.35">
      <c r="A34" s="11" t="s">
        <v>178</v>
      </c>
      <c r="B34" s="1" t="s">
        <v>179</v>
      </c>
      <c r="C34" s="2" t="s">
        <v>51</v>
      </c>
      <c r="D34" s="3" t="s">
        <v>169</v>
      </c>
      <c r="E34" s="4" t="s">
        <v>18</v>
      </c>
      <c r="F34" s="4" t="s">
        <v>19</v>
      </c>
      <c r="G34" s="4" t="s">
        <v>20</v>
      </c>
      <c r="H34" s="4" t="s">
        <v>21</v>
      </c>
      <c r="I34" s="5" t="s">
        <v>21</v>
      </c>
      <c r="J34" s="1" t="s">
        <v>180</v>
      </c>
      <c r="K34" s="1" t="s">
        <v>181</v>
      </c>
      <c r="L34" s="1" t="s">
        <v>182</v>
      </c>
      <c r="M34" s="4" t="str">
        <f t="shared" si="0"/>
        <v>Outstanding</v>
      </c>
      <c r="N34" s="13" t="s">
        <v>21</v>
      </c>
    </row>
    <row r="35" spans="1:14" ht="60" customHeight="1" x14ac:dyDescent="0.35">
      <c r="A35" s="11" t="s">
        <v>183</v>
      </c>
      <c r="B35" s="1" t="s">
        <v>184</v>
      </c>
      <c r="C35" s="2" t="s">
        <v>51</v>
      </c>
      <c r="D35" s="3" t="s">
        <v>169</v>
      </c>
      <c r="E35" s="4" t="s">
        <v>18</v>
      </c>
      <c r="F35" s="4" t="s">
        <v>19</v>
      </c>
      <c r="G35" s="4" t="s">
        <v>20</v>
      </c>
      <c r="H35" s="4" t="s">
        <v>21</v>
      </c>
      <c r="I35" s="5" t="s">
        <v>21</v>
      </c>
      <c r="J35" s="1" t="s">
        <v>180</v>
      </c>
      <c r="K35" s="1" t="s">
        <v>185</v>
      </c>
      <c r="L35" s="1" t="s">
        <v>182</v>
      </c>
      <c r="M35" s="4" t="str">
        <f t="shared" si="0"/>
        <v>Outstanding</v>
      </c>
      <c r="N35" s="13" t="s">
        <v>21</v>
      </c>
    </row>
    <row r="36" spans="1:14" ht="60" customHeight="1" x14ac:dyDescent="0.35">
      <c r="A36" s="11" t="s">
        <v>186</v>
      </c>
      <c r="B36" s="1" t="s">
        <v>187</v>
      </c>
      <c r="C36" s="2" t="s">
        <v>51</v>
      </c>
      <c r="D36" s="3" t="s">
        <v>169</v>
      </c>
      <c r="E36" s="4" t="s">
        <v>18</v>
      </c>
      <c r="F36" s="4" t="s">
        <v>19</v>
      </c>
      <c r="G36" s="4" t="s">
        <v>20</v>
      </c>
      <c r="H36" s="4" t="s">
        <v>21</v>
      </c>
      <c r="I36" s="5" t="s">
        <v>21</v>
      </c>
      <c r="J36" s="1" t="s">
        <v>180</v>
      </c>
      <c r="K36" s="1" t="s">
        <v>188</v>
      </c>
      <c r="L36" s="1" t="s">
        <v>182</v>
      </c>
      <c r="M36" s="4" t="str">
        <f t="shared" si="0"/>
        <v>Outstanding</v>
      </c>
      <c r="N36" s="13" t="s">
        <v>21</v>
      </c>
    </row>
    <row r="37" spans="1:14" ht="60" customHeight="1" x14ac:dyDescent="0.35">
      <c r="A37" s="11" t="s">
        <v>189</v>
      </c>
      <c r="B37" s="1" t="s">
        <v>190</v>
      </c>
      <c r="C37" s="2" t="s">
        <v>51</v>
      </c>
      <c r="D37" s="3" t="s">
        <v>169</v>
      </c>
      <c r="E37" s="4" t="s">
        <v>18</v>
      </c>
      <c r="F37" s="4" t="s">
        <v>19</v>
      </c>
      <c r="G37" s="4" t="s">
        <v>20</v>
      </c>
      <c r="H37" s="4" t="s">
        <v>21</v>
      </c>
      <c r="I37" s="5" t="s">
        <v>21</v>
      </c>
      <c r="J37" s="1" t="s">
        <v>180</v>
      </c>
      <c r="K37" s="1" t="s">
        <v>191</v>
      </c>
      <c r="L37" s="1" t="s">
        <v>182</v>
      </c>
      <c r="M37" s="4" t="str">
        <f t="shared" si="0"/>
        <v>Outstanding</v>
      </c>
      <c r="N37" s="13" t="s">
        <v>21</v>
      </c>
    </row>
    <row r="38" spans="1:14" ht="60" customHeight="1" x14ac:dyDescent="0.35">
      <c r="A38" s="11" t="s">
        <v>192</v>
      </c>
      <c r="B38" s="1" t="s">
        <v>193</v>
      </c>
      <c r="C38" s="2" t="s">
        <v>57</v>
      </c>
      <c r="D38" s="3" t="s">
        <v>169</v>
      </c>
      <c r="E38" s="4" t="s">
        <v>18</v>
      </c>
      <c r="F38" s="4" t="s">
        <v>19</v>
      </c>
      <c r="G38" s="4" t="s">
        <v>20</v>
      </c>
      <c r="H38" s="4" t="s">
        <v>21</v>
      </c>
      <c r="I38" s="5" t="s">
        <v>21</v>
      </c>
      <c r="J38" s="1" t="s">
        <v>180</v>
      </c>
      <c r="K38" s="1" t="s">
        <v>194</v>
      </c>
      <c r="L38" s="1" t="s">
        <v>182</v>
      </c>
      <c r="M38" s="4" t="str">
        <f t="shared" si="0"/>
        <v>Outstanding</v>
      </c>
      <c r="N38" s="13" t="s">
        <v>21</v>
      </c>
    </row>
    <row r="39" spans="1:14" ht="60" customHeight="1" x14ac:dyDescent="0.35">
      <c r="A39" s="11" t="s">
        <v>195</v>
      </c>
      <c r="B39" s="1" t="s">
        <v>196</v>
      </c>
      <c r="C39" s="2" t="s">
        <v>51</v>
      </c>
      <c r="D39" s="3" t="s">
        <v>169</v>
      </c>
      <c r="E39" s="4" t="s">
        <v>18</v>
      </c>
      <c r="F39" s="4" t="s">
        <v>19</v>
      </c>
      <c r="G39" s="4" t="s">
        <v>20</v>
      </c>
      <c r="H39" s="4" t="s">
        <v>21</v>
      </c>
      <c r="I39" s="5" t="s">
        <v>21</v>
      </c>
      <c r="J39" s="1" t="s">
        <v>197</v>
      </c>
      <c r="K39" s="1" t="s">
        <v>198</v>
      </c>
      <c r="L39" s="1" t="s">
        <v>199</v>
      </c>
      <c r="M39" s="4" t="str">
        <f t="shared" si="0"/>
        <v>Outstanding</v>
      </c>
      <c r="N39" s="13" t="s">
        <v>21</v>
      </c>
    </row>
    <row r="40" spans="1:14" ht="60" customHeight="1" x14ac:dyDescent="0.35">
      <c r="A40" s="11" t="s">
        <v>200</v>
      </c>
      <c r="B40" s="1" t="s">
        <v>201</v>
      </c>
      <c r="C40" s="2" t="s">
        <v>16</v>
      </c>
      <c r="D40" s="3" t="s">
        <v>169</v>
      </c>
      <c r="E40" s="4" t="s">
        <v>18</v>
      </c>
      <c r="F40" s="4" t="s">
        <v>19</v>
      </c>
      <c r="G40" s="4" t="s">
        <v>20</v>
      </c>
      <c r="H40" s="4" t="s">
        <v>21</v>
      </c>
      <c r="I40" s="5" t="s">
        <v>21</v>
      </c>
      <c r="J40" s="1" t="s">
        <v>202</v>
      </c>
      <c r="K40" s="1" t="s">
        <v>203</v>
      </c>
      <c r="L40" s="1" t="s">
        <v>204</v>
      </c>
      <c r="M40" s="4" t="str">
        <f t="shared" si="0"/>
        <v>Outstanding</v>
      </c>
      <c r="N40" s="13" t="s">
        <v>21</v>
      </c>
    </row>
    <row r="41" spans="1:14" ht="60" customHeight="1" x14ac:dyDescent="0.35">
      <c r="A41" s="11" t="s">
        <v>205</v>
      </c>
      <c r="B41" s="1" t="s">
        <v>206</v>
      </c>
      <c r="C41" s="2" t="s">
        <v>51</v>
      </c>
      <c r="D41" s="3" t="s">
        <v>169</v>
      </c>
      <c r="E41" s="4" t="s">
        <v>18</v>
      </c>
      <c r="F41" s="4" t="s">
        <v>19</v>
      </c>
      <c r="G41" s="4" t="s">
        <v>20</v>
      </c>
      <c r="H41" s="4" t="s">
        <v>21</v>
      </c>
      <c r="I41" s="5" t="s">
        <v>21</v>
      </c>
      <c r="J41" s="1" t="s">
        <v>207</v>
      </c>
      <c r="K41" s="1" t="s">
        <v>208</v>
      </c>
      <c r="L41" s="1" t="s">
        <v>209</v>
      </c>
      <c r="M41" s="4" t="str">
        <f t="shared" si="0"/>
        <v>Outstanding</v>
      </c>
      <c r="N41" s="13" t="s">
        <v>21</v>
      </c>
    </row>
    <row r="42" spans="1:14" ht="60" customHeight="1" x14ac:dyDescent="0.35">
      <c r="A42" s="11" t="s">
        <v>210</v>
      </c>
      <c r="B42" s="1" t="s">
        <v>211</v>
      </c>
      <c r="C42" s="2" t="s">
        <v>51</v>
      </c>
      <c r="D42" s="3" t="s">
        <v>169</v>
      </c>
      <c r="E42" s="4" t="s">
        <v>18</v>
      </c>
      <c r="F42" s="4" t="s">
        <v>19</v>
      </c>
      <c r="G42" s="4" t="s">
        <v>20</v>
      </c>
      <c r="H42" s="4" t="s">
        <v>21</v>
      </c>
      <c r="I42" s="5" t="s">
        <v>21</v>
      </c>
      <c r="J42" s="1" t="s">
        <v>212</v>
      </c>
      <c r="K42" s="1" t="s">
        <v>213</v>
      </c>
      <c r="L42" s="1" t="s">
        <v>214</v>
      </c>
      <c r="M42" s="4" t="str">
        <f t="shared" si="0"/>
        <v>Outstanding</v>
      </c>
      <c r="N42" s="13" t="s">
        <v>21</v>
      </c>
    </row>
    <row r="43" spans="1:14" ht="60" customHeight="1" x14ac:dyDescent="0.35">
      <c r="A43" s="11" t="s">
        <v>215</v>
      </c>
      <c r="B43" s="1" t="s">
        <v>216</v>
      </c>
      <c r="C43" s="2" t="s">
        <v>51</v>
      </c>
      <c r="D43" s="3" t="s">
        <v>169</v>
      </c>
      <c r="E43" s="4" t="s">
        <v>18</v>
      </c>
      <c r="F43" s="4" t="s">
        <v>19</v>
      </c>
      <c r="G43" s="4" t="s">
        <v>20</v>
      </c>
      <c r="H43" s="4" t="s">
        <v>21</v>
      </c>
      <c r="I43" s="5" t="s">
        <v>21</v>
      </c>
      <c r="J43" s="1" t="s">
        <v>217</v>
      </c>
      <c r="K43" s="1" t="s">
        <v>218</v>
      </c>
      <c r="L43" s="1" t="s">
        <v>219</v>
      </c>
      <c r="M43" s="4" t="str">
        <f t="shared" si="0"/>
        <v>Outstanding</v>
      </c>
      <c r="N43" s="13" t="s">
        <v>21</v>
      </c>
    </row>
    <row r="44" spans="1:14" ht="60" customHeight="1" x14ac:dyDescent="0.35">
      <c r="A44" s="11" t="s">
        <v>220</v>
      </c>
      <c r="B44" s="1" t="s">
        <v>221</v>
      </c>
      <c r="C44" s="2" t="s">
        <v>51</v>
      </c>
      <c r="D44" s="3" t="s">
        <v>169</v>
      </c>
      <c r="E44" s="4" t="s">
        <v>18</v>
      </c>
      <c r="F44" s="4" t="s">
        <v>19</v>
      </c>
      <c r="G44" s="4" t="s">
        <v>20</v>
      </c>
      <c r="H44" s="4" t="s">
        <v>21</v>
      </c>
      <c r="I44" s="5" t="s">
        <v>21</v>
      </c>
      <c r="J44" s="1" t="s">
        <v>222</v>
      </c>
      <c r="K44" s="1" t="s">
        <v>223</v>
      </c>
      <c r="L44" s="1" t="s">
        <v>224</v>
      </c>
      <c r="M44" s="4" t="str">
        <f t="shared" si="0"/>
        <v>Outstanding</v>
      </c>
      <c r="N44" s="13" t="s">
        <v>21</v>
      </c>
    </row>
    <row r="45" spans="1:14" ht="60" customHeight="1" x14ac:dyDescent="0.35">
      <c r="A45" s="11" t="s">
        <v>225</v>
      </c>
      <c r="B45" s="1" t="s">
        <v>226</v>
      </c>
      <c r="C45" s="2" t="s">
        <v>51</v>
      </c>
      <c r="D45" s="3" t="s">
        <v>169</v>
      </c>
      <c r="E45" s="4" t="s">
        <v>18</v>
      </c>
      <c r="F45" s="4" t="s">
        <v>19</v>
      </c>
      <c r="G45" s="4" t="s">
        <v>20</v>
      </c>
      <c r="H45" s="4" t="s">
        <v>21</v>
      </c>
      <c r="I45" s="5" t="s">
        <v>21</v>
      </c>
      <c r="J45" s="1" t="s">
        <v>207</v>
      </c>
      <c r="K45" s="1" t="s">
        <v>227</v>
      </c>
      <c r="L45" s="1" t="s">
        <v>209</v>
      </c>
      <c r="M45" s="4" t="str">
        <f t="shared" si="0"/>
        <v>Outstanding</v>
      </c>
      <c r="N45" s="13" t="s">
        <v>21</v>
      </c>
    </row>
    <row r="46" spans="1:14" ht="60" customHeight="1" x14ac:dyDescent="0.35">
      <c r="A46" s="11" t="s">
        <v>228</v>
      </c>
      <c r="B46" s="1" t="s">
        <v>229</v>
      </c>
      <c r="C46" s="2" t="s">
        <v>51</v>
      </c>
      <c r="D46" s="3" t="s">
        <v>169</v>
      </c>
      <c r="E46" s="4" t="s">
        <v>18</v>
      </c>
      <c r="F46" s="4" t="s">
        <v>19</v>
      </c>
      <c r="G46" s="4" t="s">
        <v>20</v>
      </c>
      <c r="H46" s="4" t="s">
        <v>21</v>
      </c>
      <c r="I46" s="5" t="s">
        <v>21</v>
      </c>
      <c r="J46" s="1" t="s">
        <v>207</v>
      </c>
      <c r="K46" s="1" t="s">
        <v>230</v>
      </c>
      <c r="L46" s="1" t="s">
        <v>209</v>
      </c>
      <c r="M46" s="4" t="str">
        <f t="shared" si="0"/>
        <v>Outstanding</v>
      </c>
      <c r="N46" s="13" t="s">
        <v>21</v>
      </c>
    </row>
    <row r="47" spans="1:14" ht="60" customHeight="1" x14ac:dyDescent="0.35">
      <c r="A47" s="11" t="s">
        <v>231</v>
      </c>
      <c r="B47" s="1" t="s">
        <v>232</v>
      </c>
      <c r="C47" s="2" t="s">
        <v>51</v>
      </c>
      <c r="D47" s="3" t="s">
        <v>169</v>
      </c>
      <c r="E47" s="4" t="s">
        <v>18</v>
      </c>
      <c r="F47" s="4" t="s">
        <v>19</v>
      </c>
      <c r="G47" s="4" t="s">
        <v>20</v>
      </c>
      <c r="H47" s="4" t="s">
        <v>21</v>
      </c>
      <c r="I47" s="5" t="s">
        <v>21</v>
      </c>
      <c r="J47" s="1" t="s">
        <v>207</v>
      </c>
      <c r="K47" s="1" t="s">
        <v>230</v>
      </c>
      <c r="L47" s="1" t="s">
        <v>209</v>
      </c>
      <c r="M47" s="4" t="str">
        <f t="shared" si="0"/>
        <v>Outstanding</v>
      </c>
      <c r="N47" s="13" t="s">
        <v>21</v>
      </c>
    </row>
    <row r="48" spans="1:14" ht="60" customHeight="1" x14ac:dyDescent="0.35">
      <c r="A48" s="11" t="s">
        <v>233</v>
      </c>
      <c r="B48" s="1" t="s">
        <v>234</v>
      </c>
      <c r="C48" s="2" t="s">
        <v>51</v>
      </c>
      <c r="D48" s="3" t="s">
        <v>169</v>
      </c>
      <c r="E48" s="4" t="s">
        <v>18</v>
      </c>
      <c r="F48" s="4" t="s">
        <v>19</v>
      </c>
      <c r="G48" s="4" t="s">
        <v>20</v>
      </c>
      <c r="H48" s="4" t="s">
        <v>21</v>
      </c>
      <c r="I48" s="5" t="s">
        <v>21</v>
      </c>
      <c r="J48" s="1" t="s">
        <v>207</v>
      </c>
      <c r="K48" s="1" t="s">
        <v>230</v>
      </c>
      <c r="L48" s="1" t="s">
        <v>209</v>
      </c>
      <c r="M48" s="4" t="str">
        <f t="shared" si="0"/>
        <v>Outstanding</v>
      </c>
      <c r="N48" s="13" t="s">
        <v>21</v>
      </c>
    </row>
    <row r="49" spans="1:14" ht="60" customHeight="1" x14ac:dyDescent="0.35">
      <c r="A49" s="11" t="s">
        <v>235</v>
      </c>
      <c r="B49" s="1" t="s">
        <v>236</v>
      </c>
      <c r="C49" s="2" t="s">
        <v>51</v>
      </c>
      <c r="D49" s="3" t="s">
        <v>169</v>
      </c>
      <c r="E49" s="4" t="s">
        <v>18</v>
      </c>
      <c r="F49" s="4" t="s">
        <v>19</v>
      </c>
      <c r="G49" s="4" t="s">
        <v>20</v>
      </c>
      <c r="H49" s="4" t="s">
        <v>21</v>
      </c>
      <c r="I49" s="5" t="s">
        <v>21</v>
      </c>
      <c r="J49" s="1" t="s">
        <v>207</v>
      </c>
      <c r="K49" s="1" t="s">
        <v>230</v>
      </c>
      <c r="L49" s="1" t="s">
        <v>209</v>
      </c>
      <c r="M49" s="4" t="str">
        <f t="shared" si="0"/>
        <v>Outstanding</v>
      </c>
      <c r="N49" s="13" t="s">
        <v>21</v>
      </c>
    </row>
    <row r="50" spans="1:14" ht="60" customHeight="1" x14ac:dyDescent="0.35">
      <c r="A50" s="11" t="s">
        <v>237</v>
      </c>
      <c r="B50" s="1" t="s">
        <v>238</v>
      </c>
      <c r="C50" s="2" t="s">
        <v>51</v>
      </c>
      <c r="D50" s="3" t="s">
        <v>169</v>
      </c>
      <c r="E50" s="4" t="s">
        <v>18</v>
      </c>
      <c r="F50" s="4" t="s">
        <v>19</v>
      </c>
      <c r="G50" s="4" t="s">
        <v>20</v>
      </c>
      <c r="H50" s="4" t="s">
        <v>21</v>
      </c>
      <c r="I50" s="5" t="s">
        <v>21</v>
      </c>
      <c r="J50" s="1" t="s">
        <v>239</v>
      </c>
      <c r="K50" s="1" t="s">
        <v>230</v>
      </c>
      <c r="L50" s="1" t="s">
        <v>240</v>
      </c>
      <c r="M50" s="4" t="str">
        <f t="shared" si="0"/>
        <v>Outstanding</v>
      </c>
      <c r="N50" s="13" t="s">
        <v>21</v>
      </c>
    </row>
    <row r="51" spans="1:14" ht="60" customHeight="1" x14ac:dyDescent="0.35">
      <c r="A51" s="11" t="s">
        <v>241</v>
      </c>
      <c r="B51" s="1" t="s">
        <v>242</v>
      </c>
      <c r="C51" s="2" t="s">
        <v>51</v>
      </c>
      <c r="D51" s="3" t="s">
        <v>169</v>
      </c>
      <c r="E51" s="4" t="s">
        <v>18</v>
      </c>
      <c r="F51" s="4" t="s">
        <v>19</v>
      </c>
      <c r="G51" s="4" t="s">
        <v>20</v>
      </c>
      <c r="H51" s="4" t="s">
        <v>21</v>
      </c>
      <c r="I51" s="5" t="s">
        <v>21</v>
      </c>
      <c r="J51" s="1" t="s">
        <v>243</v>
      </c>
      <c r="K51" s="1" t="s">
        <v>244</v>
      </c>
      <c r="L51" s="1" t="s">
        <v>245</v>
      </c>
      <c r="M51" s="4" t="str">
        <f t="shared" si="0"/>
        <v>Outstanding</v>
      </c>
      <c r="N51" s="13" t="s">
        <v>21</v>
      </c>
    </row>
    <row r="52" spans="1:14" ht="60" customHeight="1" x14ac:dyDescent="0.35">
      <c r="A52" s="11" t="s">
        <v>246</v>
      </c>
      <c r="B52" s="1" t="s">
        <v>247</v>
      </c>
      <c r="C52" s="2" t="s">
        <v>51</v>
      </c>
      <c r="D52" s="3" t="s">
        <v>169</v>
      </c>
      <c r="E52" s="4" t="s">
        <v>18</v>
      </c>
      <c r="F52" s="4" t="s">
        <v>19</v>
      </c>
      <c r="G52" s="4" t="s">
        <v>20</v>
      </c>
      <c r="H52" s="4" t="s">
        <v>21</v>
      </c>
      <c r="I52" s="5" t="s">
        <v>21</v>
      </c>
      <c r="J52" s="1" t="s">
        <v>248</v>
      </c>
      <c r="K52" s="1" t="s">
        <v>249</v>
      </c>
      <c r="L52" s="1" t="s">
        <v>224</v>
      </c>
      <c r="M52" s="4" t="str">
        <f t="shared" si="0"/>
        <v>Outstanding</v>
      </c>
      <c r="N52" s="13" t="s">
        <v>21</v>
      </c>
    </row>
    <row r="53" spans="1:14" ht="60" customHeight="1" x14ac:dyDescent="0.35">
      <c r="A53" s="11" t="s">
        <v>250</v>
      </c>
      <c r="B53" s="1" t="s">
        <v>251</v>
      </c>
      <c r="C53" s="2" t="s">
        <v>51</v>
      </c>
      <c r="D53" s="3" t="s">
        <v>169</v>
      </c>
      <c r="E53" s="4" t="s">
        <v>18</v>
      </c>
      <c r="F53" s="4" t="s">
        <v>19</v>
      </c>
      <c r="G53" s="4" t="s">
        <v>20</v>
      </c>
      <c r="H53" s="4" t="s">
        <v>21</v>
      </c>
      <c r="I53" s="5" t="s">
        <v>21</v>
      </c>
      <c r="J53" s="1" t="s">
        <v>252</v>
      </c>
      <c r="K53" s="1" t="s">
        <v>253</v>
      </c>
      <c r="L53" s="1" t="s">
        <v>254</v>
      </c>
      <c r="M53" s="4" t="str">
        <f t="shared" si="0"/>
        <v>Outstanding</v>
      </c>
      <c r="N53" s="13" t="s">
        <v>21</v>
      </c>
    </row>
    <row r="54" spans="1:14" ht="60" customHeight="1" x14ac:dyDescent="0.35">
      <c r="A54" s="11" t="s">
        <v>255</v>
      </c>
      <c r="B54" s="1" t="s">
        <v>256</v>
      </c>
      <c r="C54" s="2" t="s">
        <v>51</v>
      </c>
      <c r="D54" s="3" t="s">
        <v>169</v>
      </c>
      <c r="E54" s="4" t="s">
        <v>18</v>
      </c>
      <c r="F54" s="4" t="s">
        <v>19</v>
      </c>
      <c r="G54" s="4" t="s">
        <v>20</v>
      </c>
      <c r="H54" s="4" t="s">
        <v>21</v>
      </c>
      <c r="I54" s="5" t="s">
        <v>21</v>
      </c>
      <c r="J54" s="1" t="s">
        <v>257</v>
      </c>
      <c r="K54" s="1" t="s">
        <v>258</v>
      </c>
      <c r="L54" s="1" t="s">
        <v>259</v>
      </c>
      <c r="M54" s="4" t="str">
        <f t="shared" si="0"/>
        <v>Outstanding</v>
      </c>
      <c r="N54" s="13" t="s">
        <v>21</v>
      </c>
    </row>
    <row r="55" spans="1:14" ht="60" customHeight="1" x14ac:dyDescent="0.35">
      <c r="A55" s="11" t="s">
        <v>260</v>
      </c>
      <c r="B55" s="1" t="s">
        <v>261</v>
      </c>
      <c r="C55" s="2" t="s">
        <v>51</v>
      </c>
      <c r="D55" s="3" t="s">
        <v>169</v>
      </c>
      <c r="E55" s="4" t="s">
        <v>18</v>
      </c>
      <c r="F55" s="4" t="s">
        <v>19</v>
      </c>
      <c r="G55" s="4" t="s">
        <v>20</v>
      </c>
      <c r="H55" s="4" t="s">
        <v>21</v>
      </c>
      <c r="I55" s="5" t="s">
        <v>21</v>
      </c>
      <c r="J55" s="1" t="s">
        <v>262</v>
      </c>
      <c r="K55" s="1" t="s">
        <v>263</v>
      </c>
      <c r="L55" s="1" t="s">
        <v>264</v>
      </c>
      <c r="M55" s="4" t="str">
        <f t="shared" si="0"/>
        <v>Outstanding</v>
      </c>
      <c r="N55" s="13" t="s">
        <v>21</v>
      </c>
    </row>
    <row r="56" spans="1:14" ht="60" customHeight="1" x14ac:dyDescent="0.35">
      <c r="A56" s="11" t="s">
        <v>265</v>
      </c>
      <c r="B56" s="1" t="s">
        <v>266</v>
      </c>
      <c r="C56" s="2" t="s">
        <v>51</v>
      </c>
      <c r="D56" s="3" t="s">
        <v>169</v>
      </c>
      <c r="E56" s="4" t="s">
        <v>18</v>
      </c>
      <c r="F56" s="4" t="s">
        <v>19</v>
      </c>
      <c r="G56" s="4" t="s">
        <v>20</v>
      </c>
      <c r="H56" s="4" t="s">
        <v>21</v>
      </c>
      <c r="I56" s="5" t="s">
        <v>21</v>
      </c>
      <c r="J56" s="1" t="s">
        <v>267</v>
      </c>
      <c r="K56" s="1" t="s">
        <v>268</v>
      </c>
      <c r="L56" s="1" t="s">
        <v>269</v>
      </c>
      <c r="M56" s="4" t="str">
        <f t="shared" si="0"/>
        <v>Outstanding</v>
      </c>
      <c r="N56" s="13" t="s">
        <v>21</v>
      </c>
    </row>
    <row r="57" spans="1:14" ht="60" customHeight="1" x14ac:dyDescent="0.35">
      <c r="A57" s="11" t="s">
        <v>270</v>
      </c>
      <c r="B57" s="1" t="s">
        <v>271</v>
      </c>
      <c r="C57" s="2" t="s">
        <v>51</v>
      </c>
      <c r="D57" s="3" t="s">
        <v>169</v>
      </c>
      <c r="E57" s="4" t="s">
        <v>18</v>
      </c>
      <c r="F57" s="4" t="s">
        <v>19</v>
      </c>
      <c r="G57" s="4" t="s">
        <v>20</v>
      </c>
      <c r="H57" s="4" t="s">
        <v>21</v>
      </c>
      <c r="I57" s="5" t="s">
        <v>21</v>
      </c>
      <c r="J57" s="1" t="s">
        <v>272</v>
      </c>
      <c r="K57" s="1" t="s">
        <v>273</v>
      </c>
      <c r="L57" s="1" t="s">
        <v>274</v>
      </c>
      <c r="M57" s="4" t="str">
        <f t="shared" si="0"/>
        <v>Outstanding</v>
      </c>
      <c r="N57" s="13" t="s">
        <v>21</v>
      </c>
    </row>
    <row r="58" spans="1:14" ht="60" customHeight="1" x14ac:dyDescent="0.35">
      <c r="A58" s="11" t="s">
        <v>275</v>
      </c>
      <c r="B58" s="1" t="s">
        <v>276</v>
      </c>
      <c r="C58" s="2" t="s">
        <v>51</v>
      </c>
      <c r="D58" s="3" t="s">
        <v>169</v>
      </c>
      <c r="E58" s="4" t="s">
        <v>18</v>
      </c>
      <c r="F58" s="4" t="s">
        <v>19</v>
      </c>
      <c r="G58" s="4" t="s">
        <v>20</v>
      </c>
      <c r="H58" s="4" t="s">
        <v>21</v>
      </c>
      <c r="I58" s="5" t="s">
        <v>21</v>
      </c>
      <c r="J58" s="1" t="s">
        <v>277</v>
      </c>
      <c r="K58" s="1" t="s">
        <v>278</v>
      </c>
      <c r="L58" s="1" t="s">
        <v>279</v>
      </c>
      <c r="M58" s="4" t="str">
        <f t="shared" si="0"/>
        <v>Outstanding</v>
      </c>
      <c r="N58" s="13" t="s">
        <v>21</v>
      </c>
    </row>
    <row r="59" spans="1:14" ht="60" customHeight="1" x14ac:dyDescent="0.35">
      <c r="A59" s="11" t="s">
        <v>280</v>
      </c>
      <c r="B59" s="1" t="s">
        <v>281</v>
      </c>
      <c r="C59" s="2" t="s">
        <v>51</v>
      </c>
      <c r="D59" s="3" t="s">
        <v>169</v>
      </c>
      <c r="E59" s="4" t="s">
        <v>18</v>
      </c>
      <c r="F59" s="4" t="s">
        <v>19</v>
      </c>
      <c r="G59" s="4" t="s">
        <v>20</v>
      </c>
      <c r="H59" s="4" t="s">
        <v>21</v>
      </c>
      <c r="I59" s="5" t="s">
        <v>21</v>
      </c>
      <c r="J59" s="1" t="s">
        <v>282</v>
      </c>
      <c r="K59" s="1" t="s">
        <v>283</v>
      </c>
      <c r="L59" s="1" t="s">
        <v>284</v>
      </c>
      <c r="M59" s="4" t="str">
        <f t="shared" si="0"/>
        <v>Outstanding</v>
      </c>
      <c r="N59" s="13" t="s">
        <v>21</v>
      </c>
    </row>
    <row r="60" spans="1:14" ht="60" customHeight="1" x14ac:dyDescent="0.35">
      <c r="A60" s="11" t="s">
        <v>285</v>
      </c>
      <c r="B60" s="1" t="s">
        <v>286</v>
      </c>
      <c r="C60" s="2" t="s">
        <v>57</v>
      </c>
      <c r="D60" s="3" t="s">
        <v>169</v>
      </c>
      <c r="E60" s="4" t="s">
        <v>18</v>
      </c>
      <c r="F60" s="4" t="s">
        <v>19</v>
      </c>
      <c r="G60" s="4" t="s">
        <v>20</v>
      </c>
      <c r="H60" s="4" t="s">
        <v>21</v>
      </c>
      <c r="I60" s="5" t="s">
        <v>21</v>
      </c>
      <c r="J60" s="1" t="s">
        <v>287</v>
      </c>
      <c r="K60" s="1" t="s">
        <v>288</v>
      </c>
      <c r="L60" s="1" t="s">
        <v>289</v>
      </c>
      <c r="M60" s="4" t="str">
        <f t="shared" si="0"/>
        <v>Outstanding</v>
      </c>
      <c r="N60" s="13" t="s">
        <v>21</v>
      </c>
    </row>
    <row r="61" spans="1:14" ht="60" customHeight="1" x14ac:dyDescent="0.35">
      <c r="A61" s="11" t="s">
        <v>290</v>
      </c>
      <c r="B61" s="1" t="s">
        <v>291</v>
      </c>
      <c r="C61" s="2" t="s">
        <v>51</v>
      </c>
      <c r="D61" s="3" t="s">
        <v>169</v>
      </c>
      <c r="E61" s="4" t="s">
        <v>18</v>
      </c>
      <c r="F61" s="4" t="s">
        <v>19</v>
      </c>
      <c r="G61" s="4" t="s">
        <v>20</v>
      </c>
      <c r="H61" s="4" t="s">
        <v>21</v>
      </c>
      <c r="I61" s="5" t="s">
        <v>21</v>
      </c>
      <c r="J61" s="1" t="s">
        <v>292</v>
      </c>
      <c r="K61" s="1" t="s">
        <v>293</v>
      </c>
      <c r="L61" s="1" t="s">
        <v>294</v>
      </c>
      <c r="M61" s="4" t="str">
        <f t="shared" si="0"/>
        <v>Outstanding</v>
      </c>
      <c r="N61" s="13" t="s">
        <v>21</v>
      </c>
    </row>
    <row r="62" spans="1:14" ht="60" customHeight="1" x14ac:dyDescent="0.35">
      <c r="A62" s="11" t="s">
        <v>295</v>
      </c>
      <c r="B62" s="1" t="s">
        <v>296</v>
      </c>
      <c r="C62" s="2" t="s">
        <v>16</v>
      </c>
      <c r="D62" s="3" t="s">
        <v>169</v>
      </c>
      <c r="E62" s="4" t="s">
        <v>18</v>
      </c>
      <c r="F62" s="4" t="s">
        <v>19</v>
      </c>
      <c r="G62" s="4" t="s">
        <v>20</v>
      </c>
      <c r="H62" s="4" t="s">
        <v>21</v>
      </c>
      <c r="I62" s="5" t="s">
        <v>21</v>
      </c>
      <c r="J62" s="1" t="s">
        <v>297</v>
      </c>
      <c r="K62" s="1" t="s">
        <v>298</v>
      </c>
      <c r="L62" s="1" t="s">
        <v>299</v>
      </c>
      <c r="M62" s="4" t="str">
        <f t="shared" si="0"/>
        <v>Outstanding</v>
      </c>
      <c r="N62" s="13" t="s">
        <v>21</v>
      </c>
    </row>
    <row r="63" spans="1:14" ht="60" customHeight="1" x14ac:dyDescent="0.35">
      <c r="A63" s="11" t="s">
        <v>300</v>
      </c>
      <c r="B63" s="1" t="s">
        <v>301</v>
      </c>
      <c r="C63" s="2" t="s">
        <v>16</v>
      </c>
      <c r="D63" s="3" t="s">
        <v>169</v>
      </c>
      <c r="E63" s="4" t="s">
        <v>18</v>
      </c>
      <c r="F63" s="4" t="s">
        <v>19</v>
      </c>
      <c r="G63" s="4" t="s">
        <v>20</v>
      </c>
      <c r="H63" s="4" t="s">
        <v>21</v>
      </c>
      <c r="I63" s="5" t="s">
        <v>21</v>
      </c>
      <c r="J63" s="1" t="s">
        <v>302</v>
      </c>
      <c r="K63" s="1" t="s">
        <v>303</v>
      </c>
      <c r="L63" s="1" t="s">
        <v>304</v>
      </c>
      <c r="M63" s="4" t="str">
        <f t="shared" si="0"/>
        <v>Outstanding</v>
      </c>
      <c r="N63" s="13" t="s">
        <v>21</v>
      </c>
    </row>
    <row r="64" spans="1:14" ht="60" customHeight="1" x14ac:dyDescent="0.35">
      <c r="A64" s="11" t="s">
        <v>305</v>
      </c>
      <c r="B64" s="1" t="s">
        <v>306</v>
      </c>
      <c r="C64" s="2" t="s">
        <v>51</v>
      </c>
      <c r="D64" s="3" t="s">
        <v>169</v>
      </c>
      <c r="E64" s="4" t="s">
        <v>18</v>
      </c>
      <c r="F64" s="4" t="s">
        <v>19</v>
      </c>
      <c r="G64" s="4" t="s">
        <v>20</v>
      </c>
      <c r="H64" s="4" t="s">
        <v>21</v>
      </c>
      <c r="I64" s="5" t="s">
        <v>21</v>
      </c>
      <c r="J64" s="1" t="s">
        <v>307</v>
      </c>
      <c r="K64" s="1" t="s">
        <v>308</v>
      </c>
      <c r="L64" s="1" t="s">
        <v>309</v>
      </c>
      <c r="M64" s="4" t="str">
        <f t="shared" si="0"/>
        <v>Outstanding</v>
      </c>
      <c r="N64" s="13" t="s">
        <v>21</v>
      </c>
    </row>
    <row r="65" spans="1:14" ht="60" customHeight="1" x14ac:dyDescent="0.35">
      <c r="A65" s="11" t="s">
        <v>310</v>
      </c>
      <c r="B65" s="1" t="s">
        <v>311</v>
      </c>
      <c r="C65" s="2" t="s">
        <v>51</v>
      </c>
      <c r="D65" s="3" t="s">
        <v>169</v>
      </c>
      <c r="E65" s="4" t="s">
        <v>18</v>
      </c>
      <c r="F65" s="4" t="s">
        <v>19</v>
      </c>
      <c r="G65" s="4" t="s">
        <v>20</v>
      </c>
      <c r="H65" s="4" t="s">
        <v>21</v>
      </c>
      <c r="I65" s="5" t="s">
        <v>21</v>
      </c>
      <c r="J65" s="1" t="s">
        <v>312</v>
      </c>
      <c r="K65" s="1" t="s">
        <v>313</v>
      </c>
      <c r="L65" s="1" t="s">
        <v>314</v>
      </c>
      <c r="M65" s="4" t="str">
        <f t="shared" si="0"/>
        <v>Outstanding</v>
      </c>
      <c r="N65" s="13" t="s">
        <v>21</v>
      </c>
    </row>
    <row r="66" spans="1:14" ht="60" customHeight="1" x14ac:dyDescent="0.35">
      <c r="A66" s="11" t="s">
        <v>315</v>
      </c>
      <c r="B66" s="1" t="s">
        <v>316</v>
      </c>
      <c r="C66" s="2" t="s">
        <v>51</v>
      </c>
      <c r="D66" s="3" t="s">
        <v>169</v>
      </c>
      <c r="E66" s="4" t="s">
        <v>18</v>
      </c>
      <c r="F66" s="4" t="s">
        <v>19</v>
      </c>
      <c r="G66" s="4" t="s">
        <v>20</v>
      </c>
      <c r="H66" s="4" t="s">
        <v>21</v>
      </c>
      <c r="I66" s="5" t="s">
        <v>21</v>
      </c>
      <c r="J66" s="1" t="s">
        <v>317</v>
      </c>
      <c r="K66" s="1" t="s">
        <v>318</v>
      </c>
      <c r="L66" s="1" t="s">
        <v>319</v>
      </c>
      <c r="M66" s="4" t="str">
        <f t="shared" si="0"/>
        <v>Outstanding</v>
      </c>
      <c r="N66" s="13" t="s">
        <v>21</v>
      </c>
    </row>
    <row r="67" spans="1:14" ht="60" customHeight="1" x14ac:dyDescent="0.35">
      <c r="A67" s="11" t="s">
        <v>320</v>
      </c>
      <c r="B67" s="1" t="s">
        <v>321</v>
      </c>
      <c r="C67" s="2" t="s">
        <v>51</v>
      </c>
      <c r="D67" s="3" t="s">
        <v>169</v>
      </c>
      <c r="E67" s="4" t="s">
        <v>18</v>
      </c>
      <c r="F67" s="4" t="s">
        <v>19</v>
      </c>
      <c r="G67" s="4" t="s">
        <v>20</v>
      </c>
      <c r="H67" s="4" t="s">
        <v>21</v>
      </c>
      <c r="I67" s="5" t="s">
        <v>21</v>
      </c>
      <c r="J67" s="1" t="s">
        <v>322</v>
      </c>
      <c r="K67" s="1" t="s">
        <v>323</v>
      </c>
      <c r="L67" s="1" t="s">
        <v>324</v>
      </c>
      <c r="M67" s="4" t="str">
        <f t="shared" si="0"/>
        <v>Outstanding</v>
      </c>
      <c r="N67" s="13" t="s">
        <v>21</v>
      </c>
    </row>
    <row r="68" spans="1:14" ht="60" customHeight="1" x14ac:dyDescent="0.35">
      <c r="A68" s="11" t="s">
        <v>325</v>
      </c>
      <c r="B68" s="1" t="s">
        <v>326</v>
      </c>
      <c r="C68" s="2" t="s">
        <v>51</v>
      </c>
      <c r="D68" s="3" t="s">
        <v>169</v>
      </c>
      <c r="E68" s="4" t="s">
        <v>18</v>
      </c>
      <c r="F68" s="4" t="s">
        <v>19</v>
      </c>
      <c r="G68" s="4" t="s">
        <v>20</v>
      </c>
      <c r="H68" s="4" t="s">
        <v>21</v>
      </c>
      <c r="I68" s="5" t="s">
        <v>21</v>
      </c>
      <c r="J68" s="1" t="s">
        <v>327</v>
      </c>
      <c r="K68" s="1" t="s">
        <v>328</v>
      </c>
      <c r="L68" s="1" t="s">
        <v>329</v>
      </c>
      <c r="M68" s="4" t="str">
        <f t="shared" si="0"/>
        <v>Outstanding</v>
      </c>
      <c r="N68" s="13" t="s">
        <v>21</v>
      </c>
    </row>
    <row r="69" spans="1:14" ht="60" customHeight="1" x14ac:dyDescent="0.35">
      <c r="A69" s="11" t="s">
        <v>330</v>
      </c>
      <c r="B69" s="1" t="s">
        <v>331</v>
      </c>
      <c r="C69" s="2" t="s">
        <v>51</v>
      </c>
      <c r="D69" s="3" t="s">
        <v>169</v>
      </c>
      <c r="E69" s="4" t="s">
        <v>18</v>
      </c>
      <c r="F69" s="4" t="s">
        <v>19</v>
      </c>
      <c r="G69" s="4" t="s">
        <v>20</v>
      </c>
      <c r="H69" s="4" t="s">
        <v>21</v>
      </c>
      <c r="I69" s="5" t="s">
        <v>21</v>
      </c>
      <c r="J69" s="1" t="s">
        <v>332</v>
      </c>
      <c r="K69" s="1" t="s">
        <v>333</v>
      </c>
      <c r="L69" s="1" t="s">
        <v>334</v>
      </c>
      <c r="M69" s="4" t="str">
        <f t="shared" si="0"/>
        <v>Outstanding</v>
      </c>
      <c r="N69" s="13" t="s">
        <v>21</v>
      </c>
    </row>
    <row r="70" spans="1:14" ht="60" customHeight="1" x14ac:dyDescent="0.35">
      <c r="A70" s="11" t="s">
        <v>335</v>
      </c>
      <c r="B70" s="1" t="s">
        <v>336</v>
      </c>
      <c r="C70" s="2" t="s">
        <v>51</v>
      </c>
      <c r="D70" s="3" t="s">
        <v>169</v>
      </c>
      <c r="E70" s="4" t="s">
        <v>18</v>
      </c>
      <c r="F70" s="4" t="s">
        <v>19</v>
      </c>
      <c r="G70" s="4" t="s">
        <v>20</v>
      </c>
      <c r="H70" s="4" t="s">
        <v>21</v>
      </c>
      <c r="I70" s="5" t="s">
        <v>21</v>
      </c>
      <c r="J70" s="1" t="s">
        <v>337</v>
      </c>
      <c r="K70" s="1" t="s">
        <v>333</v>
      </c>
      <c r="L70" s="1" t="s">
        <v>338</v>
      </c>
      <c r="M70" s="4" t="str">
        <f t="shared" si="0"/>
        <v>Outstanding</v>
      </c>
      <c r="N70" s="13" t="s">
        <v>21</v>
      </c>
    </row>
    <row r="71" spans="1:14" ht="60" customHeight="1" x14ac:dyDescent="0.35">
      <c r="A71" s="11" t="s">
        <v>339</v>
      </c>
      <c r="B71" s="1" t="s">
        <v>340</v>
      </c>
      <c r="C71" s="2" t="s">
        <v>51</v>
      </c>
      <c r="D71" s="3" t="s">
        <v>169</v>
      </c>
      <c r="E71" s="4" t="s">
        <v>18</v>
      </c>
      <c r="F71" s="4" t="s">
        <v>19</v>
      </c>
      <c r="G71" s="4" t="s">
        <v>20</v>
      </c>
      <c r="H71" s="4" t="s">
        <v>21</v>
      </c>
      <c r="I71" s="5" t="s">
        <v>21</v>
      </c>
      <c r="J71" s="1" t="s">
        <v>341</v>
      </c>
      <c r="K71" s="1" t="s">
        <v>333</v>
      </c>
      <c r="L71" s="1" t="s">
        <v>342</v>
      </c>
      <c r="M71" s="4" t="str">
        <f t="shared" si="0"/>
        <v>Outstanding</v>
      </c>
      <c r="N71" s="13" t="s">
        <v>21</v>
      </c>
    </row>
    <row r="72" spans="1:14" ht="60" customHeight="1" x14ac:dyDescent="0.35">
      <c r="A72" s="11" t="s">
        <v>343</v>
      </c>
      <c r="B72" s="1" t="s">
        <v>344</v>
      </c>
      <c r="C72" s="2" t="s">
        <v>16</v>
      </c>
      <c r="D72" s="3" t="s">
        <v>169</v>
      </c>
      <c r="E72" s="4" t="s">
        <v>18</v>
      </c>
      <c r="F72" s="4" t="s">
        <v>19</v>
      </c>
      <c r="G72" s="4" t="s">
        <v>20</v>
      </c>
      <c r="H72" s="4" t="s">
        <v>21</v>
      </c>
      <c r="I72" s="5" t="s">
        <v>21</v>
      </c>
      <c r="J72" s="1" t="s">
        <v>345</v>
      </c>
      <c r="K72" s="1" t="s">
        <v>346</v>
      </c>
      <c r="L72" s="1" t="s">
        <v>347</v>
      </c>
      <c r="M72" s="4" t="str">
        <f t="shared" si="0"/>
        <v>Outstanding</v>
      </c>
      <c r="N72" s="13" t="s">
        <v>21</v>
      </c>
    </row>
    <row r="73" spans="1:14" ht="60" customHeight="1" x14ac:dyDescent="0.35">
      <c r="A73" s="11" t="s">
        <v>348</v>
      </c>
      <c r="B73" s="1" t="s">
        <v>349</v>
      </c>
      <c r="C73" s="2" t="s">
        <v>51</v>
      </c>
      <c r="D73" s="3" t="s">
        <v>169</v>
      </c>
      <c r="E73" s="4" t="s">
        <v>18</v>
      </c>
      <c r="F73" s="4" t="s">
        <v>19</v>
      </c>
      <c r="G73" s="4" t="s">
        <v>20</v>
      </c>
      <c r="H73" s="4" t="s">
        <v>21</v>
      </c>
      <c r="I73" s="5" t="s">
        <v>21</v>
      </c>
      <c r="J73" s="1" t="s">
        <v>350</v>
      </c>
      <c r="K73" s="1" t="s">
        <v>351</v>
      </c>
      <c r="L73" s="1" t="s">
        <v>352</v>
      </c>
      <c r="M73" s="4" t="str">
        <f t="shared" si="0"/>
        <v>Outstanding</v>
      </c>
      <c r="N73" s="13" t="s">
        <v>21</v>
      </c>
    </row>
    <row r="74" spans="1:14" ht="60" customHeight="1" x14ac:dyDescent="0.35">
      <c r="A74" s="11" t="s">
        <v>353</v>
      </c>
      <c r="B74" s="1" t="s">
        <v>354</v>
      </c>
      <c r="C74" s="2" t="s">
        <v>16</v>
      </c>
      <c r="D74" s="3" t="s">
        <v>169</v>
      </c>
      <c r="E74" s="4" t="s">
        <v>18</v>
      </c>
      <c r="F74" s="4" t="s">
        <v>19</v>
      </c>
      <c r="G74" s="4" t="s">
        <v>20</v>
      </c>
      <c r="H74" s="4" t="s">
        <v>21</v>
      </c>
      <c r="I74" s="5" t="s">
        <v>21</v>
      </c>
      <c r="J74" s="1" t="s">
        <v>355</v>
      </c>
      <c r="K74" s="1" t="s">
        <v>356</v>
      </c>
      <c r="L74" s="1" t="s">
        <v>357</v>
      </c>
      <c r="M74" s="4" t="str">
        <f t="shared" si="0"/>
        <v>Outstanding</v>
      </c>
      <c r="N74" s="13" t="s">
        <v>21</v>
      </c>
    </row>
    <row r="75" spans="1:14" ht="60" customHeight="1" x14ac:dyDescent="0.35">
      <c r="A75" s="11" t="s">
        <v>358</v>
      </c>
      <c r="B75" s="1" t="s">
        <v>359</v>
      </c>
      <c r="C75" s="2" t="s">
        <v>51</v>
      </c>
      <c r="D75" s="3" t="s">
        <v>169</v>
      </c>
      <c r="E75" s="4" t="s">
        <v>18</v>
      </c>
      <c r="F75" s="4" t="s">
        <v>19</v>
      </c>
      <c r="G75" s="4" t="s">
        <v>20</v>
      </c>
      <c r="H75" s="4" t="s">
        <v>21</v>
      </c>
      <c r="I75" s="5" t="s">
        <v>21</v>
      </c>
      <c r="J75" s="1" t="s">
        <v>360</v>
      </c>
      <c r="K75" s="1" t="s">
        <v>361</v>
      </c>
      <c r="L75" s="1" t="s">
        <v>362</v>
      </c>
      <c r="M75" s="4" t="str">
        <f t="shared" si="0"/>
        <v>Outstanding</v>
      </c>
      <c r="N75" s="13" t="s">
        <v>21</v>
      </c>
    </row>
    <row r="76" spans="1:14" ht="60" customHeight="1" x14ac:dyDescent="0.35">
      <c r="A76" s="11" t="s">
        <v>363</v>
      </c>
      <c r="B76" s="1" t="s">
        <v>364</v>
      </c>
      <c r="C76" s="2" t="s">
        <v>16</v>
      </c>
      <c r="D76" s="3" t="s">
        <v>169</v>
      </c>
      <c r="E76" s="4" t="s">
        <v>18</v>
      </c>
      <c r="F76" s="4" t="s">
        <v>19</v>
      </c>
      <c r="G76" s="4" t="s">
        <v>20</v>
      </c>
      <c r="H76" s="4" t="s">
        <v>21</v>
      </c>
      <c r="I76" s="5" t="s">
        <v>21</v>
      </c>
      <c r="J76" s="1" t="s">
        <v>365</v>
      </c>
      <c r="K76" s="1" t="s">
        <v>366</v>
      </c>
      <c r="L76" s="1" t="s">
        <v>367</v>
      </c>
      <c r="M76" s="4" t="str">
        <f t="shared" si="0"/>
        <v>Outstanding</v>
      </c>
      <c r="N76" s="13" t="s">
        <v>21</v>
      </c>
    </row>
    <row r="77" spans="1:14" ht="60" customHeight="1" x14ac:dyDescent="0.35">
      <c r="A77" s="11" t="s">
        <v>368</v>
      </c>
      <c r="B77" s="1" t="s">
        <v>369</v>
      </c>
      <c r="C77" s="2" t="s">
        <v>16</v>
      </c>
      <c r="D77" s="3" t="s">
        <v>169</v>
      </c>
      <c r="E77" s="4" t="s">
        <v>18</v>
      </c>
      <c r="F77" s="4" t="s">
        <v>19</v>
      </c>
      <c r="G77" s="4" t="s">
        <v>20</v>
      </c>
      <c r="H77" s="4" t="s">
        <v>21</v>
      </c>
      <c r="I77" s="5" t="s">
        <v>21</v>
      </c>
      <c r="J77" s="1" t="s">
        <v>370</v>
      </c>
      <c r="K77" s="1" t="s">
        <v>371</v>
      </c>
      <c r="L77" s="1" t="s">
        <v>372</v>
      </c>
      <c r="M77" s="4" t="str">
        <f t="shared" si="0"/>
        <v>Outstanding</v>
      </c>
      <c r="N77" s="13" t="s">
        <v>21</v>
      </c>
    </row>
    <row r="78" spans="1:14" ht="60" customHeight="1" x14ac:dyDescent="0.35">
      <c r="A78" s="11" t="s">
        <v>373</v>
      </c>
      <c r="B78" s="1" t="s">
        <v>374</v>
      </c>
      <c r="C78" s="2" t="s">
        <v>16</v>
      </c>
      <c r="D78" s="3" t="s">
        <v>169</v>
      </c>
      <c r="E78" s="4" t="s">
        <v>18</v>
      </c>
      <c r="F78" s="4" t="s">
        <v>19</v>
      </c>
      <c r="G78" s="4" t="s">
        <v>20</v>
      </c>
      <c r="H78" s="4" t="s">
        <v>21</v>
      </c>
      <c r="I78" s="5" t="s">
        <v>21</v>
      </c>
      <c r="J78" s="1" t="s">
        <v>375</v>
      </c>
      <c r="K78" s="1" t="s">
        <v>376</v>
      </c>
      <c r="L78" s="1" t="s">
        <v>377</v>
      </c>
      <c r="M78" s="4" t="str">
        <f t="shared" si="0"/>
        <v>Outstanding</v>
      </c>
      <c r="N78" s="13" t="s">
        <v>21</v>
      </c>
    </row>
    <row r="79" spans="1:14" ht="60" customHeight="1" x14ac:dyDescent="0.35">
      <c r="A79" s="11" t="s">
        <v>378</v>
      </c>
      <c r="B79" s="1" t="s">
        <v>379</v>
      </c>
      <c r="C79" s="2" t="s">
        <v>51</v>
      </c>
      <c r="D79" s="3" t="s">
        <v>169</v>
      </c>
      <c r="E79" s="4" t="s">
        <v>18</v>
      </c>
      <c r="F79" s="4" t="s">
        <v>19</v>
      </c>
      <c r="G79" s="4" t="s">
        <v>20</v>
      </c>
      <c r="H79" s="4" t="s">
        <v>21</v>
      </c>
      <c r="I79" s="5" t="s">
        <v>21</v>
      </c>
      <c r="J79" s="1" t="s">
        <v>380</v>
      </c>
      <c r="K79" s="1" t="s">
        <v>381</v>
      </c>
      <c r="L79" s="1" t="s">
        <v>382</v>
      </c>
      <c r="M79" s="4" t="str">
        <f t="shared" si="0"/>
        <v>Outstanding</v>
      </c>
      <c r="N79" s="13" t="s">
        <v>21</v>
      </c>
    </row>
    <row r="80" spans="1:14" ht="60" customHeight="1" x14ac:dyDescent="0.35">
      <c r="A80" s="11" t="s">
        <v>383</v>
      </c>
      <c r="B80" s="1" t="s">
        <v>384</v>
      </c>
      <c r="C80" s="2" t="s">
        <v>16</v>
      </c>
      <c r="D80" s="3" t="s">
        <v>169</v>
      </c>
      <c r="E80" s="4" t="s">
        <v>18</v>
      </c>
      <c r="F80" s="4" t="s">
        <v>19</v>
      </c>
      <c r="G80" s="4" t="s">
        <v>20</v>
      </c>
      <c r="H80" s="4" t="s">
        <v>21</v>
      </c>
      <c r="I80" s="5" t="s">
        <v>21</v>
      </c>
      <c r="J80" s="1" t="s">
        <v>385</v>
      </c>
      <c r="K80" s="1" t="s">
        <v>386</v>
      </c>
      <c r="L80" s="1" t="s">
        <v>199</v>
      </c>
      <c r="M80" s="4" t="str">
        <f t="shared" si="0"/>
        <v>Outstanding</v>
      </c>
      <c r="N80" s="13" t="s">
        <v>21</v>
      </c>
    </row>
    <row r="81" spans="1:14" ht="60" customHeight="1" x14ac:dyDescent="0.35">
      <c r="A81" s="11" t="s">
        <v>387</v>
      </c>
      <c r="B81" s="1" t="s">
        <v>388</v>
      </c>
      <c r="C81" s="2" t="s">
        <v>51</v>
      </c>
      <c r="D81" s="3" t="s">
        <v>169</v>
      </c>
      <c r="E81" s="4" t="s">
        <v>18</v>
      </c>
      <c r="F81" s="4" t="s">
        <v>19</v>
      </c>
      <c r="G81" s="4" t="s">
        <v>20</v>
      </c>
      <c r="H81" s="4" t="s">
        <v>21</v>
      </c>
      <c r="I81" s="5" t="s">
        <v>21</v>
      </c>
      <c r="J81" s="1" t="s">
        <v>389</v>
      </c>
      <c r="K81" s="1" t="s">
        <v>390</v>
      </c>
      <c r="L81" s="1" t="s">
        <v>391</v>
      </c>
      <c r="M81" s="4" t="str">
        <f t="shared" si="0"/>
        <v>Outstanding</v>
      </c>
      <c r="N81" s="13" t="s">
        <v>21</v>
      </c>
    </row>
    <row r="82" spans="1:14" ht="60" customHeight="1" x14ac:dyDescent="0.35">
      <c r="A82" s="11" t="s">
        <v>392</v>
      </c>
      <c r="B82" s="1" t="s">
        <v>393</v>
      </c>
      <c r="C82" s="2" t="s">
        <v>51</v>
      </c>
      <c r="D82" s="3" t="s">
        <v>169</v>
      </c>
      <c r="E82" s="4" t="s">
        <v>18</v>
      </c>
      <c r="F82" s="4" t="s">
        <v>19</v>
      </c>
      <c r="G82" s="4" t="s">
        <v>20</v>
      </c>
      <c r="H82" s="4" t="s">
        <v>21</v>
      </c>
      <c r="I82" s="5" t="s">
        <v>21</v>
      </c>
      <c r="J82" s="1" t="s">
        <v>394</v>
      </c>
      <c r="K82" s="1" t="s">
        <v>395</v>
      </c>
      <c r="L82" s="1" t="s">
        <v>396</v>
      </c>
      <c r="M82" s="4" t="str">
        <f t="shared" si="0"/>
        <v>Outstanding</v>
      </c>
      <c r="N82" s="13" t="s">
        <v>21</v>
      </c>
    </row>
    <row r="83" spans="1:14" ht="60" customHeight="1" x14ac:dyDescent="0.35">
      <c r="A83" s="11" t="s">
        <v>397</v>
      </c>
      <c r="B83" s="1" t="s">
        <v>398</v>
      </c>
      <c r="C83" s="2" t="s">
        <v>51</v>
      </c>
      <c r="D83" s="3" t="s">
        <v>169</v>
      </c>
      <c r="E83" s="4" t="s">
        <v>18</v>
      </c>
      <c r="F83" s="4" t="s">
        <v>19</v>
      </c>
      <c r="G83" s="4" t="s">
        <v>20</v>
      </c>
      <c r="H83" s="4" t="s">
        <v>21</v>
      </c>
      <c r="I83" s="5" t="s">
        <v>21</v>
      </c>
      <c r="J83" s="1" t="s">
        <v>399</v>
      </c>
      <c r="K83" s="1" t="s">
        <v>400</v>
      </c>
      <c r="L83" s="1" t="s">
        <v>401</v>
      </c>
      <c r="M83" s="4" t="str">
        <f t="shared" si="0"/>
        <v>Outstanding</v>
      </c>
      <c r="N83" s="13" t="s">
        <v>21</v>
      </c>
    </row>
    <row r="84" spans="1:14" ht="60" customHeight="1" x14ac:dyDescent="0.35">
      <c r="A84" s="12" t="s">
        <v>402</v>
      </c>
      <c r="B84" s="6" t="s">
        <v>403</v>
      </c>
      <c r="C84" s="7" t="s">
        <v>51</v>
      </c>
      <c r="D84" s="8" t="s">
        <v>169</v>
      </c>
      <c r="E84" s="9" t="s">
        <v>18</v>
      </c>
      <c r="F84" s="9" t="s">
        <v>19</v>
      </c>
      <c r="G84" s="9" t="s">
        <v>20</v>
      </c>
      <c r="H84" s="9" t="s">
        <v>21</v>
      </c>
      <c r="I84" s="10" t="s">
        <v>21</v>
      </c>
      <c r="J84" s="6" t="s">
        <v>404</v>
      </c>
      <c r="K84" s="6" t="s">
        <v>405</v>
      </c>
      <c r="L84" s="6" t="s">
        <v>406</v>
      </c>
      <c r="M84" s="9" t="str">
        <f t="shared" si="0"/>
        <v>Outstanding</v>
      </c>
      <c r="N84" s="14" t="s">
        <v>21</v>
      </c>
    </row>
    <row r="88" spans="1:14" ht="32" customHeight="1" x14ac:dyDescent="0.35">
      <c r="A88" s="291" t="s">
        <v>407</v>
      </c>
      <c r="B88" s="291"/>
      <c r="C88" s="291"/>
      <c r="D88" s="291"/>
    </row>
  </sheetData>
  <mergeCells count="1">
    <mergeCell ref="A88:D88"/>
  </mergeCells>
  <conditionalFormatting sqref="C2:C84">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84">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84">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84">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84" xr:uid="{00000000-0002-0000-0200-000000000000}">
      <formula1>"Must,Should,Could,Won't,Unassigned"</formula1>
    </dataValidation>
    <dataValidation type="list" showErrorMessage="1" errorTitle="Invalid Value" error="Please select a value from the list: Low, Medium, High, Unassessed." sqref="F2:F84" xr:uid="{00000000-0002-0000-0200-000001000000}">
      <formula1>"Low,Medium,High,Unassessed"</formula1>
    </dataValidation>
    <dataValidation type="list" showErrorMessage="1" errorTitle="Invalid Value" error="Please select a value from the list: Phase1, Phase2, Phase3, Phase4, Phase5, Pending." sqref="G2:G8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84" xr:uid="{00000000-0002-0000-0200-000003000000}">
      <formula1>"Implemented,Testing,Failed,Compensated,Risk Accepted,N/A"</formula1>
    </dataValidation>
  </dataValidations>
  <hyperlinks>
    <hyperlink ref="A8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560</v>
      </c>
      <c r="C2" s="308" t="s">
        <v>560</v>
      </c>
      <c r="D2" s="308" t="s">
        <v>560</v>
      </c>
      <c r="E2" s="308" t="s">
        <v>560</v>
      </c>
      <c r="F2" s="308" t="s">
        <v>560</v>
      </c>
      <c r="G2" s="308" t="s">
        <v>560</v>
      </c>
      <c r="H2" s="312" t="s">
        <v>561</v>
      </c>
      <c r="I2" s="312" t="s">
        <v>561</v>
      </c>
      <c r="J2" s="312" t="s">
        <v>561</v>
      </c>
      <c r="K2" s="312" t="s">
        <v>561</v>
      </c>
      <c r="L2" s="312" t="s">
        <v>561</v>
      </c>
      <c r="M2" s="311" t="s">
        <v>562</v>
      </c>
      <c r="N2" s="311" t="s">
        <v>562</v>
      </c>
      <c r="O2" s="313" t="s">
        <v>563</v>
      </c>
      <c r="P2" s="313" t="s">
        <v>563</v>
      </c>
      <c r="Q2" s="309" t="s">
        <v>12</v>
      </c>
      <c r="R2" s="309" t="s">
        <v>12</v>
      </c>
      <c r="S2" s="309" t="s">
        <v>12</v>
      </c>
      <c r="T2" s="310" t="s">
        <v>564</v>
      </c>
    </row>
    <row r="3" spans="2:20" ht="35" customHeight="1" x14ac:dyDescent="0.35">
      <c r="B3" s="73" t="s">
        <v>565</v>
      </c>
      <c r="C3" s="73" t="s">
        <v>566</v>
      </c>
      <c r="D3" s="73" t="s">
        <v>567</v>
      </c>
      <c r="E3" s="73" t="s">
        <v>568</v>
      </c>
      <c r="F3" s="73" t="s">
        <v>569</v>
      </c>
      <c r="G3" s="73" t="s">
        <v>10</v>
      </c>
      <c r="H3" s="74" t="s">
        <v>570</v>
      </c>
      <c r="I3" s="74" t="s">
        <v>571</v>
      </c>
      <c r="J3" s="74" t="s">
        <v>572</v>
      </c>
      <c r="K3" s="74" t="s">
        <v>573</v>
      </c>
      <c r="L3" s="74" t="s">
        <v>504</v>
      </c>
      <c r="M3" s="75" t="s">
        <v>574</v>
      </c>
      <c r="N3" s="75" t="s">
        <v>575</v>
      </c>
      <c r="O3" s="76" t="s">
        <v>576</v>
      </c>
      <c r="P3" s="76" t="s">
        <v>577</v>
      </c>
      <c r="Q3" s="77" t="s">
        <v>12</v>
      </c>
      <c r="R3" s="77" t="s">
        <v>578</v>
      </c>
      <c r="S3" s="77" t="s">
        <v>579</v>
      </c>
      <c r="T3" s="78" t="s">
        <v>580</v>
      </c>
    </row>
    <row r="4" spans="2:20" ht="60" customHeight="1" x14ac:dyDescent="0.35">
      <c r="B4" s="79" t="s">
        <v>581</v>
      </c>
      <c r="C4" s="79" t="s">
        <v>582</v>
      </c>
      <c r="D4" s="79" t="s">
        <v>583</v>
      </c>
      <c r="E4" s="79" t="s">
        <v>584</v>
      </c>
      <c r="F4" s="79" t="s">
        <v>585</v>
      </c>
      <c r="G4" s="79" t="s">
        <v>586</v>
      </c>
      <c r="H4" s="79" t="s">
        <v>587</v>
      </c>
      <c r="I4" s="79" t="s">
        <v>588</v>
      </c>
      <c r="J4" s="79" t="s">
        <v>589</v>
      </c>
      <c r="K4" s="79" t="s">
        <v>590</v>
      </c>
      <c r="L4" s="79" t="s">
        <v>591</v>
      </c>
      <c r="M4" s="79" t="s">
        <v>592</v>
      </c>
      <c r="N4" s="79" t="s">
        <v>593</v>
      </c>
      <c r="O4" s="79" t="s">
        <v>594</v>
      </c>
      <c r="P4" s="79" t="s">
        <v>595</v>
      </c>
      <c r="Q4" s="79" t="s">
        <v>596</v>
      </c>
      <c r="R4" s="79" t="s">
        <v>597</v>
      </c>
      <c r="S4" s="79" t="s">
        <v>598</v>
      </c>
      <c r="T4" s="79" t="s">
        <v>599</v>
      </c>
    </row>
    <row r="5" spans="2:20" ht="60" customHeight="1" x14ac:dyDescent="0.35">
      <c r="B5" s="41" t="s">
        <v>600</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601</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602</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603</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604</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605</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606</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607</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608</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609</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610</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611</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612</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613</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614</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615</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616</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617</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618</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619</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620</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621</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622</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623</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624</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625</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626</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627</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628</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629</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630</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631</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632</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633</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634</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635</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636</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637</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638</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639</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640</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641</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642</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643</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644</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645</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646</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647</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648</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649</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407</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650</v>
      </c>
      <c r="B1" s="107" t="s">
        <v>0</v>
      </c>
      <c r="C1" s="107" t="s">
        <v>651</v>
      </c>
      <c r="D1" s="107" t="s">
        <v>10</v>
      </c>
      <c r="E1" s="107" t="s">
        <v>652</v>
      </c>
      <c r="F1" s="107" t="s">
        <v>653</v>
      </c>
      <c r="G1" s="107" t="s">
        <v>654</v>
      </c>
      <c r="H1" s="107" t="s">
        <v>655</v>
      </c>
      <c r="I1" s="107" t="s">
        <v>656</v>
      </c>
      <c r="J1" s="107" t="s">
        <v>657</v>
      </c>
      <c r="K1" s="107" t="s">
        <v>658</v>
      </c>
      <c r="L1" s="107" t="s">
        <v>659</v>
      </c>
      <c r="M1" s="107" t="s">
        <v>660</v>
      </c>
      <c r="N1" s="107" t="s">
        <v>661</v>
      </c>
      <c r="O1" s="107" t="s">
        <v>662</v>
      </c>
      <c r="P1" s="107" t="s">
        <v>663</v>
      </c>
      <c r="Q1" s="107" t="s">
        <v>664</v>
      </c>
      <c r="R1" s="107" t="s">
        <v>665</v>
      </c>
      <c r="S1" s="107" t="s">
        <v>666</v>
      </c>
      <c r="T1" s="107" t="s">
        <v>667</v>
      </c>
      <c r="U1" s="107" t="s">
        <v>668</v>
      </c>
      <c r="V1" s="107" t="s">
        <v>669</v>
      </c>
      <c r="W1" s="107" t="s">
        <v>670</v>
      </c>
      <c r="X1" s="107" t="s">
        <v>671</v>
      </c>
      <c r="Y1" s="107" t="s">
        <v>672</v>
      </c>
      <c r="Z1" s="107" t="s">
        <v>673</v>
      </c>
      <c r="AA1" s="107" t="s">
        <v>674</v>
      </c>
      <c r="AB1" s="107" t="s">
        <v>675</v>
      </c>
      <c r="AC1" s="107" t="s">
        <v>676</v>
      </c>
      <c r="AD1" s="107" t="s">
        <v>677</v>
      </c>
      <c r="AE1" s="107" t="s">
        <v>678</v>
      </c>
      <c r="AF1" s="107" t="s">
        <v>679</v>
      </c>
      <c r="AG1" s="107" t="s">
        <v>680</v>
      </c>
      <c r="AH1" s="107" t="s">
        <v>681</v>
      </c>
      <c r="AI1" s="107" t="s">
        <v>682</v>
      </c>
      <c r="AJ1" s="107" t="s">
        <v>683</v>
      </c>
      <c r="AK1" s="107" t="s">
        <v>684</v>
      </c>
      <c r="AL1" s="107" t="s">
        <v>685</v>
      </c>
      <c r="AM1" s="107" t="s">
        <v>686</v>
      </c>
      <c r="AN1" s="107" t="s">
        <v>687</v>
      </c>
      <c r="AO1" s="107" t="s">
        <v>688</v>
      </c>
      <c r="AP1" s="107" t="s">
        <v>689</v>
      </c>
      <c r="AQ1" s="107" t="s">
        <v>690</v>
      </c>
      <c r="AR1" s="107" t="s">
        <v>691</v>
      </c>
      <c r="AS1" s="107" t="s">
        <v>692</v>
      </c>
      <c r="AT1" s="107" t="s">
        <v>693</v>
      </c>
      <c r="AU1" s="107" t="s">
        <v>694</v>
      </c>
      <c r="AV1" s="107" t="s">
        <v>695</v>
      </c>
      <c r="AW1" s="108" t="s">
        <v>696</v>
      </c>
    </row>
    <row r="2" spans="1:49" ht="60" customHeight="1" outlineLevel="1" x14ac:dyDescent="0.35">
      <c r="A2" s="100" t="s">
        <v>697</v>
      </c>
      <c r="B2" s="83">
        <v>1</v>
      </c>
      <c r="C2" s="85" t="s">
        <v>21</v>
      </c>
      <c r="D2" s="87" t="s">
        <v>698</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697</v>
      </c>
      <c r="B3" s="84" t="s">
        <v>699</v>
      </c>
      <c r="C3" s="86" t="s">
        <v>700</v>
      </c>
      <c r="D3" s="88" t="s">
        <v>701</v>
      </c>
      <c r="E3" s="88" t="s">
        <v>702</v>
      </c>
      <c r="F3" s="89" t="s">
        <v>703</v>
      </c>
      <c r="G3" s="89" t="s">
        <v>704</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697</v>
      </c>
      <c r="B4" s="84" t="s">
        <v>705</v>
      </c>
      <c r="C4" s="86" t="s">
        <v>706</v>
      </c>
      <c r="D4" s="88" t="s">
        <v>707</v>
      </c>
      <c r="E4" s="88" t="s">
        <v>708</v>
      </c>
      <c r="F4" s="89" t="s">
        <v>703</v>
      </c>
      <c r="G4" s="89" t="s">
        <v>709</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697</v>
      </c>
      <c r="B5" s="84" t="s">
        <v>710</v>
      </c>
      <c r="C5" s="86" t="s">
        <v>711</v>
      </c>
      <c r="D5" s="88" t="s">
        <v>712</v>
      </c>
      <c r="E5" s="88" t="s">
        <v>713</v>
      </c>
      <c r="F5" s="89" t="s">
        <v>703</v>
      </c>
      <c r="G5" s="89" t="s">
        <v>714</v>
      </c>
      <c r="H5" s="89">
        <v>2</v>
      </c>
      <c r="I5" s="91">
        <f>IF(COUNTIF(J5:AW5,"&lt;&gt;")=0,"",SUMPRODUCT(((Recommendations[ImplStatus]="Implemented")+(Recommendations[ImplStatus]="Compensated"))*ISNUMBER(MATCH(Recommendations[Id],J5:AW5,0)))/COUNTIF(J5:AW5,"&lt;&gt;"))</f>
        <v>0</v>
      </c>
      <c r="J5" s="93" t="s">
        <v>30</v>
      </c>
      <c r="K5" s="93" t="s">
        <v>55</v>
      </c>
      <c r="L5" s="93" t="s">
        <v>85</v>
      </c>
      <c r="M5" s="93" t="s">
        <v>128</v>
      </c>
      <c r="N5" s="93" t="s">
        <v>157</v>
      </c>
      <c r="O5" s="93" t="s">
        <v>162</v>
      </c>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697</v>
      </c>
      <c r="B6" s="84" t="s">
        <v>715</v>
      </c>
      <c r="C6" s="86" t="s">
        <v>716</v>
      </c>
      <c r="D6" s="88" t="s">
        <v>717</v>
      </c>
      <c r="E6" s="88" t="s">
        <v>718</v>
      </c>
      <c r="F6" s="89" t="s">
        <v>703</v>
      </c>
      <c r="G6" s="89" t="s">
        <v>704</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697</v>
      </c>
      <c r="B7" s="84" t="s">
        <v>719</v>
      </c>
      <c r="C7" s="86" t="s">
        <v>720</v>
      </c>
      <c r="D7" s="88" t="s">
        <v>721</v>
      </c>
      <c r="E7" s="88" t="s">
        <v>722</v>
      </c>
      <c r="F7" s="89" t="s">
        <v>703</v>
      </c>
      <c r="G7" s="89" t="s">
        <v>714</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723</v>
      </c>
      <c r="B8" s="83">
        <v>2</v>
      </c>
      <c r="C8" s="85" t="s">
        <v>21</v>
      </c>
      <c r="D8" s="87" t="s">
        <v>724</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723</v>
      </c>
      <c r="B9" s="84" t="s">
        <v>725</v>
      </c>
      <c r="C9" s="86" t="s">
        <v>726</v>
      </c>
      <c r="D9" s="88" t="s">
        <v>727</v>
      </c>
      <c r="E9" s="88" t="s">
        <v>728</v>
      </c>
      <c r="F9" s="89" t="s">
        <v>729</v>
      </c>
      <c r="G9" s="89" t="s">
        <v>704</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723</v>
      </c>
      <c r="B10" s="84" t="s">
        <v>730</v>
      </c>
      <c r="C10" s="86" t="s">
        <v>731</v>
      </c>
      <c r="D10" s="88" t="s">
        <v>732</v>
      </c>
      <c r="E10" s="88" t="s">
        <v>733</v>
      </c>
      <c r="F10" s="89" t="s">
        <v>729</v>
      </c>
      <c r="G10" s="89" t="s">
        <v>704</v>
      </c>
      <c r="H10" s="89">
        <v>1</v>
      </c>
      <c r="I10" s="91">
        <f>IF(COUNTIF(J10:AW10,"&lt;&gt;")=0,"",SUMPRODUCT(((Recommendations[ImplStatus]="Implemented")+(Recommendations[ImplStatus]="Compensated"))*ISNUMBER(MATCH(Recommendations[Id],J10:AW10,0)))/COUNTIF(J10:AW10,"&lt;&gt;"))</f>
        <v>0</v>
      </c>
      <c r="J10" s="93" t="s">
        <v>265</v>
      </c>
      <c r="K10" s="93" t="s">
        <v>275</v>
      </c>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723</v>
      </c>
      <c r="B11" s="84" t="s">
        <v>734</v>
      </c>
      <c r="C11" s="86" t="s">
        <v>735</v>
      </c>
      <c r="D11" s="88" t="s">
        <v>736</v>
      </c>
      <c r="E11" s="88" t="s">
        <v>737</v>
      </c>
      <c r="F11" s="89" t="s">
        <v>729</v>
      </c>
      <c r="G11" s="89" t="s">
        <v>709</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723</v>
      </c>
      <c r="B12" s="84" t="s">
        <v>738</v>
      </c>
      <c r="C12" s="86" t="s">
        <v>739</v>
      </c>
      <c r="D12" s="88" t="s">
        <v>740</v>
      </c>
      <c r="E12" s="88" t="s">
        <v>741</v>
      </c>
      <c r="F12" s="89" t="s">
        <v>729</v>
      </c>
      <c r="G12" s="89" t="s">
        <v>714</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723</v>
      </c>
      <c r="B13" s="84" t="s">
        <v>742</v>
      </c>
      <c r="C13" s="86" t="s">
        <v>743</v>
      </c>
      <c r="D13" s="88" t="s">
        <v>744</v>
      </c>
      <c r="E13" s="88" t="s">
        <v>745</v>
      </c>
      <c r="F13" s="89" t="s">
        <v>729</v>
      </c>
      <c r="G13" s="89" t="s">
        <v>746</v>
      </c>
      <c r="H13" s="89">
        <v>2</v>
      </c>
      <c r="I13" s="91" t="str">
        <f>IF(COUNTIF(J13:AW13,"&lt;&gt;")=0,"",SUMPRODUCT(((Recommendations[ImplStatus]="Implemented")+(Recommendations[ImplStatus]="Compensated"))*ISNUMBER(MATCH(Recommendations[Id],J13:AW13,0)))/COUNTIF(J13:AW13,"&lt;&gt;"))</f>
        <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723</v>
      </c>
      <c r="B14" s="84" t="s">
        <v>747</v>
      </c>
      <c r="C14" s="86" t="s">
        <v>748</v>
      </c>
      <c r="D14" s="88" t="s">
        <v>749</v>
      </c>
      <c r="E14" s="88" t="s">
        <v>750</v>
      </c>
      <c r="F14" s="89" t="s">
        <v>729</v>
      </c>
      <c r="G14" s="89" t="s">
        <v>746</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723</v>
      </c>
      <c r="B15" s="84" t="s">
        <v>751</v>
      </c>
      <c r="C15" s="86" t="s">
        <v>752</v>
      </c>
      <c r="D15" s="88" t="s">
        <v>753</v>
      </c>
      <c r="E15" s="88" t="s">
        <v>754</v>
      </c>
      <c r="F15" s="89" t="s">
        <v>729</v>
      </c>
      <c r="G15" s="89" t="s">
        <v>746</v>
      </c>
      <c r="H15" s="89">
        <v>3</v>
      </c>
      <c r="I15" s="91">
        <f>IF(COUNTIF(J15:AW15,"&lt;&gt;")=0,"",SUMPRODUCT(((Recommendations[ImplStatus]="Implemented")+(Recommendations[ImplStatus]="Compensated"))*ISNUMBER(MATCH(Recommendations[Id],J15:AW15,0)))/COUNTIF(J15:AW15,"&lt;&gt;"))</f>
        <v>0</v>
      </c>
      <c r="J15" s="93" t="s">
        <v>363</v>
      </c>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755</v>
      </c>
      <c r="B16" s="83">
        <v>3</v>
      </c>
      <c r="C16" s="85" t="s">
        <v>21</v>
      </c>
      <c r="D16" s="87" t="s">
        <v>756</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755</v>
      </c>
      <c r="B17" s="84" t="s">
        <v>757</v>
      </c>
      <c r="C17" s="86" t="s">
        <v>758</v>
      </c>
      <c r="D17" s="88" t="s">
        <v>759</v>
      </c>
      <c r="E17" s="88" t="s">
        <v>760</v>
      </c>
      <c r="F17" s="89" t="s">
        <v>761</v>
      </c>
      <c r="G17" s="89" t="s">
        <v>762</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755</v>
      </c>
      <c r="B18" s="84" t="s">
        <v>763</v>
      </c>
      <c r="C18" s="86" t="s">
        <v>764</v>
      </c>
      <c r="D18" s="88" t="s">
        <v>765</v>
      </c>
      <c r="E18" s="88" t="s">
        <v>766</v>
      </c>
      <c r="F18" s="89" t="s">
        <v>761</v>
      </c>
      <c r="G18" s="89" t="s">
        <v>704</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755</v>
      </c>
      <c r="B19" s="84" t="s">
        <v>767</v>
      </c>
      <c r="C19" s="86" t="s">
        <v>768</v>
      </c>
      <c r="D19" s="88" t="s">
        <v>769</v>
      </c>
      <c r="E19" s="88" t="s">
        <v>770</v>
      </c>
      <c r="F19" s="89" t="s">
        <v>761</v>
      </c>
      <c r="G19" s="89" t="s">
        <v>746</v>
      </c>
      <c r="H19" s="89">
        <v>1</v>
      </c>
      <c r="I19" s="91" t="str">
        <f>IF(COUNTIF(J19:AW19,"&lt;&gt;")=0,"",SUMPRODUCT(((Recommendations[ImplStatus]="Implemented")+(Recommendations[ImplStatus]="Compensated"))*ISNUMBER(MATCH(Recommendations[Id],J19:AW19,0)))/COUNTIF(J19:AW19,"&lt;&gt;"))</f>
        <v/>
      </c>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755</v>
      </c>
      <c r="B20" s="84" t="s">
        <v>771</v>
      </c>
      <c r="C20" s="86" t="s">
        <v>772</v>
      </c>
      <c r="D20" s="88" t="s">
        <v>773</v>
      </c>
      <c r="E20" s="88" t="s">
        <v>774</v>
      </c>
      <c r="F20" s="89" t="s">
        <v>761</v>
      </c>
      <c r="G20" s="89" t="s">
        <v>746</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755</v>
      </c>
      <c r="B21" s="84" t="s">
        <v>775</v>
      </c>
      <c r="C21" s="86" t="s">
        <v>776</v>
      </c>
      <c r="D21" s="88" t="s">
        <v>777</v>
      </c>
      <c r="E21" s="88" t="s">
        <v>778</v>
      </c>
      <c r="F21" s="89" t="s">
        <v>761</v>
      </c>
      <c r="G21" s="89" t="s">
        <v>746</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755</v>
      </c>
      <c r="B22" s="84" t="s">
        <v>779</v>
      </c>
      <c r="C22" s="86" t="s">
        <v>780</v>
      </c>
      <c r="D22" s="88" t="s">
        <v>781</v>
      </c>
      <c r="E22" s="88" t="s">
        <v>782</v>
      </c>
      <c r="F22" s="89" t="s">
        <v>761</v>
      </c>
      <c r="G22" s="89" t="s">
        <v>746</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755</v>
      </c>
      <c r="B23" s="84" t="s">
        <v>783</v>
      </c>
      <c r="C23" s="86" t="s">
        <v>784</v>
      </c>
      <c r="D23" s="88" t="s">
        <v>785</v>
      </c>
      <c r="E23" s="88" t="s">
        <v>786</v>
      </c>
      <c r="F23" s="89" t="s">
        <v>761</v>
      </c>
      <c r="G23" s="89" t="s">
        <v>704</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755</v>
      </c>
      <c r="B24" s="84" t="s">
        <v>787</v>
      </c>
      <c r="C24" s="86" t="s">
        <v>788</v>
      </c>
      <c r="D24" s="88" t="s">
        <v>789</v>
      </c>
      <c r="E24" s="88" t="s">
        <v>790</v>
      </c>
      <c r="F24" s="89" t="s">
        <v>761</v>
      </c>
      <c r="G24" s="89" t="s">
        <v>704</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755</v>
      </c>
      <c r="B25" s="84" t="s">
        <v>791</v>
      </c>
      <c r="C25" s="86" t="s">
        <v>792</v>
      </c>
      <c r="D25" s="88" t="s">
        <v>793</v>
      </c>
      <c r="E25" s="88" t="s">
        <v>794</v>
      </c>
      <c r="F25" s="89" t="s">
        <v>761</v>
      </c>
      <c r="G25" s="89" t="s">
        <v>746</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755</v>
      </c>
      <c r="B26" s="84" t="s">
        <v>795</v>
      </c>
      <c r="C26" s="86" t="s">
        <v>796</v>
      </c>
      <c r="D26" s="88" t="s">
        <v>797</v>
      </c>
      <c r="E26" s="88" t="s">
        <v>798</v>
      </c>
      <c r="F26" s="89" t="s">
        <v>761</v>
      </c>
      <c r="G26" s="89" t="s">
        <v>746</v>
      </c>
      <c r="H26" s="89">
        <v>2</v>
      </c>
      <c r="I26" s="91">
        <f>IF(COUNTIF(J26:AW26,"&lt;&gt;")=0,"",SUMPRODUCT(((Recommendations[ImplStatus]="Implemented")+(Recommendations[ImplStatus]="Compensated"))*ISNUMBER(MATCH(Recommendations[Id],J26:AW26,0)))/COUNTIF(J26:AW26,"&lt;&gt;"))</f>
        <v>0</v>
      </c>
      <c r="J26" s="93" t="s">
        <v>14</v>
      </c>
      <c r="K26" s="93" t="s">
        <v>147</v>
      </c>
      <c r="L26" s="93" t="s">
        <v>152</v>
      </c>
      <c r="M26" s="93" t="s">
        <v>310</v>
      </c>
      <c r="N26" s="93" t="s">
        <v>358</v>
      </c>
      <c r="O26" s="93" t="s">
        <v>368</v>
      </c>
      <c r="P26" s="93" t="s">
        <v>378</v>
      </c>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755</v>
      </c>
      <c r="B27" s="84" t="s">
        <v>799</v>
      </c>
      <c r="C27" s="86" t="s">
        <v>800</v>
      </c>
      <c r="D27" s="88" t="s">
        <v>801</v>
      </c>
      <c r="E27" s="88" t="s">
        <v>802</v>
      </c>
      <c r="F27" s="89" t="s">
        <v>761</v>
      </c>
      <c r="G27" s="89" t="s">
        <v>746</v>
      </c>
      <c r="H27" s="89">
        <v>2</v>
      </c>
      <c r="I27" s="91" t="str">
        <f>IF(COUNTIF(J27:AW27,"&lt;&gt;")=0,"",SUMPRODUCT(((Recommendations[ImplStatus]="Implemented")+(Recommendations[ImplStatus]="Compensated"))*ISNUMBER(MATCH(Recommendations[Id],J27:AW27,0)))/COUNTIF(J27:AW27,"&lt;&gt;"))</f>
        <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755</v>
      </c>
      <c r="B28" s="84" t="s">
        <v>803</v>
      </c>
      <c r="C28" s="86" t="s">
        <v>804</v>
      </c>
      <c r="D28" s="88" t="s">
        <v>805</v>
      </c>
      <c r="E28" s="88" t="s">
        <v>806</v>
      </c>
      <c r="F28" s="89" t="s">
        <v>761</v>
      </c>
      <c r="G28" s="89" t="s">
        <v>746</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755</v>
      </c>
      <c r="B29" s="84" t="s">
        <v>807</v>
      </c>
      <c r="C29" s="86" t="s">
        <v>808</v>
      </c>
      <c r="D29" s="88" t="s">
        <v>809</v>
      </c>
      <c r="E29" s="88" t="s">
        <v>810</v>
      </c>
      <c r="F29" s="89" t="s">
        <v>761</v>
      </c>
      <c r="G29" s="89" t="s">
        <v>746</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755</v>
      </c>
      <c r="B30" s="84" t="s">
        <v>811</v>
      </c>
      <c r="C30" s="86" t="s">
        <v>812</v>
      </c>
      <c r="D30" s="88" t="s">
        <v>813</v>
      </c>
      <c r="E30" s="88" t="s">
        <v>814</v>
      </c>
      <c r="F30" s="89" t="s">
        <v>761</v>
      </c>
      <c r="G30" s="89" t="s">
        <v>714</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815</v>
      </c>
      <c r="B31" s="83">
        <v>4</v>
      </c>
      <c r="C31" s="85" t="s">
        <v>21</v>
      </c>
      <c r="D31" s="87" t="s">
        <v>816</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815</v>
      </c>
      <c r="B32" s="84" t="s">
        <v>817</v>
      </c>
      <c r="C32" s="86" t="s">
        <v>818</v>
      </c>
      <c r="D32" s="88" t="s">
        <v>819</v>
      </c>
      <c r="E32" s="88" t="s">
        <v>820</v>
      </c>
      <c r="F32" s="89" t="s">
        <v>821</v>
      </c>
      <c r="G32" s="89" t="s">
        <v>762</v>
      </c>
      <c r="H32" s="89">
        <v>1</v>
      </c>
      <c r="I32" s="91">
        <f>IF(COUNTIF(J32:AW32,"&lt;&gt;")=0,"",SUMPRODUCT(((Recommendations[ImplStatus]="Implemented")+(Recommendations[ImplStatus]="Compensated"))*ISNUMBER(MATCH(Recommendations[Id],J32:AW32,0)))/COUNTIF(J32:AW32,"&lt;&gt;"))</f>
        <v>0</v>
      </c>
      <c r="J32" s="93" t="s">
        <v>30</v>
      </c>
      <c r="K32" s="93" t="s">
        <v>85</v>
      </c>
      <c r="L32" s="93" t="s">
        <v>157</v>
      </c>
      <c r="M32" s="93" t="s">
        <v>162</v>
      </c>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815</v>
      </c>
      <c r="B33" s="84" t="s">
        <v>822</v>
      </c>
      <c r="C33" s="86" t="s">
        <v>823</v>
      </c>
      <c r="D33" s="88" t="s">
        <v>824</v>
      </c>
      <c r="E33" s="88" t="s">
        <v>825</v>
      </c>
      <c r="F33" s="89" t="s">
        <v>821</v>
      </c>
      <c r="G33" s="89" t="s">
        <v>762</v>
      </c>
      <c r="H33" s="89">
        <v>1</v>
      </c>
      <c r="I33" s="91" t="str">
        <f>IF(COUNTIF(J33:AW33,"&lt;&gt;")=0,"",SUMPRODUCT(((Recommendations[ImplStatus]="Implemented")+(Recommendations[ImplStatus]="Compensated"))*ISNUMBER(MATCH(Recommendations[Id],J33:AW33,0)))/COUNTIF(J33:AW33,"&lt;&gt;"))</f>
        <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815</v>
      </c>
      <c r="B34" s="84" t="s">
        <v>826</v>
      </c>
      <c r="C34" s="86" t="s">
        <v>827</v>
      </c>
      <c r="D34" s="88" t="s">
        <v>828</v>
      </c>
      <c r="E34" s="88" t="s">
        <v>829</v>
      </c>
      <c r="F34" s="89" t="s">
        <v>703</v>
      </c>
      <c r="G34" s="89" t="s">
        <v>746</v>
      </c>
      <c r="H34" s="89">
        <v>1</v>
      </c>
      <c r="I34" s="91">
        <f>IF(COUNTIF(J34:AW34,"&lt;&gt;")=0,"",SUMPRODUCT(((Recommendations[ImplStatus]="Implemented")+(Recommendations[ImplStatus]="Compensated"))*ISNUMBER(MATCH(Recommendations[Id],J34:AW34,0)))/COUNTIF(J34:AW34,"&lt;&gt;"))</f>
        <v>0</v>
      </c>
      <c r="J34" s="93" t="s">
        <v>373</v>
      </c>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815</v>
      </c>
      <c r="B35" s="84" t="s">
        <v>830</v>
      </c>
      <c r="C35" s="86" t="s">
        <v>831</v>
      </c>
      <c r="D35" s="88" t="s">
        <v>832</v>
      </c>
      <c r="E35" s="88" t="s">
        <v>833</v>
      </c>
      <c r="F35" s="89" t="s">
        <v>703</v>
      </c>
      <c r="G35" s="89" t="s">
        <v>746</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815</v>
      </c>
      <c r="B36" s="84" t="s">
        <v>834</v>
      </c>
      <c r="C36" s="86" t="s">
        <v>835</v>
      </c>
      <c r="D36" s="88" t="s">
        <v>836</v>
      </c>
      <c r="E36" s="88" t="s">
        <v>837</v>
      </c>
      <c r="F36" s="89" t="s">
        <v>703</v>
      </c>
      <c r="G36" s="89" t="s">
        <v>746</v>
      </c>
      <c r="H36" s="89">
        <v>1</v>
      </c>
      <c r="I36" s="91">
        <f>IF(COUNTIF(J36:AW36,"&lt;&gt;")=0,"",SUMPRODUCT(((Recommendations[ImplStatus]="Implemented")+(Recommendations[ImplStatus]="Compensated"))*ISNUMBER(MATCH(Recommendations[Id],J36:AW36,0)))/COUNTIF(J36:AW36,"&lt;&gt;"))</f>
        <v>0</v>
      </c>
      <c r="J36" s="93" t="s">
        <v>35</v>
      </c>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815</v>
      </c>
      <c r="B37" s="84" t="s">
        <v>838</v>
      </c>
      <c r="C37" s="86" t="s">
        <v>839</v>
      </c>
      <c r="D37" s="88" t="s">
        <v>840</v>
      </c>
      <c r="E37" s="88" t="s">
        <v>841</v>
      </c>
      <c r="F37" s="89" t="s">
        <v>703</v>
      </c>
      <c r="G37" s="89" t="s">
        <v>746</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815</v>
      </c>
      <c r="B38" s="84" t="s">
        <v>842</v>
      </c>
      <c r="C38" s="86" t="s">
        <v>843</v>
      </c>
      <c r="D38" s="88" t="s">
        <v>844</v>
      </c>
      <c r="E38" s="88" t="s">
        <v>845</v>
      </c>
      <c r="F38" s="89" t="s">
        <v>846</v>
      </c>
      <c r="G38" s="89" t="s">
        <v>746</v>
      </c>
      <c r="H38" s="89">
        <v>1</v>
      </c>
      <c r="I38" s="91">
        <f>IF(COUNTIF(J38:AW38,"&lt;&gt;")=0,"",SUMPRODUCT(((Recommendations[ImplStatus]="Implemented")+(Recommendations[ImplStatus]="Compensated"))*ISNUMBER(MATCH(Recommendations[Id],J38:AW38,0)))/COUNTIF(J38:AW38,"&lt;&gt;"))</f>
        <v>0</v>
      </c>
      <c r="J38" s="93" t="s">
        <v>195</v>
      </c>
      <c r="K38" s="93" t="s">
        <v>215</v>
      </c>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815</v>
      </c>
      <c r="B39" s="84" t="s">
        <v>847</v>
      </c>
      <c r="C39" s="86" t="s">
        <v>848</v>
      </c>
      <c r="D39" s="88" t="s">
        <v>849</v>
      </c>
      <c r="E39" s="88" t="s">
        <v>850</v>
      </c>
      <c r="F39" s="89" t="s">
        <v>703</v>
      </c>
      <c r="G39" s="89" t="s">
        <v>746</v>
      </c>
      <c r="H39" s="89">
        <v>2</v>
      </c>
      <c r="I39" s="91">
        <f>IF(COUNTIF(J39:AW39,"&lt;&gt;")=0,"",SUMPRODUCT(((Recommendations[ImplStatus]="Implemented")+(Recommendations[ImplStatus]="Compensated"))*ISNUMBER(MATCH(Recommendations[Id],J39:AW39,0)))/COUNTIF(J39:AW39,"&lt;&gt;"))</f>
        <v>0</v>
      </c>
      <c r="J39" s="93" t="s">
        <v>295</v>
      </c>
      <c r="K39" s="93" t="s">
        <v>300</v>
      </c>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815</v>
      </c>
      <c r="B40" s="84" t="s">
        <v>851</v>
      </c>
      <c r="C40" s="86" t="s">
        <v>852</v>
      </c>
      <c r="D40" s="88" t="s">
        <v>853</v>
      </c>
      <c r="E40" s="88" t="s">
        <v>854</v>
      </c>
      <c r="F40" s="89" t="s">
        <v>703</v>
      </c>
      <c r="G40" s="89" t="s">
        <v>746</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815</v>
      </c>
      <c r="B41" s="84" t="s">
        <v>855</v>
      </c>
      <c r="C41" s="86" t="s">
        <v>856</v>
      </c>
      <c r="D41" s="88" t="s">
        <v>857</v>
      </c>
      <c r="E41" s="88" t="s">
        <v>858</v>
      </c>
      <c r="F41" s="89" t="s">
        <v>703</v>
      </c>
      <c r="G41" s="89" t="s">
        <v>746</v>
      </c>
      <c r="H41" s="89">
        <v>2</v>
      </c>
      <c r="I41" s="91">
        <f>IF(COUNTIF(J41:AW41,"&lt;&gt;")=0,"",SUMPRODUCT(((Recommendations[ImplStatus]="Implemented")+(Recommendations[ImplStatus]="Compensated"))*ISNUMBER(MATCH(Recommendations[Id],J41:AW41,0)))/COUNTIF(J41:AW41,"&lt;&gt;"))</f>
        <v>0</v>
      </c>
      <c r="J41" s="93" t="s">
        <v>210</v>
      </c>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815</v>
      </c>
      <c r="B42" s="84" t="s">
        <v>859</v>
      </c>
      <c r="C42" s="86" t="s">
        <v>860</v>
      </c>
      <c r="D42" s="88" t="s">
        <v>861</v>
      </c>
      <c r="E42" s="88" t="s">
        <v>862</v>
      </c>
      <c r="F42" s="89" t="s">
        <v>761</v>
      </c>
      <c r="G42" s="89" t="s">
        <v>746</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815</v>
      </c>
      <c r="B43" s="84" t="s">
        <v>863</v>
      </c>
      <c r="C43" s="86" t="s">
        <v>864</v>
      </c>
      <c r="D43" s="88" t="s">
        <v>865</v>
      </c>
      <c r="E43" s="88" t="s">
        <v>866</v>
      </c>
      <c r="F43" s="89" t="s">
        <v>761</v>
      </c>
      <c r="G43" s="89" t="s">
        <v>746</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867</v>
      </c>
      <c r="B44" s="83">
        <v>5</v>
      </c>
      <c r="C44" s="85" t="s">
        <v>21</v>
      </c>
      <c r="D44" s="87" t="s">
        <v>868</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867</v>
      </c>
      <c r="B45" s="84" t="s">
        <v>869</v>
      </c>
      <c r="C45" s="86" t="s">
        <v>870</v>
      </c>
      <c r="D45" s="88" t="s">
        <v>871</v>
      </c>
      <c r="E45" s="88" t="s">
        <v>872</v>
      </c>
      <c r="F45" s="89" t="s">
        <v>846</v>
      </c>
      <c r="G45" s="89" t="s">
        <v>704</v>
      </c>
      <c r="H45" s="89">
        <v>1</v>
      </c>
      <c r="I45" s="91">
        <f>IF(COUNTIF(J45:AW45,"&lt;&gt;")=0,"",SUMPRODUCT(((Recommendations[ImplStatus]="Implemented")+(Recommendations[ImplStatus]="Compensated"))*ISNUMBER(MATCH(Recommendations[Id],J45:AW45,0)))/COUNTIF(J45:AW45,"&lt;&gt;"))</f>
        <v>0</v>
      </c>
      <c r="J45" s="93" t="s">
        <v>178</v>
      </c>
      <c r="K45" s="93" t="s">
        <v>183</v>
      </c>
      <c r="L45" s="93" t="s">
        <v>186</v>
      </c>
      <c r="M45" s="93" t="s">
        <v>189</v>
      </c>
      <c r="N45" s="93" t="s">
        <v>192</v>
      </c>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867</v>
      </c>
      <c r="B46" s="84" t="s">
        <v>873</v>
      </c>
      <c r="C46" s="86" t="s">
        <v>874</v>
      </c>
      <c r="D46" s="88" t="s">
        <v>875</v>
      </c>
      <c r="E46" s="88" t="s">
        <v>876</v>
      </c>
      <c r="F46" s="89" t="s">
        <v>846</v>
      </c>
      <c r="G46" s="89" t="s">
        <v>746</v>
      </c>
      <c r="H46" s="89">
        <v>1</v>
      </c>
      <c r="I46" s="91">
        <f>IF(COUNTIF(J46:AW46,"&lt;&gt;")=0,"",SUMPRODUCT(((Recommendations[ImplStatus]="Implemented")+(Recommendations[ImplStatus]="Compensated"))*ISNUMBER(MATCH(Recommendations[Id],J46:AW46,0)))/COUNTIF(J46:AW46,"&lt;&gt;"))</f>
        <v>0</v>
      </c>
      <c r="J46" s="93" t="s">
        <v>320</v>
      </c>
      <c r="K46" s="93" t="s">
        <v>325</v>
      </c>
      <c r="L46" s="93" t="s">
        <v>330</v>
      </c>
      <c r="M46" s="93" t="s">
        <v>335</v>
      </c>
      <c r="N46" s="93" t="s">
        <v>339</v>
      </c>
      <c r="O46" s="93" t="s">
        <v>343</v>
      </c>
      <c r="P46" s="93" t="s">
        <v>348</v>
      </c>
      <c r="Q46" s="93" t="s">
        <v>353</v>
      </c>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867</v>
      </c>
      <c r="B47" s="84" t="s">
        <v>877</v>
      </c>
      <c r="C47" s="86" t="s">
        <v>878</v>
      </c>
      <c r="D47" s="88" t="s">
        <v>879</v>
      </c>
      <c r="E47" s="88" t="s">
        <v>880</v>
      </c>
      <c r="F47" s="89" t="s">
        <v>846</v>
      </c>
      <c r="G47" s="89" t="s">
        <v>746</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867</v>
      </c>
      <c r="B48" s="84" t="s">
        <v>881</v>
      </c>
      <c r="C48" s="86" t="s">
        <v>882</v>
      </c>
      <c r="D48" s="88" t="s">
        <v>883</v>
      </c>
      <c r="E48" s="88" t="s">
        <v>884</v>
      </c>
      <c r="F48" s="89" t="s">
        <v>846</v>
      </c>
      <c r="G48" s="89" t="s">
        <v>746</v>
      </c>
      <c r="H48" s="89">
        <v>1</v>
      </c>
      <c r="I48" s="91">
        <f>IF(COUNTIF(J48:AW48,"&lt;&gt;")=0,"",SUMPRODUCT(((Recommendations[ImplStatus]="Implemented")+(Recommendations[ImplStatus]="Compensated"))*ISNUMBER(MATCH(Recommendations[Id],J48:AW48,0)))/COUNTIF(J48:AW48,"&lt;&gt;"))</f>
        <v>0</v>
      </c>
      <c r="J48" s="93" t="s">
        <v>195</v>
      </c>
      <c r="K48" s="93" t="s">
        <v>200</v>
      </c>
      <c r="L48" s="93" t="s">
        <v>205</v>
      </c>
      <c r="M48" s="93" t="s">
        <v>215</v>
      </c>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867</v>
      </c>
      <c r="B49" s="84" t="s">
        <v>885</v>
      </c>
      <c r="C49" s="86" t="s">
        <v>886</v>
      </c>
      <c r="D49" s="88" t="s">
        <v>887</v>
      </c>
      <c r="E49" s="88" t="s">
        <v>888</v>
      </c>
      <c r="F49" s="89" t="s">
        <v>846</v>
      </c>
      <c r="G49" s="89" t="s">
        <v>704</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867</v>
      </c>
      <c r="B50" s="84" t="s">
        <v>889</v>
      </c>
      <c r="C50" s="86" t="s">
        <v>890</v>
      </c>
      <c r="D50" s="88" t="s">
        <v>891</v>
      </c>
      <c r="E50" s="88" t="s">
        <v>892</v>
      </c>
      <c r="F50" s="89" t="s">
        <v>846</v>
      </c>
      <c r="G50" s="89" t="s">
        <v>762</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893</v>
      </c>
      <c r="B51" s="83">
        <v>6</v>
      </c>
      <c r="C51" s="85" t="s">
        <v>21</v>
      </c>
      <c r="D51" s="87" t="s">
        <v>894</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893</v>
      </c>
      <c r="B52" s="84" t="s">
        <v>895</v>
      </c>
      <c r="C52" s="86" t="s">
        <v>896</v>
      </c>
      <c r="D52" s="88" t="s">
        <v>897</v>
      </c>
      <c r="E52" s="88" t="s">
        <v>898</v>
      </c>
      <c r="F52" s="89" t="s">
        <v>821</v>
      </c>
      <c r="G52" s="89" t="s">
        <v>762</v>
      </c>
      <c r="H52" s="89">
        <v>1</v>
      </c>
      <c r="I52" s="91">
        <f>IF(COUNTIF(J52:AW52,"&lt;&gt;")=0,"",SUMPRODUCT(((Recommendations[ImplStatus]="Implemented")+(Recommendations[ImplStatus]="Compensated"))*ISNUMBER(MATCH(Recommendations[Id],J52:AW52,0)))/COUNTIF(J52:AW52,"&lt;&gt;"))</f>
        <v>0</v>
      </c>
      <c r="J52" s="93" t="s">
        <v>178</v>
      </c>
      <c r="K52" s="93" t="s">
        <v>183</v>
      </c>
      <c r="L52" s="93" t="s">
        <v>186</v>
      </c>
      <c r="M52" s="93" t="s">
        <v>189</v>
      </c>
      <c r="N52" s="93" t="s">
        <v>192</v>
      </c>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893</v>
      </c>
      <c r="B53" s="84" t="s">
        <v>899</v>
      </c>
      <c r="C53" s="86" t="s">
        <v>900</v>
      </c>
      <c r="D53" s="88" t="s">
        <v>901</v>
      </c>
      <c r="E53" s="88" t="s">
        <v>902</v>
      </c>
      <c r="F53" s="89" t="s">
        <v>821</v>
      </c>
      <c r="G53" s="89" t="s">
        <v>762</v>
      </c>
      <c r="H53" s="89">
        <v>1</v>
      </c>
      <c r="I53" s="91">
        <f>IF(COUNTIF(J53:AW53,"&lt;&gt;")=0,"",SUMPRODUCT(((Recommendations[ImplStatus]="Implemented")+(Recommendations[ImplStatus]="Compensated"))*ISNUMBER(MATCH(Recommendations[Id],J53:AW53,0)))/COUNTIF(J53:AW53,"&lt;&gt;"))</f>
        <v>0</v>
      </c>
      <c r="J53" s="93" t="s">
        <v>178</v>
      </c>
      <c r="K53" s="93" t="s">
        <v>183</v>
      </c>
      <c r="L53" s="93" t="s">
        <v>186</v>
      </c>
      <c r="M53" s="93" t="s">
        <v>189</v>
      </c>
      <c r="N53" s="93" t="s">
        <v>192</v>
      </c>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893</v>
      </c>
      <c r="B54" s="84" t="s">
        <v>903</v>
      </c>
      <c r="C54" s="86" t="s">
        <v>904</v>
      </c>
      <c r="D54" s="88" t="s">
        <v>905</v>
      </c>
      <c r="E54" s="88" t="s">
        <v>906</v>
      </c>
      <c r="F54" s="89" t="s">
        <v>846</v>
      </c>
      <c r="G54" s="89" t="s">
        <v>746</v>
      </c>
      <c r="H54" s="89">
        <v>1</v>
      </c>
      <c r="I54" s="91">
        <f>IF(COUNTIF(J54:AW54,"&lt;&gt;")=0,"",SUMPRODUCT(((Recommendations[ImplStatus]="Implemented")+(Recommendations[ImplStatus]="Compensated"))*ISNUMBER(MATCH(Recommendations[Id],J54:AW54,0)))/COUNTIF(J54:AW54,"&lt;&gt;"))</f>
        <v>0</v>
      </c>
      <c r="J54" s="93" t="s">
        <v>305</v>
      </c>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893</v>
      </c>
      <c r="B55" s="84" t="s">
        <v>907</v>
      </c>
      <c r="C55" s="86" t="s">
        <v>908</v>
      </c>
      <c r="D55" s="88" t="s">
        <v>909</v>
      </c>
      <c r="E55" s="88" t="s">
        <v>910</v>
      </c>
      <c r="F55" s="89" t="s">
        <v>846</v>
      </c>
      <c r="G55" s="89" t="s">
        <v>746</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893</v>
      </c>
      <c r="B56" s="84" t="s">
        <v>911</v>
      </c>
      <c r="C56" s="86" t="s">
        <v>912</v>
      </c>
      <c r="D56" s="88" t="s">
        <v>913</v>
      </c>
      <c r="E56" s="88" t="s">
        <v>914</v>
      </c>
      <c r="F56" s="89" t="s">
        <v>846</v>
      </c>
      <c r="G56" s="89" t="s">
        <v>746</v>
      </c>
      <c r="H56" s="89">
        <v>1</v>
      </c>
      <c r="I56" s="91">
        <f>IF(COUNTIF(J56:AW56,"&lt;&gt;")=0,"",SUMPRODUCT(((Recommendations[ImplStatus]="Implemented")+(Recommendations[ImplStatus]="Compensated"))*ISNUMBER(MATCH(Recommendations[Id],J56:AW56,0)))/COUNTIF(J56:AW56,"&lt;&gt;"))</f>
        <v>0</v>
      </c>
      <c r="J56" s="93" t="s">
        <v>305</v>
      </c>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893</v>
      </c>
      <c r="B57" s="84" t="s">
        <v>915</v>
      </c>
      <c r="C57" s="86" t="s">
        <v>916</v>
      </c>
      <c r="D57" s="88" t="s">
        <v>917</v>
      </c>
      <c r="E57" s="88" t="s">
        <v>918</v>
      </c>
      <c r="F57" s="89" t="s">
        <v>729</v>
      </c>
      <c r="G57" s="89" t="s">
        <v>704</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893</v>
      </c>
      <c r="B58" s="84" t="s">
        <v>919</v>
      </c>
      <c r="C58" s="86" t="s">
        <v>920</v>
      </c>
      <c r="D58" s="88" t="s">
        <v>921</v>
      </c>
      <c r="E58" s="88" t="s">
        <v>922</v>
      </c>
      <c r="F58" s="89" t="s">
        <v>846</v>
      </c>
      <c r="G58" s="89" t="s">
        <v>746</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893</v>
      </c>
      <c r="B59" s="84" t="s">
        <v>923</v>
      </c>
      <c r="C59" s="86" t="s">
        <v>924</v>
      </c>
      <c r="D59" s="88" t="s">
        <v>925</v>
      </c>
      <c r="E59" s="88" t="s">
        <v>926</v>
      </c>
      <c r="F59" s="89" t="s">
        <v>846</v>
      </c>
      <c r="G59" s="89" t="s">
        <v>762</v>
      </c>
      <c r="H59" s="89">
        <v>3</v>
      </c>
      <c r="I59" s="91" t="str">
        <f>IF(COUNTIF(J59:AW59,"&lt;&gt;")=0,"",SUMPRODUCT(((Recommendations[ImplStatus]="Implemented")+(Recommendations[ImplStatus]="Compensated"))*ISNUMBER(MATCH(Recommendations[Id],J59:AW59,0)))/COUNTIF(J59:AW59,"&lt;&gt;"))</f>
        <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927</v>
      </c>
      <c r="B60" s="83">
        <v>7</v>
      </c>
      <c r="C60" s="85" t="s">
        <v>21</v>
      </c>
      <c r="D60" s="87" t="s">
        <v>928</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927</v>
      </c>
      <c r="B61" s="84" t="s">
        <v>929</v>
      </c>
      <c r="C61" s="86" t="s">
        <v>930</v>
      </c>
      <c r="D61" s="88" t="s">
        <v>931</v>
      </c>
      <c r="E61" s="88" t="s">
        <v>932</v>
      </c>
      <c r="F61" s="89" t="s">
        <v>821</v>
      </c>
      <c r="G61" s="89" t="s">
        <v>762</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927</v>
      </c>
      <c r="B62" s="84" t="s">
        <v>933</v>
      </c>
      <c r="C62" s="86" t="s">
        <v>934</v>
      </c>
      <c r="D62" s="88" t="s">
        <v>935</v>
      </c>
      <c r="E62" s="88" t="s">
        <v>936</v>
      </c>
      <c r="F62" s="89" t="s">
        <v>821</v>
      </c>
      <c r="G62" s="89" t="s">
        <v>762</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927</v>
      </c>
      <c r="B63" s="84" t="s">
        <v>937</v>
      </c>
      <c r="C63" s="86" t="s">
        <v>938</v>
      </c>
      <c r="D63" s="88" t="s">
        <v>939</v>
      </c>
      <c r="E63" s="88" t="s">
        <v>940</v>
      </c>
      <c r="F63" s="89" t="s">
        <v>729</v>
      </c>
      <c r="G63" s="89" t="s">
        <v>746</v>
      </c>
      <c r="H63" s="89">
        <v>1</v>
      </c>
      <c r="I63" s="91">
        <f>IF(COUNTIF(J63:AW63,"&lt;&gt;")=0,"",SUMPRODUCT(((Recommendations[ImplStatus]="Implemented")+(Recommendations[ImplStatus]="Compensated"))*ISNUMBER(MATCH(Recommendations[Id],J63:AW63,0)))/COUNTIF(J63:AW63,"&lt;&gt;"))</f>
        <v>0</v>
      </c>
      <c r="J63" s="93" t="s">
        <v>265</v>
      </c>
      <c r="K63" s="93" t="s">
        <v>275</v>
      </c>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927</v>
      </c>
      <c r="B64" s="84" t="s">
        <v>941</v>
      </c>
      <c r="C64" s="86" t="s">
        <v>942</v>
      </c>
      <c r="D64" s="88" t="s">
        <v>943</v>
      </c>
      <c r="E64" s="88" t="s">
        <v>944</v>
      </c>
      <c r="F64" s="89" t="s">
        <v>729</v>
      </c>
      <c r="G64" s="89" t="s">
        <v>746</v>
      </c>
      <c r="H64" s="89">
        <v>1</v>
      </c>
      <c r="I64" s="91" t="str">
        <f>IF(COUNTIF(J64:AW64,"&lt;&gt;")=0,"",SUMPRODUCT(((Recommendations[ImplStatus]="Implemented")+(Recommendations[ImplStatus]="Compensated"))*ISNUMBER(MATCH(Recommendations[Id],J64:AW64,0)))/COUNTIF(J64:AW64,"&lt;&gt;"))</f>
        <v/>
      </c>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927</v>
      </c>
      <c r="B65" s="84" t="s">
        <v>945</v>
      </c>
      <c r="C65" s="86" t="s">
        <v>946</v>
      </c>
      <c r="D65" s="88" t="s">
        <v>947</v>
      </c>
      <c r="E65" s="88" t="s">
        <v>948</v>
      </c>
      <c r="F65" s="89" t="s">
        <v>729</v>
      </c>
      <c r="G65" s="89" t="s">
        <v>704</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927</v>
      </c>
      <c r="B66" s="84" t="s">
        <v>949</v>
      </c>
      <c r="C66" s="86" t="s">
        <v>950</v>
      </c>
      <c r="D66" s="88" t="s">
        <v>951</v>
      </c>
      <c r="E66" s="88" t="s">
        <v>952</v>
      </c>
      <c r="F66" s="89" t="s">
        <v>729</v>
      </c>
      <c r="G66" s="89" t="s">
        <v>704</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927</v>
      </c>
      <c r="B67" s="84" t="s">
        <v>953</v>
      </c>
      <c r="C67" s="86" t="s">
        <v>954</v>
      </c>
      <c r="D67" s="88" t="s">
        <v>955</v>
      </c>
      <c r="E67" s="88" t="s">
        <v>956</v>
      </c>
      <c r="F67" s="89" t="s">
        <v>729</v>
      </c>
      <c r="G67" s="89" t="s">
        <v>709</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957</v>
      </c>
      <c r="B68" s="83">
        <v>8</v>
      </c>
      <c r="C68" s="85" t="s">
        <v>21</v>
      </c>
      <c r="D68" s="87" t="s">
        <v>958</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957</v>
      </c>
      <c r="B69" s="84" t="s">
        <v>959</v>
      </c>
      <c r="C69" s="86" t="s">
        <v>960</v>
      </c>
      <c r="D69" s="88" t="s">
        <v>961</v>
      </c>
      <c r="E69" s="88" t="s">
        <v>962</v>
      </c>
      <c r="F69" s="89" t="s">
        <v>821</v>
      </c>
      <c r="G69" s="89" t="s">
        <v>762</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957</v>
      </c>
      <c r="B70" s="84" t="s">
        <v>963</v>
      </c>
      <c r="C70" s="86" t="s">
        <v>964</v>
      </c>
      <c r="D70" s="88" t="s">
        <v>965</v>
      </c>
      <c r="E70" s="88" t="s">
        <v>966</v>
      </c>
      <c r="F70" s="89" t="s">
        <v>761</v>
      </c>
      <c r="G70" s="89" t="s">
        <v>714</v>
      </c>
      <c r="H70" s="89">
        <v>1</v>
      </c>
      <c r="I70" s="91">
        <f>IF(COUNTIF(J70:AW70,"&lt;&gt;")=0,"",SUMPRODUCT(((Recommendations[ImplStatus]="Implemented")+(Recommendations[ImplStatus]="Compensated"))*ISNUMBER(MATCH(Recommendations[Id],J70:AW70,0)))/COUNTIF(J70:AW70,"&lt;&gt;"))</f>
        <v>0</v>
      </c>
      <c r="J70" s="93" t="s">
        <v>90</v>
      </c>
      <c r="K70" s="93" t="s">
        <v>95</v>
      </c>
      <c r="L70" s="93" t="s">
        <v>110</v>
      </c>
      <c r="M70" s="93" t="s">
        <v>113</v>
      </c>
      <c r="N70" s="93" t="s">
        <v>123</v>
      </c>
      <c r="O70" s="93" t="s">
        <v>220</v>
      </c>
      <c r="P70" s="93" t="s">
        <v>233</v>
      </c>
      <c r="Q70" s="93" t="s">
        <v>237</v>
      </c>
      <c r="R70" s="93" t="s">
        <v>241</v>
      </c>
      <c r="S70" s="93" t="s">
        <v>246</v>
      </c>
      <c r="T70" s="93" t="s">
        <v>260</v>
      </c>
      <c r="U70" s="93" t="s">
        <v>280</v>
      </c>
      <c r="V70" s="93" t="s">
        <v>392</v>
      </c>
      <c r="W70" s="93" t="s">
        <v>397</v>
      </c>
      <c r="X70" s="93" t="s">
        <v>402</v>
      </c>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957</v>
      </c>
      <c r="B71" s="84" t="s">
        <v>967</v>
      </c>
      <c r="C71" s="86" t="s">
        <v>968</v>
      </c>
      <c r="D71" s="88" t="s">
        <v>969</v>
      </c>
      <c r="E71" s="88" t="s">
        <v>970</v>
      </c>
      <c r="F71" s="89" t="s">
        <v>761</v>
      </c>
      <c r="G71" s="89" t="s">
        <v>746</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957</v>
      </c>
      <c r="B72" s="84" t="s">
        <v>971</v>
      </c>
      <c r="C72" s="86" t="s">
        <v>972</v>
      </c>
      <c r="D72" s="88" t="s">
        <v>973</v>
      </c>
      <c r="E72" s="88" t="s">
        <v>974</v>
      </c>
      <c r="F72" s="89" t="s">
        <v>975</v>
      </c>
      <c r="G72" s="89" t="s">
        <v>746</v>
      </c>
      <c r="H72" s="89">
        <v>2</v>
      </c>
      <c r="I72" s="91">
        <f>IF(COUNTIF(J72:AW72,"&lt;&gt;")=0,"",SUMPRODUCT(((Recommendations[ImplStatus]="Implemented")+(Recommendations[ImplStatus]="Compensated"))*ISNUMBER(MATCH(Recommendations[Id],J72:AW72,0)))/COUNTIF(J72:AW72,"&lt;&gt;"))</f>
        <v>0</v>
      </c>
      <c r="J72" s="93" t="s">
        <v>255</v>
      </c>
      <c r="K72" s="93" t="s">
        <v>260</v>
      </c>
      <c r="L72" s="93" t="s">
        <v>315</v>
      </c>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957</v>
      </c>
      <c r="B73" s="84" t="s">
        <v>976</v>
      </c>
      <c r="C73" s="86" t="s">
        <v>977</v>
      </c>
      <c r="D73" s="88" t="s">
        <v>978</v>
      </c>
      <c r="E73" s="88" t="s">
        <v>979</v>
      </c>
      <c r="F73" s="89" t="s">
        <v>761</v>
      </c>
      <c r="G73" s="89" t="s">
        <v>714</v>
      </c>
      <c r="H73" s="89">
        <v>2</v>
      </c>
      <c r="I73" s="91">
        <f>IF(COUNTIF(J73:AW73,"&lt;&gt;")=0,"",SUMPRODUCT(((Recommendations[ImplStatus]="Implemented")+(Recommendations[ImplStatus]="Compensated"))*ISNUMBER(MATCH(Recommendations[Id],J73:AW73,0)))/COUNTIF(J73:AW73,"&lt;&gt;"))</f>
        <v>0</v>
      </c>
      <c r="J73" s="93" t="s">
        <v>90</v>
      </c>
      <c r="K73" s="93" t="s">
        <v>95</v>
      </c>
      <c r="L73" s="93" t="s">
        <v>123</v>
      </c>
      <c r="M73" s="93" t="s">
        <v>200</v>
      </c>
      <c r="N73" s="93" t="s">
        <v>205</v>
      </c>
      <c r="O73" s="93" t="s">
        <v>225</v>
      </c>
      <c r="P73" s="93" t="s">
        <v>228</v>
      </c>
      <c r="Q73" s="93" t="s">
        <v>231</v>
      </c>
      <c r="R73" s="93" t="s">
        <v>235</v>
      </c>
      <c r="S73" s="93" t="s">
        <v>237</v>
      </c>
      <c r="T73" s="93" t="s">
        <v>241</v>
      </c>
      <c r="U73" s="93" t="s">
        <v>246</v>
      </c>
      <c r="V73" s="93" t="s">
        <v>280</v>
      </c>
      <c r="W73" s="93" t="s">
        <v>402</v>
      </c>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957</v>
      </c>
      <c r="B74" s="84" t="s">
        <v>980</v>
      </c>
      <c r="C74" s="86" t="s">
        <v>981</v>
      </c>
      <c r="D74" s="88" t="s">
        <v>982</v>
      </c>
      <c r="E74" s="88" t="s">
        <v>983</v>
      </c>
      <c r="F74" s="89" t="s">
        <v>761</v>
      </c>
      <c r="G74" s="89" t="s">
        <v>714</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957</v>
      </c>
      <c r="B75" s="84" t="s">
        <v>984</v>
      </c>
      <c r="C75" s="86" t="s">
        <v>985</v>
      </c>
      <c r="D75" s="88" t="s">
        <v>986</v>
      </c>
      <c r="E75" s="88" t="s">
        <v>987</v>
      </c>
      <c r="F75" s="89" t="s">
        <v>761</v>
      </c>
      <c r="G75" s="89" t="s">
        <v>714</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957</v>
      </c>
      <c r="B76" s="84" t="s">
        <v>988</v>
      </c>
      <c r="C76" s="86" t="s">
        <v>989</v>
      </c>
      <c r="D76" s="88" t="s">
        <v>990</v>
      </c>
      <c r="E76" s="88" t="s">
        <v>991</v>
      </c>
      <c r="F76" s="89" t="s">
        <v>761</v>
      </c>
      <c r="G76" s="89" t="s">
        <v>714</v>
      </c>
      <c r="H76" s="89">
        <v>2</v>
      </c>
      <c r="I76" s="91">
        <f>IF(COUNTIF(J76:AW76,"&lt;&gt;")=0,"",SUMPRODUCT(((Recommendations[ImplStatus]="Implemented")+(Recommendations[ImplStatus]="Compensated"))*ISNUMBER(MATCH(Recommendations[Id],J76:AW76,0)))/COUNTIF(J76:AW76,"&lt;&gt;"))</f>
        <v>0</v>
      </c>
      <c r="J76" s="93" t="s">
        <v>225</v>
      </c>
      <c r="K76" s="93" t="s">
        <v>228</v>
      </c>
      <c r="L76" s="93" t="s">
        <v>231</v>
      </c>
      <c r="M76" s="93" t="s">
        <v>235</v>
      </c>
      <c r="N76" s="93" t="s">
        <v>402</v>
      </c>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957</v>
      </c>
      <c r="B77" s="84" t="s">
        <v>992</v>
      </c>
      <c r="C77" s="86" t="s">
        <v>993</v>
      </c>
      <c r="D77" s="88" t="s">
        <v>994</v>
      </c>
      <c r="E77" s="88" t="s">
        <v>995</v>
      </c>
      <c r="F77" s="89" t="s">
        <v>761</v>
      </c>
      <c r="G77" s="89" t="s">
        <v>714</v>
      </c>
      <c r="H77" s="89">
        <v>2</v>
      </c>
      <c r="I77" s="91">
        <f>IF(COUNTIF(J77:AW77,"&lt;&gt;")=0,"",SUMPRODUCT(((Recommendations[ImplStatus]="Implemented")+(Recommendations[ImplStatus]="Compensated"))*ISNUMBER(MATCH(Recommendations[Id],J77:AW77,0)))/COUNTIF(J77:AW77,"&lt;&gt;"))</f>
        <v>0</v>
      </c>
      <c r="J77" s="93" t="s">
        <v>110</v>
      </c>
      <c r="K77" s="93" t="s">
        <v>113</v>
      </c>
      <c r="L77" s="93" t="s">
        <v>392</v>
      </c>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957</v>
      </c>
      <c r="B78" s="84" t="s">
        <v>996</v>
      </c>
      <c r="C78" s="86" t="s">
        <v>997</v>
      </c>
      <c r="D78" s="88" t="s">
        <v>998</v>
      </c>
      <c r="E78" s="88" t="s">
        <v>999</v>
      </c>
      <c r="F78" s="89" t="s">
        <v>761</v>
      </c>
      <c r="G78" s="89" t="s">
        <v>746</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957</v>
      </c>
      <c r="B79" s="84" t="s">
        <v>1000</v>
      </c>
      <c r="C79" s="86" t="s">
        <v>1001</v>
      </c>
      <c r="D79" s="88" t="s">
        <v>1002</v>
      </c>
      <c r="E79" s="88" t="s">
        <v>1003</v>
      </c>
      <c r="F79" s="89" t="s">
        <v>761</v>
      </c>
      <c r="G79" s="89" t="s">
        <v>714</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957</v>
      </c>
      <c r="B80" s="84" t="s">
        <v>1004</v>
      </c>
      <c r="C80" s="86" t="s">
        <v>1005</v>
      </c>
      <c r="D80" s="88" t="s">
        <v>1006</v>
      </c>
      <c r="E80" s="88" t="s">
        <v>1007</v>
      </c>
      <c r="F80" s="89" t="s">
        <v>761</v>
      </c>
      <c r="G80" s="89" t="s">
        <v>714</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1008</v>
      </c>
      <c r="B81" s="83">
        <v>9</v>
      </c>
      <c r="C81" s="85" t="s">
        <v>21</v>
      </c>
      <c r="D81" s="87" t="s">
        <v>1009</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1008</v>
      </c>
      <c r="B82" s="84" t="s">
        <v>1010</v>
      </c>
      <c r="C82" s="86" t="s">
        <v>1011</v>
      </c>
      <c r="D82" s="88" t="s">
        <v>1012</v>
      </c>
      <c r="E82" s="88" t="s">
        <v>1013</v>
      </c>
      <c r="F82" s="89" t="s">
        <v>729</v>
      </c>
      <c r="G82" s="89" t="s">
        <v>746</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1008</v>
      </c>
      <c r="B83" s="84" t="s">
        <v>1014</v>
      </c>
      <c r="C83" s="86" t="s">
        <v>1015</v>
      </c>
      <c r="D83" s="88" t="s">
        <v>1016</v>
      </c>
      <c r="E83" s="88" t="s">
        <v>1017</v>
      </c>
      <c r="F83" s="89" t="s">
        <v>703</v>
      </c>
      <c r="G83" s="89" t="s">
        <v>746</v>
      </c>
      <c r="H83" s="89">
        <v>1</v>
      </c>
      <c r="I83" s="91">
        <f>IF(COUNTIF(J83:AW83,"&lt;&gt;")=0,"",SUMPRODUCT(((Recommendations[ImplStatus]="Implemented")+(Recommendations[ImplStatus]="Compensated"))*ISNUMBER(MATCH(Recommendations[Id],J83:AW83,0)))/COUNTIF(J83:AW83,"&lt;&gt;"))</f>
        <v>0</v>
      </c>
      <c r="J83" s="93" t="s">
        <v>75</v>
      </c>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1008</v>
      </c>
      <c r="B84" s="84" t="s">
        <v>1018</v>
      </c>
      <c r="C84" s="86" t="s">
        <v>1019</v>
      </c>
      <c r="D84" s="88" t="s">
        <v>1020</v>
      </c>
      <c r="E84" s="88" t="s">
        <v>1021</v>
      </c>
      <c r="F84" s="89" t="s">
        <v>975</v>
      </c>
      <c r="G84" s="89" t="s">
        <v>746</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1008</v>
      </c>
      <c r="B85" s="84" t="s">
        <v>1022</v>
      </c>
      <c r="C85" s="86" t="s">
        <v>1023</v>
      </c>
      <c r="D85" s="88" t="s">
        <v>1024</v>
      </c>
      <c r="E85" s="88" t="s">
        <v>1025</v>
      </c>
      <c r="F85" s="89" t="s">
        <v>729</v>
      </c>
      <c r="G85" s="89" t="s">
        <v>746</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1008</v>
      </c>
      <c r="B86" s="84" t="s">
        <v>1026</v>
      </c>
      <c r="C86" s="86" t="s">
        <v>1027</v>
      </c>
      <c r="D86" s="88" t="s">
        <v>1028</v>
      </c>
      <c r="E86" s="88" t="s">
        <v>1029</v>
      </c>
      <c r="F86" s="89" t="s">
        <v>975</v>
      </c>
      <c r="G86" s="89" t="s">
        <v>746</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1008</v>
      </c>
      <c r="B87" s="84" t="s">
        <v>1030</v>
      </c>
      <c r="C87" s="86" t="s">
        <v>1031</v>
      </c>
      <c r="D87" s="88" t="s">
        <v>1032</v>
      </c>
      <c r="E87" s="88" t="s">
        <v>1033</v>
      </c>
      <c r="F87" s="89" t="s">
        <v>975</v>
      </c>
      <c r="G87" s="89" t="s">
        <v>746</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1008</v>
      </c>
      <c r="B88" s="84" t="s">
        <v>1034</v>
      </c>
      <c r="C88" s="86" t="s">
        <v>1035</v>
      </c>
      <c r="D88" s="88" t="s">
        <v>1036</v>
      </c>
      <c r="E88" s="88" t="s">
        <v>1037</v>
      </c>
      <c r="F88" s="89" t="s">
        <v>975</v>
      </c>
      <c r="G88" s="89" t="s">
        <v>746</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1038</v>
      </c>
      <c r="B89" s="83">
        <v>10</v>
      </c>
      <c r="C89" s="85" t="s">
        <v>21</v>
      </c>
      <c r="D89" s="87" t="s">
        <v>1039</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1038</v>
      </c>
      <c r="B90" s="84" t="s">
        <v>1040</v>
      </c>
      <c r="C90" s="86" t="s">
        <v>1041</v>
      </c>
      <c r="D90" s="88" t="s">
        <v>1042</v>
      </c>
      <c r="E90" s="88" t="s">
        <v>1043</v>
      </c>
      <c r="F90" s="89" t="s">
        <v>703</v>
      </c>
      <c r="G90" s="89" t="s">
        <v>714</v>
      </c>
      <c r="H90" s="89">
        <v>1</v>
      </c>
      <c r="I90" s="91">
        <f>IF(COUNTIF(J90:AW90,"&lt;&gt;")=0,"",SUMPRODUCT(((Recommendations[ImplStatus]="Implemented")+(Recommendations[ImplStatus]="Compensated"))*ISNUMBER(MATCH(Recommendations[Id],J90:AW90,0)))/COUNTIF(J90:AW90,"&lt;&gt;"))</f>
        <v>0</v>
      </c>
      <c r="J90" s="93" t="s">
        <v>35</v>
      </c>
      <c r="K90" s="93" t="s">
        <v>40</v>
      </c>
      <c r="L90" s="93" t="s">
        <v>45</v>
      </c>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1038</v>
      </c>
      <c r="B91" s="84" t="s">
        <v>1044</v>
      </c>
      <c r="C91" s="86" t="s">
        <v>1045</v>
      </c>
      <c r="D91" s="88" t="s">
        <v>1046</v>
      </c>
      <c r="E91" s="88" t="s">
        <v>1047</v>
      </c>
      <c r="F91" s="89" t="s">
        <v>703</v>
      </c>
      <c r="G91" s="89" t="s">
        <v>746</v>
      </c>
      <c r="H91" s="89">
        <v>1</v>
      </c>
      <c r="I91" s="91">
        <f>IF(COUNTIF(J91:AW91,"&lt;&gt;")=0,"",SUMPRODUCT(((Recommendations[ImplStatus]="Implemented")+(Recommendations[ImplStatus]="Compensated"))*ISNUMBER(MATCH(Recommendations[Id],J91:AW91,0)))/COUNTIF(J91:AW91,"&lt;&gt;"))</f>
        <v>0</v>
      </c>
      <c r="J91" s="93" t="s">
        <v>40</v>
      </c>
      <c r="K91" s="93" t="s">
        <v>45</v>
      </c>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1038</v>
      </c>
      <c r="B92" s="84" t="s">
        <v>1048</v>
      </c>
      <c r="C92" s="86" t="s">
        <v>1049</v>
      </c>
      <c r="D92" s="88" t="s">
        <v>1050</v>
      </c>
      <c r="E92" s="88" t="s">
        <v>1051</v>
      </c>
      <c r="F92" s="89" t="s">
        <v>703</v>
      </c>
      <c r="G92" s="89" t="s">
        <v>746</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1038</v>
      </c>
      <c r="B93" s="84" t="s">
        <v>1052</v>
      </c>
      <c r="C93" s="86" t="s">
        <v>1053</v>
      </c>
      <c r="D93" s="88" t="s">
        <v>1054</v>
      </c>
      <c r="E93" s="88" t="s">
        <v>1055</v>
      </c>
      <c r="F93" s="89" t="s">
        <v>703</v>
      </c>
      <c r="G93" s="89" t="s">
        <v>714</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1038</v>
      </c>
      <c r="B94" s="84" t="s">
        <v>1056</v>
      </c>
      <c r="C94" s="86" t="s">
        <v>1057</v>
      </c>
      <c r="D94" s="88" t="s">
        <v>1058</v>
      </c>
      <c r="E94" s="88" t="s">
        <v>1059</v>
      </c>
      <c r="F94" s="89" t="s">
        <v>703</v>
      </c>
      <c r="G94" s="89" t="s">
        <v>746</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1038</v>
      </c>
      <c r="B95" s="84" t="s">
        <v>1060</v>
      </c>
      <c r="C95" s="86" t="s">
        <v>1061</v>
      </c>
      <c r="D95" s="88" t="s">
        <v>1062</v>
      </c>
      <c r="E95" s="88" t="s">
        <v>1063</v>
      </c>
      <c r="F95" s="89" t="s">
        <v>703</v>
      </c>
      <c r="G95" s="89" t="s">
        <v>746</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1038</v>
      </c>
      <c r="B96" s="84" t="s">
        <v>1064</v>
      </c>
      <c r="C96" s="86" t="s">
        <v>1065</v>
      </c>
      <c r="D96" s="88" t="s">
        <v>1066</v>
      </c>
      <c r="E96" s="88" t="s">
        <v>1067</v>
      </c>
      <c r="F96" s="89" t="s">
        <v>703</v>
      </c>
      <c r="G96" s="89" t="s">
        <v>714</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1068</v>
      </c>
      <c r="B97" s="83">
        <v>11</v>
      </c>
      <c r="C97" s="85" t="s">
        <v>21</v>
      </c>
      <c r="D97" s="87" t="s">
        <v>1069</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1068</v>
      </c>
      <c r="B98" s="84" t="s">
        <v>1070</v>
      </c>
      <c r="C98" s="86" t="s">
        <v>1071</v>
      </c>
      <c r="D98" s="88" t="s">
        <v>1072</v>
      </c>
      <c r="E98" s="88" t="s">
        <v>1073</v>
      </c>
      <c r="F98" s="89" t="s">
        <v>821</v>
      </c>
      <c r="G98" s="89" t="s">
        <v>762</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1068</v>
      </c>
      <c r="B99" s="84" t="s">
        <v>1074</v>
      </c>
      <c r="C99" s="86" t="s">
        <v>1075</v>
      </c>
      <c r="D99" s="88" t="s">
        <v>1076</v>
      </c>
      <c r="E99" s="88" t="s">
        <v>1077</v>
      </c>
      <c r="F99" s="89" t="s">
        <v>761</v>
      </c>
      <c r="G99" s="89" t="s">
        <v>1078</v>
      </c>
      <c r="H99" s="89">
        <v>1</v>
      </c>
      <c r="I99" s="91">
        <f>IF(COUNTIF(J99:AW99,"&lt;&gt;")=0,"",SUMPRODUCT(((Recommendations[ImplStatus]="Implemented")+(Recommendations[ImplStatus]="Compensated"))*ISNUMBER(MATCH(Recommendations[Id],J99:AW99,0)))/COUNTIF(J99:AW99,"&lt;&gt;"))</f>
        <v>0</v>
      </c>
      <c r="J99" s="93" t="s">
        <v>285</v>
      </c>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1068</v>
      </c>
      <c r="B100" s="84" t="s">
        <v>1079</v>
      </c>
      <c r="C100" s="86" t="s">
        <v>1080</v>
      </c>
      <c r="D100" s="88" t="s">
        <v>1081</v>
      </c>
      <c r="E100" s="88" t="s">
        <v>1082</v>
      </c>
      <c r="F100" s="89" t="s">
        <v>761</v>
      </c>
      <c r="G100" s="89" t="s">
        <v>746</v>
      </c>
      <c r="H100" s="89">
        <v>1</v>
      </c>
      <c r="I100" s="91">
        <f>IF(COUNTIF(J100:AW100,"&lt;&gt;")=0,"",SUMPRODUCT(((Recommendations[ImplStatus]="Implemented")+(Recommendations[ImplStatus]="Compensated"))*ISNUMBER(MATCH(Recommendations[Id],J100:AW100,0)))/COUNTIF(J100:AW100,"&lt;&gt;"))</f>
        <v>0</v>
      </c>
      <c r="J100" s="93" t="s">
        <v>285</v>
      </c>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1068</v>
      </c>
      <c r="B101" s="84" t="s">
        <v>1083</v>
      </c>
      <c r="C101" s="86" t="s">
        <v>1084</v>
      </c>
      <c r="D101" s="88" t="s">
        <v>1085</v>
      </c>
      <c r="E101" s="88" t="s">
        <v>1086</v>
      </c>
      <c r="F101" s="89" t="s">
        <v>761</v>
      </c>
      <c r="G101" s="89" t="s">
        <v>1078</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1068</v>
      </c>
      <c r="B102" s="84" t="s">
        <v>1087</v>
      </c>
      <c r="C102" s="86" t="s">
        <v>1088</v>
      </c>
      <c r="D102" s="88" t="s">
        <v>1089</v>
      </c>
      <c r="E102" s="88" t="s">
        <v>1090</v>
      </c>
      <c r="F102" s="89" t="s">
        <v>761</v>
      </c>
      <c r="G102" s="89" t="s">
        <v>1078</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1091</v>
      </c>
      <c r="B103" s="83">
        <v>12</v>
      </c>
      <c r="C103" s="85" t="s">
        <v>21</v>
      </c>
      <c r="D103" s="87" t="s">
        <v>1092</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1091</v>
      </c>
      <c r="B104" s="84" t="s">
        <v>1093</v>
      </c>
      <c r="C104" s="86" t="s">
        <v>1094</v>
      </c>
      <c r="D104" s="88" t="s">
        <v>1095</v>
      </c>
      <c r="E104" s="88" t="s">
        <v>1096</v>
      </c>
      <c r="F104" s="89" t="s">
        <v>975</v>
      </c>
      <c r="G104" s="89" t="s">
        <v>746</v>
      </c>
      <c r="H104" s="89">
        <v>1</v>
      </c>
      <c r="I104" s="91">
        <f>IF(COUNTIF(J104:AW104,"&lt;&gt;")=0,"",SUMPRODUCT(((Recommendations[ImplStatus]="Implemented")+(Recommendations[ImplStatus]="Compensated"))*ISNUMBER(MATCH(Recommendations[Id],J104:AW104,0)))/COUNTIF(J104:AW104,"&lt;&gt;"))</f>
        <v>0</v>
      </c>
      <c r="J104" s="93" t="s">
        <v>265</v>
      </c>
      <c r="K104" s="93" t="s">
        <v>275</v>
      </c>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1091</v>
      </c>
      <c r="B105" s="84" t="s">
        <v>1097</v>
      </c>
      <c r="C105" s="86" t="s">
        <v>1098</v>
      </c>
      <c r="D105" s="88" t="s">
        <v>1099</v>
      </c>
      <c r="E105" s="88" t="s">
        <v>1100</v>
      </c>
      <c r="F105" s="89" t="s">
        <v>975</v>
      </c>
      <c r="G105" s="89" t="s">
        <v>746</v>
      </c>
      <c r="H105" s="89">
        <v>2</v>
      </c>
      <c r="I105" s="91">
        <f>IF(COUNTIF(J105:AW105,"&lt;&gt;")=0,"",SUMPRODUCT(((Recommendations[ImplStatus]="Implemented")+(Recommendations[ImplStatus]="Compensated"))*ISNUMBER(MATCH(Recommendations[Id],J105:AW105,0)))/COUNTIF(J105:AW105,"&lt;&gt;"))</f>
        <v>0</v>
      </c>
      <c r="J105" s="93" t="s">
        <v>49</v>
      </c>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1091</v>
      </c>
      <c r="B106" s="84" t="s">
        <v>1101</v>
      </c>
      <c r="C106" s="86" t="s">
        <v>1102</v>
      </c>
      <c r="D106" s="88" t="s">
        <v>1103</v>
      </c>
      <c r="E106" s="88" t="s">
        <v>1104</v>
      </c>
      <c r="F106" s="89" t="s">
        <v>975</v>
      </c>
      <c r="G106" s="89" t="s">
        <v>746</v>
      </c>
      <c r="H106" s="89">
        <v>2</v>
      </c>
      <c r="I106" s="91" t="str">
        <f>IF(COUNTIF(J106:AW106,"&lt;&gt;")=0,"",SUMPRODUCT(((Recommendations[ImplStatus]="Implemented")+(Recommendations[ImplStatus]="Compensated"))*ISNUMBER(MATCH(Recommendations[Id],J106:AW106,0)))/COUNTIF(J106:AW106,"&lt;&gt;"))</f>
        <v/>
      </c>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1091</v>
      </c>
      <c r="B107" s="84" t="s">
        <v>1105</v>
      </c>
      <c r="C107" s="86" t="s">
        <v>1106</v>
      </c>
      <c r="D107" s="88" t="s">
        <v>1107</v>
      </c>
      <c r="E107" s="88" t="s">
        <v>1108</v>
      </c>
      <c r="F107" s="89" t="s">
        <v>821</v>
      </c>
      <c r="G107" s="89" t="s">
        <v>762</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1091</v>
      </c>
      <c r="B108" s="84" t="s">
        <v>1109</v>
      </c>
      <c r="C108" s="86" t="s">
        <v>1110</v>
      </c>
      <c r="D108" s="88" t="s">
        <v>1111</v>
      </c>
      <c r="E108" s="88" t="s">
        <v>1112</v>
      </c>
      <c r="F108" s="89" t="s">
        <v>975</v>
      </c>
      <c r="G108" s="89" t="s">
        <v>746</v>
      </c>
      <c r="H108" s="89">
        <v>2</v>
      </c>
      <c r="I108" s="91">
        <f>IF(COUNTIF(J108:AW108,"&lt;&gt;")=0,"",SUMPRODUCT(((Recommendations[ImplStatus]="Implemented")+(Recommendations[ImplStatus]="Compensated"))*ISNUMBER(MATCH(Recommendations[Id],J108:AW108,0)))/COUNTIF(J108:AW108,"&lt;&gt;"))</f>
        <v>0</v>
      </c>
      <c r="J108" s="93" t="s">
        <v>270</v>
      </c>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1091</v>
      </c>
      <c r="B109" s="84" t="s">
        <v>1113</v>
      </c>
      <c r="C109" s="86" t="s">
        <v>1114</v>
      </c>
      <c r="D109" s="88" t="s">
        <v>1115</v>
      </c>
      <c r="E109" s="88" t="s">
        <v>1116</v>
      </c>
      <c r="F109" s="89" t="s">
        <v>975</v>
      </c>
      <c r="G109" s="89" t="s">
        <v>746</v>
      </c>
      <c r="H109" s="89">
        <v>2</v>
      </c>
      <c r="I109" s="91">
        <f>IF(COUNTIF(J109:AW109,"&lt;&gt;")=0,"",SUMPRODUCT(((Recommendations[ImplStatus]="Implemented")+(Recommendations[ImplStatus]="Compensated"))*ISNUMBER(MATCH(Recommendations[Id],J109:AW109,0)))/COUNTIF(J109:AW109,"&lt;&gt;"))</f>
        <v>0</v>
      </c>
      <c r="J109" s="93" t="s">
        <v>14</v>
      </c>
      <c r="K109" s="93" t="s">
        <v>147</v>
      </c>
      <c r="L109" s="93" t="s">
        <v>152</v>
      </c>
      <c r="M109" s="93" t="s">
        <v>290</v>
      </c>
      <c r="N109" s="93" t="s">
        <v>310</v>
      </c>
      <c r="O109" s="93" t="s">
        <v>358</v>
      </c>
      <c r="P109" s="93" t="s">
        <v>368</v>
      </c>
      <c r="Q109" s="93" t="s">
        <v>378</v>
      </c>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1091</v>
      </c>
      <c r="B110" s="84" t="s">
        <v>1117</v>
      </c>
      <c r="C110" s="86" t="s">
        <v>1118</v>
      </c>
      <c r="D110" s="88" t="s">
        <v>1119</v>
      </c>
      <c r="E110" s="88" t="s">
        <v>1120</v>
      </c>
      <c r="F110" s="89" t="s">
        <v>703</v>
      </c>
      <c r="G110" s="89" t="s">
        <v>746</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1091</v>
      </c>
      <c r="B111" s="84" t="s">
        <v>1121</v>
      </c>
      <c r="C111" s="86" t="s">
        <v>1122</v>
      </c>
      <c r="D111" s="88" t="s">
        <v>1123</v>
      </c>
      <c r="E111" s="88" t="s">
        <v>1124</v>
      </c>
      <c r="F111" s="89" t="s">
        <v>703</v>
      </c>
      <c r="G111" s="89" t="s">
        <v>746</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1125</v>
      </c>
      <c r="B112" s="83">
        <v>13</v>
      </c>
      <c r="C112" s="85" t="s">
        <v>21</v>
      </c>
      <c r="D112" s="87" t="s">
        <v>1126</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1125</v>
      </c>
      <c r="B113" s="84" t="s">
        <v>1127</v>
      </c>
      <c r="C113" s="86" t="s">
        <v>1128</v>
      </c>
      <c r="D113" s="88" t="s">
        <v>1129</v>
      </c>
      <c r="E113" s="88" t="s">
        <v>1130</v>
      </c>
      <c r="F113" s="89" t="s">
        <v>975</v>
      </c>
      <c r="G113" s="89" t="s">
        <v>714</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1125</v>
      </c>
      <c r="B114" s="84" t="s">
        <v>1131</v>
      </c>
      <c r="C114" s="86" t="s">
        <v>1132</v>
      </c>
      <c r="D114" s="88" t="s">
        <v>1133</v>
      </c>
      <c r="E114" s="88" t="s">
        <v>1134</v>
      </c>
      <c r="F114" s="89" t="s">
        <v>703</v>
      </c>
      <c r="G114" s="89" t="s">
        <v>714</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1125</v>
      </c>
      <c r="B115" s="84" t="s">
        <v>1135</v>
      </c>
      <c r="C115" s="86" t="s">
        <v>1136</v>
      </c>
      <c r="D115" s="88" t="s">
        <v>1137</v>
      </c>
      <c r="E115" s="88" t="s">
        <v>1138</v>
      </c>
      <c r="F115" s="89" t="s">
        <v>975</v>
      </c>
      <c r="G115" s="89" t="s">
        <v>714</v>
      </c>
      <c r="H115" s="89">
        <v>2</v>
      </c>
      <c r="I115" s="91">
        <f>IF(COUNTIF(J115:AW115,"&lt;&gt;")=0,"",SUMPRODUCT(((Recommendations[ImplStatus]="Implemented")+(Recommendations[ImplStatus]="Compensated"))*ISNUMBER(MATCH(Recommendations[Id],J115:AW115,0)))/COUNTIF(J115:AW115,"&lt;&gt;"))</f>
        <v>0</v>
      </c>
      <c r="J115" s="93" t="s">
        <v>40</v>
      </c>
      <c r="K115" s="93" t="s">
        <v>45</v>
      </c>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1125</v>
      </c>
      <c r="B116" s="84" t="s">
        <v>1139</v>
      </c>
      <c r="C116" s="86" t="s">
        <v>1140</v>
      </c>
      <c r="D116" s="88" t="s">
        <v>1141</v>
      </c>
      <c r="E116" s="88" t="s">
        <v>1142</v>
      </c>
      <c r="F116" s="89" t="s">
        <v>975</v>
      </c>
      <c r="G116" s="89" t="s">
        <v>746</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1125</v>
      </c>
      <c r="B117" s="84" t="s">
        <v>1143</v>
      </c>
      <c r="C117" s="86" t="s">
        <v>1144</v>
      </c>
      <c r="D117" s="88" t="s">
        <v>1145</v>
      </c>
      <c r="E117" s="88" t="s">
        <v>1146</v>
      </c>
      <c r="F117" s="89" t="s">
        <v>703</v>
      </c>
      <c r="G117" s="89" t="s">
        <v>746</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1125</v>
      </c>
      <c r="B118" s="84" t="s">
        <v>1147</v>
      </c>
      <c r="C118" s="86" t="s">
        <v>1148</v>
      </c>
      <c r="D118" s="88" t="s">
        <v>1149</v>
      </c>
      <c r="E118" s="88" t="s">
        <v>1150</v>
      </c>
      <c r="F118" s="89" t="s">
        <v>975</v>
      </c>
      <c r="G118" s="89" t="s">
        <v>714</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1125</v>
      </c>
      <c r="B119" s="84" t="s">
        <v>1151</v>
      </c>
      <c r="C119" s="86" t="s">
        <v>1152</v>
      </c>
      <c r="D119" s="88" t="s">
        <v>1153</v>
      </c>
      <c r="E119" s="88" t="s">
        <v>1154</v>
      </c>
      <c r="F119" s="89" t="s">
        <v>703</v>
      </c>
      <c r="G119" s="89" t="s">
        <v>746</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1125</v>
      </c>
      <c r="B120" s="84" t="s">
        <v>1155</v>
      </c>
      <c r="C120" s="86" t="s">
        <v>1156</v>
      </c>
      <c r="D120" s="88" t="s">
        <v>1157</v>
      </c>
      <c r="E120" s="88" t="s">
        <v>1158</v>
      </c>
      <c r="F120" s="89" t="s">
        <v>975</v>
      </c>
      <c r="G120" s="89" t="s">
        <v>746</v>
      </c>
      <c r="H120" s="89">
        <v>3</v>
      </c>
      <c r="I120" s="91">
        <f>IF(COUNTIF(J120:AW120,"&lt;&gt;")=0,"",SUMPRODUCT(((Recommendations[ImplStatus]="Implemented")+(Recommendations[ImplStatus]="Compensated"))*ISNUMBER(MATCH(Recommendations[Id],J120:AW120,0)))/COUNTIF(J120:AW120,"&lt;&gt;"))</f>
        <v>0</v>
      </c>
      <c r="J120" s="93" t="s">
        <v>75</v>
      </c>
      <c r="K120" s="93" t="s">
        <v>387</v>
      </c>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1125</v>
      </c>
      <c r="B121" s="84" t="s">
        <v>1159</v>
      </c>
      <c r="C121" s="86" t="s">
        <v>1160</v>
      </c>
      <c r="D121" s="88" t="s">
        <v>1161</v>
      </c>
      <c r="E121" s="88" t="s">
        <v>1162</v>
      </c>
      <c r="F121" s="89" t="s">
        <v>975</v>
      </c>
      <c r="G121" s="89" t="s">
        <v>746</v>
      </c>
      <c r="H121" s="89">
        <v>3</v>
      </c>
      <c r="I121" s="91">
        <f>IF(COUNTIF(J121:AW121,"&lt;&gt;")=0,"",SUMPRODUCT(((Recommendations[ImplStatus]="Implemented")+(Recommendations[ImplStatus]="Compensated"))*ISNUMBER(MATCH(Recommendations[Id],J121:AW121,0)))/COUNTIF(J121:AW121,"&lt;&gt;"))</f>
        <v>0</v>
      </c>
      <c r="J121" s="93" t="s">
        <v>133</v>
      </c>
      <c r="K121" s="93" t="s">
        <v>137</v>
      </c>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1125</v>
      </c>
      <c r="B122" s="84" t="s">
        <v>1163</v>
      </c>
      <c r="C122" s="86" t="s">
        <v>1164</v>
      </c>
      <c r="D122" s="88" t="s">
        <v>1165</v>
      </c>
      <c r="E122" s="88" t="s">
        <v>1166</v>
      </c>
      <c r="F122" s="89" t="s">
        <v>975</v>
      </c>
      <c r="G122" s="89" t="s">
        <v>746</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1125</v>
      </c>
      <c r="B123" s="84" t="s">
        <v>1167</v>
      </c>
      <c r="C123" s="86" t="s">
        <v>1168</v>
      </c>
      <c r="D123" s="88" t="s">
        <v>1169</v>
      </c>
      <c r="E123" s="88" t="s">
        <v>1170</v>
      </c>
      <c r="F123" s="89" t="s">
        <v>975</v>
      </c>
      <c r="G123" s="89" t="s">
        <v>714</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1171</v>
      </c>
      <c r="B124" s="83">
        <v>14</v>
      </c>
      <c r="C124" s="85" t="s">
        <v>21</v>
      </c>
      <c r="D124" s="87" t="s">
        <v>1172</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1171</v>
      </c>
      <c r="B125" s="84" t="s">
        <v>1173</v>
      </c>
      <c r="C125" s="86" t="s">
        <v>1174</v>
      </c>
      <c r="D125" s="88" t="s">
        <v>1175</v>
      </c>
      <c r="E125" s="88" t="s">
        <v>1176</v>
      </c>
      <c r="F125" s="89" t="s">
        <v>821</v>
      </c>
      <c r="G125" s="89" t="s">
        <v>762</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1171</v>
      </c>
      <c r="B126" s="84" t="s">
        <v>1177</v>
      </c>
      <c r="C126" s="86" t="s">
        <v>1178</v>
      </c>
      <c r="D126" s="88" t="s">
        <v>1179</v>
      </c>
      <c r="E126" s="88" t="s">
        <v>1180</v>
      </c>
      <c r="F126" s="89" t="s">
        <v>846</v>
      </c>
      <c r="G126" s="89" t="s">
        <v>746</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1171</v>
      </c>
      <c r="B127" s="84" t="s">
        <v>1181</v>
      </c>
      <c r="C127" s="86" t="s">
        <v>1182</v>
      </c>
      <c r="D127" s="88" t="s">
        <v>1183</v>
      </c>
      <c r="E127" s="88" t="s">
        <v>1184</v>
      </c>
      <c r="F127" s="89" t="s">
        <v>846</v>
      </c>
      <c r="G127" s="89" t="s">
        <v>746</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1171</v>
      </c>
      <c r="B128" s="84" t="s">
        <v>1185</v>
      </c>
      <c r="C128" s="86" t="s">
        <v>1186</v>
      </c>
      <c r="D128" s="88" t="s">
        <v>1187</v>
      </c>
      <c r="E128" s="88" t="s">
        <v>1188</v>
      </c>
      <c r="F128" s="89" t="s">
        <v>846</v>
      </c>
      <c r="G128" s="89" t="s">
        <v>746</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1171</v>
      </c>
      <c r="B129" s="84" t="s">
        <v>1189</v>
      </c>
      <c r="C129" s="86" t="s">
        <v>1190</v>
      </c>
      <c r="D129" s="88" t="s">
        <v>1191</v>
      </c>
      <c r="E129" s="88" t="s">
        <v>1192</v>
      </c>
      <c r="F129" s="89" t="s">
        <v>846</v>
      </c>
      <c r="G129" s="89" t="s">
        <v>746</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1171</v>
      </c>
      <c r="B130" s="84" t="s">
        <v>1193</v>
      </c>
      <c r="C130" s="86" t="s">
        <v>1194</v>
      </c>
      <c r="D130" s="88" t="s">
        <v>1195</v>
      </c>
      <c r="E130" s="88" t="s">
        <v>1196</v>
      </c>
      <c r="F130" s="89" t="s">
        <v>846</v>
      </c>
      <c r="G130" s="89" t="s">
        <v>746</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1171</v>
      </c>
      <c r="B131" s="84" t="s">
        <v>1197</v>
      </c>
      <c r="C131" s="86" t="s">
        <v>1198</v>
      </c>
      <c r="D131" s="88" t="s">
        <v>1199</v>
      </c>
      <c r="E131" s="88" t="s">
        <v>1200</v>
      </c>
      <c r="F131" s="89" t="s">
        <v>846</v>
      </c>
      <c r="G131" s="89" t="s">
        <v>746</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1171</v>
      </c>
      <c r="B132" s="84" t="s">
        <v>1201</v>
      </c>
      <c r="C132" s="86" t="s">
        <v>1202</v>
      </c>
      <c r="D132" s="88" t="s">
        <v>1203</v>
      </c>
      <c r="E132" s="88" t="s">
        <v>1204</v>
      </c>
      <c r="F132" s="89" t="s">
        <v>846</v>
      </c>
      <c r="G132" s="89" t="s">
        <v>746</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1171</v>
      </c>
      <c r="B133" s="84" t="s">
        <v>1205</v>
      </c>
      <c r="C133" s="86" t="s">
        <v>1206</v>
      </c>
      <c r="D133" s="88" t="s">
        <v>1207</v>
      </c>
      <c r="E133" s="88" t="s">
        <v>1208</v>
      </c>
      <c r="F133" s="89" t="s">
        <v>846</v>
      </c>
      <c r="G133" s="89" t="s">
        <v>746</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1209</v>
      </c>
      <c r="B134" s="83">
        <v>15</v>
      </c>
      <c r="C134" s="85" t="s">
        <v>21</v>
      </c>
      <c r="D134" s="87" t="s">
        <v>1210</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1209</v>
      </c>
      <c r="B135" s="84" t="s">
        <v>1211</v>
      </c>
      <c r="C135" s="86" t="s">
        <v>1212</v>
      </c>
      <c r="D135" s="88" t="s">
        <v>1213</v>
      </c>
      <c r="E135" s="88" t="s">
        <v>1214</v>
      </c>
      <c r="F135" s="89" t="s">
        <v>846</v>
      </c>
      <c r="G135" s="89" t="s">
        <v>704</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1209</v>
      </c>
      <c r="B136" s="84" t="s">
        <v>1215</v>
      </c>
      <c r="C136" s="86" t="s">
        <v>1216</v>
      </c>
      <c r="D136" s="88" t="s">
        <v>1217</v>
      </c>
      <c r="E136" s="88" t="s">
        <v>1218</v>
      </c>
      <c r="F136" s="89" t="s">
        <v>821</v>
      </c>
      <c r="G136" s="89" t="s">
        <v>762</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1209</v>
      </c>
      <c r="B137" s="84" t="s">
        <v>1219</v>
      </c>
      <c r="C137" s="86" t="s">
        <v>1220</v>
      </c>
      <c r="D137" s="88" t="s">
        <v>1221</v>
      </c>
      <c r="E137" s="88" t="s">
        <v>1222</v>
      </c>
      <c r="F137" s="89" t="s">
        <v>846</v>
      </c>
      <c r="G137" s="89" t="s">
        <v>762</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1209</v>
      </c>
      <c r="B138" s="84" t="s">
        <v>1223</v>
      </c>
      <c r="C138" s="86" t="s">
        <v>1224</v>
      </c>
      <c r="D138" s="88" t="s">
        <v>1225</v>
      </c>
      <c r="E138" s="88" t="s">
        <v>1226</v>
      </c>
      <c r="F138" s="89" t="s">
        <v>821</v>
      </c>
      <c r="G138" s="89" t="s">
        <v>762</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1209</v>
      </c>
      <c r="B139" s="84" t="s">
        <v>1227</v>
      </c>
      <c r="C139" s="86" t="s">
        <v>1228</v>
      </c>
      <c r="D139" s="88" t="s">
        <v>1229</v>
      </c>
      <c r="E139" s="88" t="s">
        <v>1230</v>
      </c>
      <c r="F139" s="89" t="s">
        <v>846</v>
      </c>
      <c r="G139" s="89" t="s">
        <v>762</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1209</v>
      </c>
      <c r="B140" s="84" t="s">
        <v>1231</v>
      </c>
      <c r="C140" s="86" t="s">
        <v>1232</v>
      </c>
      <c r="D140" s="88" t="s">
        <v>1233</v>
      </c>
      <c r="E140" s="88" t="s">
        <v>1234</v>
      </c>
      <c r="F140" s="89" t="s">
        <v>761</v>
      </c>
      <c r="G140" s="89" t="s">
        <v>762</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1209</v>
      </c>
      <c r="B141" s="84" t="s">
        <v>1235</v>
      </c>
      <c r="C141" s="86" t="s">
        <v>1236</v>
      </c>
      <c r="D141" s="88" t="s">
        <v>1237</v>
      </c>
      <c r="E141" s="88" t="s">
        <v>1238</v>
      </c>
      <c r="F141" s="89" t="s">
        <v>761</v>
      </c>
      <c r="G141" s="89" t="s">
        <v>746</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1239</v>
      </c>
      <c r="B142" s="83">
        <v>16</v>
      </c>
      <c r="C142" s="85" t="s">
        <v>21</v>
      </c>
      <c r="D142" s="87" t="s">
        <v>1240</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1239</v>
      </c>
      <c r="B143" s="84" t="s">
        <v>1241</v>
      </c>
      <c r="C143" s="86" t="s">
        <v>1242</v>
      </c>
      <c r="D143" s="88" t="s">
        <v>1243</v>
      </c>
      <c r="E143" s="88" t="s">
        <v>1244</v>
      </c>
      <c r="F143" s="89" t="s">
        <v>821</v>
      </c>
      <c r="G143" s="89" t="s">
        <v>762</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1239</v>
      </c>
      <c r="B144" s="84" t="s">
        <v>1245</v>
      </c>
      <c r="C144" s="86" t="s">
        <v>1246</v>
      </c>
      <c r="D144" s="88" t="s">
        <v>1247</v>
      </c>
      <c r="E144" s="88" t="s">
        <v>1248</v>
      </c>
      <c r="F144" s="89" t="s">
        <v>821</v>
      </c>
      <c r="G144" s="89" t="s">
        <v>762</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1239</v>
      </c>
      <c r="B145" s="84" t="s">
        <v>1249</v>
      </c>
      <c r="C145" s="86" t="s">
        <v>1250</v>
      </c>
      <c r="D145" s="88" t="s">
        <v>1251</v>
      </c>
      <c r="E145" s="88" t="s">
        <v>1252</v>
      </c>
      <c r="F145" s="89" t="s">
        <v>729</v>
      </c>
      <c r="G145" s="89" t="s">
        <v>714</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1239</v>
      </c>
      <c r="B146" s="84" t="s">
        <v>1253</v>
      </c>
      <c r="C146" s="86" t="s">
        <v>1254</v>
      </c>
      <c r="D146" s="88" t="s">
        <v>1255</v>
      </c>
      <c r="E146" s="88" t="s">
        <v>1256</v>
      </c>
      <c r="F146" s="89" t="s">
        <v>729</v>
      </c>
      <c r="G146" s="89" t="s">
        <v>704</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1239</v>
      </c>
      <c r="B147" s="84" t="s">
        <v>1257</v>
      </c>
      <c r="C147" s="86" t="s">
        <v>1258</v>
      </c>
      <c r="D147" s="88" t="s">
        <v>1259</v>
      </c>
      <c r="E147" s="88" t="s">
        <v>1260</v>
      </c>
      <c r="F147" s="89" t="s">
        <v>729</v>
      </c>
      <c r="G147" s="89" t="s">
        <v>746</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1239</v>
      </c>
      <c r="B148" s="84" t="s">
        <v>1261</v>
      </c>
      <c r="C148" s="86" t="s">
        <v>1262</v>
      </c>
      <c r="D148" s="88" t="s">
        <v>1263</v>
      </c>
      <c r="E148" s="88" t="s">
        <v>1264</v>
      </c>
      <c r="F148" s="89" t="s">
        <v>821</v>
      </c>
      <c r="G148" s="89" t="s">
        <v>762</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1239</v>
      </c>
      <c r="B149" s="84" t="s">
        <v>1265</v>
      </c>
      <c r="C149" s="86" t="s">
        <v>1266</v>
      </c>
      <c r="D149" s="88" t="s">
        <v>1267</v>
      </c>
      <c r="E149" s="88" t="s">
        <v>1268</v>
      </c>
      <c r="F149" s="89" t="s">
        <v>729</v>
      </c>
      <c r="G149" s="89" t="s">
        <v>746</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1239</v>
      </c>
      <c r="B150" s="84" t="s">
        <v>1269</v>
      </c>
      <c r="C150" s="86" t="s">
        <v>1270</v>
      </c>
      <c r="D150" s="88" t="s">
        <v>1271</v>
      </c>
      <c r="E150" s="88" t="s">
        <v>1272</v>
      </c>
      <c r="F150" s="89" t="s">
        <v>975</v>
      </c>
      <c r="G150" s="89" t="s">
        <v>746</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1239</v>
      </c>
      <c r="B151" s="84" t="s">
        <v>1273</v>
      </c>
      <c r="C151" s="86" t="s">
        <v>1274</v>
      </c>
      <c r="D151" s="88" t="s">
        <v>1275</v>
      </c>
      <c r="E151" s="88" t="s">
        <v>1276</v>
      </c>
      <c r="F151" s="89" t="s">
        <v>846</v>
      </c>
      <c r="G151" s="89" t="s">
        <v>746</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1239</v>
      </c>
      <c r="B152" s="84" t="s">
        <v>1277</v>
      </c>
      <c r="C152" s="86" t="s">
        <v>1278</v>
      </c>
      <c r="D152" s="88" t="s">
        <v>1279</v>
      </c>
      <c r="E152" s="88" t="s">
        <v>1280</v>
      </c>
      <c r="F152" s="89" t="s">
        <v>729</v>
      </c>
      <c r="G152" s="89" t="s">
        <v>746</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1239</v>
      </c>
      <c r="B153" s="84" t="s">
        <v>1281</v>
      </c>
      <c r="C153" s="86" t="s">
        <v>1282</v>
      </c>
      <c r="D153" s="88" t="s">
        <v>1283</v>
      </c>
      <c r="E153" s="88" t="s">
        <v>1284</v>
      </c>
      <c r="F153" s="89" t="s">
        <v>729</v>
      </c>
      <c r="G153" s="89" t="s">
        <v>746</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1239</v>
      </c>
      <c r="B154" s="84" t="s">
        <v>1285</v>
      </c>
      <c r="C154" s="86" t="s">
        <v>1286</v>
      </c>
      <c r="D154" s="88" t="s">
        <v>1287</v>
      </c>
      <c r="E154" s="88" t="s">
        <v>1288</v>
      </c>
      <c r="F154" s="89" t="s">
        <v>729</v>
      </c>
      <c r="G154" s="89" t="s">
        <v>746</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1239</v>
      </c>
      <c r="B155" s="84" t="s">
        <v>1289</v>
      </c>
      <c r="C155" s="86" t="s">
        <v>1290</v>
      </c>
      <c r="D155" s="88" t="s">
        <v>1291</v>
      </c>
      <c r="E155" s="88" t="s">
        <v>1292</v>
      </c>
      <c r="F155" s="89" t="s">
        <v>729</v>
      </c>
      <c r="G155" s="89" t="s">
        <v>714</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1239</v>
      </c>
      <c r="B156" s="84" t="s">
        <v>1293</v>
      </c>
      <c r="C156" s="86" t="s">
        <v>1294</v>
      </c>
      <c r="D156" s="88" t="s">
        <v>1295</v>
      </c>
      <c r="E156" s="88" t="s">
        <v>1296</v>
      </c>
      <c r="F156" s="89" t="s">
        <v>729</v>
      </c>
      <c r="G156" s="89" t="s">
        <v>746</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1297</v>
      </c>
      <c r="B157" s="83">
        <v>17</v>
      </c>
      <c r="C157" s="85" t="s">
        <v>21</v>
      </c>
      <c r="D157" s="87" t="s">
        <v>1298</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1297</v>
      </c>
      <c r="B158" s="84" t="s">
        <v>1299</v>
      </c>
      <c r="C158" s="86" t="s">
        <v>1300</v>
      </c>
      <c r="D158" s="88" t="s">
        <v>1301</v>
      </c>
      <c r="E158" s="88" t="s">
        <v>1302</v>
      </c>
      <c r="F158" s="89" t="s">
        <v>846</v>
      </c>
      <c r="G158" s="89" t="s">
        <v>709</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1297</v>
      </c>
      <c r="B159" s="84" t="s">
        <v>1303</v>
      </c>
      <c r="C159" s="86" t="s">
        <v>1304</v>
      </c>
      <c r="D159" s="88" t="s">
        <v>1305</v>
      </c>
      <c r="E159" s="88" t="s">
        <v>1306</v>
      </c>
      <c r="F159" s="89" t="s">
        <v>821</v>
      </c>
      <c r="G159" s="89" t="s">
        <v>762</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1297</v>
      </c>
      <c r="B160" s="84" t="s">
        <v>1307</v>
      </c>
      <c r="C160" s="86" t="s">
        <v>1308</v>
      </c>
      <c r="D160" s="88" t="s">
        <v>1309</v>
      </c>
      <c r="E160" s="88" t="s">
        <v>1310</v>
      </c>
      <c r="F160" s="89" t="s">
        <v>821</v>
      </c>
      <c r="G160" s="89" t="s">
        <v>762</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1297</v>
      </c>
      <c r="B161" s="84" t="s">
        <v>1311</v>
      </c>
      <c r="C161" s="86" t="s">
        <v>1312</v>
      </c>
      <c r="D161" s="88" t="s">
        <v>1313</v>
      </c>
      <c r="E161" s="88" t="s">
        <v>1314</v>
      </c>
      <c r="F161" s="89" t="s">
        <v>821</v>
      </c>
      <c r="G161" s="89" t="s">
        <v>762</v>
      </c>
      <c r="H161" s="89">
        <v>2</v>
      </c>
      <c r="I161" s="91">
        <f>IF(COUNTIF(J161:AW161,"&lt;&gt;")=0,"",SUMPRODUCT(((Recommendations[ImplStatus]="Implemented")+(Recommendations[ImplStatus]="Compensated"))*ISNUMBER(MATCH(Recommendations[Id],J161:AW161,0)))/COUNTIF(J161:AW161,"&lt;&gt;"))</f>
        <v>0</v>
      </c>
      <c r="J161" s="93" t="s">
        <v>66</v>
      </c>
      <c r="K161" s="93" t="s">
        <v>100</v>
      </c>
      <c r="L161" s="93" t="s">
        <v>105</v>
      </c>
      <c r="M161" s="93" t="s">
        <v>118</v>
      </c>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1297</v>
      </c>
      <c r="B162" s="84" t="s">
        <v>1315</v>
      </c>
      <c r="C162" s="86" t="s">
        <v>1316</v>
      </c>
      <c r="D162" s="88" t="s">
        <v>1317</v>
      </c>
      <c r="E162" s="88" t="s">
        <v>1318</v>
      </c>
      <c r="F162" s="89" t="s">
        <v>846</v>
      </c>
      <c r="G162" s="89" t="s">
        <v>709</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1297</v>
      </c>
      <c r="B163" s="84" t="s">
        <v>1319</v>
      </c>
      <c r="C163" s="86" t="s">
        <v>1320</v>
      </c>
      <c r="D163" s="88" t="s">
        <v>1321</v>
      </c>
      <c r="E163" s="88" t="s">
        <v>1322</v>
      </c>
      <c r="F163" s="89" t="s">
        <v>846</v>
      </c>
      <c r="G163" s="89" t="s">
        <v>709</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1297</v>
      </c>
      <c r="B164" s="84" t="s">
        <v>1323</v>
      </c>
      <c r="C164" s="86" t="s">
        <v>1324</v>
      </c>
      <c r="D164" s="88" t="s">
        <v>1325</v>
      </c>
      <c r="E164" s="88" t="s">
        <v>1326</v>
      </c>
      <c r="F164" s="89" t="s">
        <v>846</v>
      </c>
      <c r="G164" s="89" t="s">
        <v>1078</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1297</v>
      </c>
      <c r="B165" s="84" t="s">
        <v>1327</v>
      </c>
      <c r="C165" s="86" t="s">
        <v>1328</v>
      </c>
      <c r="D165" s="88" t="s">
        <v>1329</v>
      </c>
      <c r="E165" s="88" t="s">
        <v>1330</v>
      </c>
      <c r="F165" s="89" t="s">
        <v>846</v>
      </c>
      <c r="G165" s="89" t="s">
        <v>1078</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1297</v>
      </c>
      <c r="B166" s="84" t="s">
        <v>1331</v>
      </c>
      <c r="C166" s="86" t="s">
        <v>1332</v>
      </c>
      <c r="D166" s="88" t="s">
        <v>1333</v>
      </c>
      <c r="E166" s="88" t="s">
        <v>1334</v>
      </c>
      <c r="F166" s="89" t="s">
        <v>821</v>
      </c>
      <c r="G166" s="89" t="s">
        <v>1078</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1335</v>
      </c>
      <c r="B167" s="83">
        <v>18</v>
      </c>
      <c r="C167" s="85" t="s">
        <v>21</v>
      </c>
      <c r="D167" s="87" t="s">
        <v>1336</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1335</v>
      </c>
      <c r="B168" s="84" t="s">
        <v>1337</v>
      </c>
      <c r="C168" s="86" t="s">
        <v>1338</v>
      </c>
      <c r="D168" s="88" t="s">
        <v>1339</v>
      </c>
      <c r="E168" s="88" t="s">
        <v>1340</v>
      </c>
      <c r="F168" s="89" t="s">
        <v>821</v>
      </c>
      <c r="G168" s="89" t="s">
        <v>762</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1335</v>
      </c>
      <c r="B169" s="84" t="s">
        <v>1341</v>
      </c>
      <c r="C169" s="86" t="s">
        <v>1342</v>
      </c>
      <c r="D169" s="88" t="s">
        <v>1343</v>
      </c>
      <c r="E169" s="88" t="s">
        <v>1344</v>
      </c>
      <c r="F169" s="89" t="s">
        <v>975</v>
      </c>
      <c r="G169" s="89" t="s">
        <v>714</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1335</v>
      </c>
      <c r="B170" s="84" t="s">
        <v>1345</v>
      </c>
      <c r="C170" s="86" t="s">
        <v>1346</v>
      </c>
      <c r="D170" s="88" t="s">
        <v>1347</v>
      </c>
      <c r="E170" s="88" t="s">
        <v>1348</v>
      </c>
      <c r="F170" s="89" t="s">
        <v>975</v>
      </c>
      <c r="G170" s="89" t="s">
        <v>746</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1335</v>
      </c>
      <c r="B171" s="84" t="s">
        <v>1349</v>
      </c>
      <c r="C171" s="86" t="s">
        <v>1350</v>
      </c>
      <c r="D171" s="88" t="s">
        <v>1351</v>
      </c>
      <c r="E171" s="88" t="s">
        <v>1352</v>
      </c>
      <c r="F171" s="89" t="s">
        <v>975</v>
      </c>
      <c r="G171" s="89" t="s">
        <v>746</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1335</v>
      </c>
      <c r="B172" s="94" t="s">
        <v>1353</v>
      </c>
      <c r="C172" s="95" t="s">
        <v>1354</v>
      </c>
      <c r="D172" s="96" t="s">
        <v>1355</v>
      </c>
      <c r="E172" s="96" t="s">
        <v>1356</v>
      </c>
      <c r="F172" s="97" t="s">
        <v>975</v>
      </c>
      <c r="G172" s="97" t="s">
        <v>714</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407</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IFERROR(INDEX('Recommendations'!$H$2:$H$84, MATCH(J2,'Recommendations'!$A$2:$A$84,0))="Implemented", FALSE))</xm:f>
            <x14:dxf>
              <font>
                <color rgb="FF000000"/>
              </font>
              <fill>
                <patternFill>
                  <bgColor rgb="FF3C7D22"/>
                </patternFill>
              </fill>
            </x14:dxf>
          </x14:cfRule>
          <x14:cfRule type="expression" priority="2" id="{00000000-000E-0000-0400-000002000000}">
            <xm:f>AND(J2&lt;&gt;"", IFERROR(INDEX('Recommendations'!$H$2:$H$84, MATCH(J2,'Recommendations'!$A$2:$A$84,0))="Compensated", FALSE))</xm:f>
            <x14:dxf>
              <font>
                <color rgb="FF000000"/>
              </font>
              <fill>
                <patternFill>
                  <bgColor rgb="FFC6E0B4"/>
                </patternFill>
              </fill>
            </x14:dxf>
          </x14:cfRule>
          <x14:cfRule type="expression" priority="3" id="{00000000-000E-0000-0400-000003000000}">
            <xm:f>AND(J2&lt;&gt;"", IFERROR(INDEX('Recommendations'!$H$2:$H$84, MATCH(J2,'Recommendations'!$A$2:$A$84,0))="Testing", FALSE))</xm:f>
            <x14:dxf>
              <font>
                <color rgb="FF000000"/>
              </font>
              <fill>
                <patternFill>
                  <bgColor rgb="FFFFC000"/>
                </patternFill>
              </fill>
            </x14:dxf>
          </x14:cfRule>
          <x14:cfRule type="expression" priority="4" id="{00000000-000E-0000-0400-000004000000}">
            <xm:f>AND(J2&lt;&gt;"", IFERROR(INDEX('Recommendations'!$H$2:$H$84, MATCH(J2,'Recommendations'!$A$2:$A$84,0))="Failed", FALSE))</xm:f>
            <x14:dxf>
              <font>
                <color rgb="FF000000"/>
              </font>
              <fill>
                <patternFill>
                  <bgColor rgb="FFD82891"/>
                </patternFill>
              </fill>
            </x14:dxf>
          </x14:cfRule>
          <x14:cfRule type="expression" priority="5" id="{00000000-000E-0000-0400-000005000000}">
            <xm:f>AND(J2&lt;&gt;"", IFERROR(INDEX('Recommendations'!$H$2:$H$84, MATCH(J2,'Recommendations'!$A$2:$A$84,0))="Risk Accepted", FALSE))</xm:f>
            <x14:dxf>
              <font>
                <color rgb="FF000000"/>
              </font>
              <fill>
                <patternFill>
                  <bgColor rgb="FFD9D9D9"/>
                </patternFill>
              </fill>
            </x14:dxf>
          </x14:cfRule>
          <x14:cfRule type="expression" priority="6" id="{00000000-000E-0000-0400-000006000000}">
            <xm:f>AND(J2&lt;&gt;"", IFERROR(INDEX('Recommendations'!$H$2:$H$84, MATCH(J2,'Recommendations'!$A$2:$A$84,0))="N/A",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1357</v>
      </c>
      <c r="C1" s="124" t="s">
        <v>10</v>
      </c>
      <c r="D1" s="124" t="s">
        <v>562</v>
      </c>
      <c r="E1" s="124" t="s">
        <v>1358</v>
      </c>
      <c r="F1" s="124" t="s">
        <v>1359</v>
      </c>
      <c r="G1" s="124" t="s">
        <v>656</v>
      </c>
      <c r="H1" s="124" t="s">
        <v>657</v>
      </c>
      <c r="I1" s="124" t="s">
        <v>658</v>
      </c>
      <c r="J1" s="124" t="s">
        <v>659</v>
      </c>
      <c r="K1" s="124" t="s">
        <v>660</v>
      </c>
      <c r="L1" s="124" t="s">
        <v>661</v>
      </c>
      <c r="M1" s="124" t="s">
        <v>662</v>
      </c>
      <c r="N1" s="124" t="s">
        <v>663</v>
      </c>
      <c r="O1" s="124" t="s">
        <v>664</v>
      </c>
      <c r="P1" s="124" t="s">
        <v>665</v>
      </c>
      <c r="Q1" s="124" t="s">
        <v>666</v>
      </c>
      <c r="R1" s="124" t="s">
        <v>667</v>
      </c>
      <c r="S1" s="124" t="s">
        <v>668</v>
      </c>
      <c r="T1" s="124" t="s">
        <v>669</v>
      </c>
      <c r="U1" s="124" t="s">
        <v>670</v>
      </c>
      <c r="V1" s="124" t="s">
        <v>671</v>
      </c>
      <c r="W1" s="124" t="s">
        <v>672</v>
      </c>
      <c r="X1" s="124" t="s">
        <v>673</v>
      </c>
      <c r="Y1" s="124" t="s">
        <v>674</v>
      </c>
      <c r="Z1" s="124" t="s">
        <v>675</v>
      </c>
      <c r="AA1" s="124" t="s">
        <v>676</v>
      </c>
      <c r="AB1" s="124" t="s">
        <v>677</v>
      </c>
      <c r="AC1" s="124" t="s">
        <v>678</v>
      </c>
      <c r="AD1" s="124" t="s">
        <v>679</v>
      </c>
      <c r="AE1" s="124" t="s">
        <v>680</v>
      </c>
      <c r="AF1" s="124" t="s">
        <v>681</v>
      </c>
      <c r="AG1" s="124" t="s">
        <v>682</v>
      </c>
      <c r="AH1" s="124" t="s">
        <v>683</v>
      </c>
      <c r="AI1" s="124" t="s">
        <v>684</v>
      </c>
      <c r="AJ1" s="124" t="s">
        <v>685</v>
      </c>
      <c r="AK1" s="124" t="s">
        <v>686</v>
      </c>
      <c r="AL1" s="124" t="s">
        <v>687</v>
      </c>
      <c r="AM1" s="124" t="s">
        <v>688</v>
      </c>
      <c r="AN1" s="124" t="s">
        <v>689</v>
      </c>
      <c r="AO1" s="124" t="s">
        <v>690</v>
      </c>
      <c r="AP1" s="124" t="s">
        <v>691</v>
      </c>
      <c r="AQ1" s="124" t="s">
        <v>692</v>
      </c>
      <c r="AR1" s="124" t="s">
        <v>693</v>
      </c>
      <c r="AS1" s="124" t="s">
        <v>694</v>
      </c>
      <c r="AT1" s="124" t="s">
        <v>695</v>
      </c>
      <c r="AU1" s="125" t="s">
        <v>696</v>
      </c>
    </row>
    <row r="2" spans="1:47" ht="60" customHeight="1" x14ac:dyDescent="0.35">
      <c r="A2" s="119" t="s">
        <v>1360</v>
      </c>
      <c r="B2" s="109" t="s">
        <v>1361</v>
      </c>
      <c r="C2" s="110" t="s">
        <v>1362</v>
      </c>
      <c r="D2" s="110" t="s">
        <v>1363</v>
      </c>
      <c r="E2" s="110" t="s">
        <v>1364</v>
      </c>
      <c r="F2" s="111" t="s">
        <v>1365</v>
      </c>
      <c r="G2" s="112">
        <f>IF(COUNTIF(H2:AU2,"&lt;&gt;")=0,"",SUMPRODUCT(((Recommendations[ImplStatus]="Implemented")+(Recommendations[ImplStatus]="Compensated"))*ISNUMBER(MATCH(Recommendations[Id],H2:AU2,0)))/COUNTIF(H2:AU2,"&lt;&gt;"))</f>
        <v>0</v>
      </c>
      <c r="H2" s="113" t="s">
        <v>210</v>
      </c>
      <c r="I2" s="113" t="s">
        <v>373</v>
      </c>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1366</v>
      </c>
      <c r="B3" s="109" t="s">
        <v>1367</v>
      </c>
      <c r="C3" s="110" t="s">
        <v>1368</v>
      </c>
      <c r="D3" s="110" t="s">
        <v>1369</v>
      </c>
      <c r="E3" s="110" t="s">
        <v>1370</v>
      </c>
      <c r="F3" s="111" t="s">
        <v>1371</v>
      </c>
      <c r="G3" s="112" t="str">
        <f>IF(COUNTIF(H3:AU3,"&lt;&gt;")=0,"",SUMPRODUCT(((Recommendations[ImplStatus]="Implemented")+(Recommendations[ImplStatus]="Compensated"))*ISNUMBER(MATCH(Recommendations[Id],H3:AU3,0)))/COUNTIF(H3:AU3,"&lt;&gt;"))</f>
        <v/>
      </c>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1372</v>
      </c>
      <c r="B4" s="109" t="s">
        <v>1373</v>
      </c>
      <c r="C4" s="110" t="s">
        <v>1374</v>
      </c>
      <c r="D4" s="110" t="s">
        <v>1375</v>
      </c>
      <c r="E4" s="110" t="s">
        <v>1376</v>
      </c>
      <c r="F4" s="111" t="s">
        <v>1377</v>
      </c>
      <c r="G4" s="112">
        <f>IF(COUNTIF(H4:AU4,"&lt;&gt;")=0,"",SUMPRODUCT(((Recommendations[ImplStatus]="Implemented")+(Recommendations[ImplStatus]="Compensated"))*ISNUMBER(MATCH(Recommendations[Id],H4:AU4,0)))/COUNTIF(H4:AU4,"&lt;&gt;"))</f>
        <v>0</v>
      </c>
      <c r="H4" s="113" t="s">
        <v>35</v>
      </c>
      <c r="I4" s="113" t="s">
        <v>40</v>
      </c>
      <c r="J4" s="113" t="s">
        <v>45</v>
      </c>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1378</v>
      </c>
      <c r="B5" s="109" t="s">
        <v>1379</v>
      </c>
      <c r="C5" s="110" t="s">
        <v>1380</v>
      </c>
      <c r="D5" s="110" t="s">
        <v>1381</v>
      </c>
      <c r="E5" s="110" t="s">
        <v>1382</v>
      </c>
      <c r="F5" s="111" t="s">
        <v>1383</v>
      </c>
      <c r="G5" s="112" t="str">
        <f>IF(COUNTIF(H5:AU5,"&lt;&gt;")=0,"",SUMPRODUCT(((Recommendations[ImplStatus]="Implemented")+(Recommendations[ImplStatus]="Compensated"))*ISNUMBER(MATCH(Recommendations[Id],H5:AU5,0)))/COUNTIF(H5:AU5,"&lt;&gt;"))</f>
        <v/>
      </c>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1384</v>
      </c>
      <c r="B6" s="109" t="s">
        <v>1385</v>
      </c>
      <c r="C6" s="110" t="s">
        <v>1386</v>
      </c>
      <c r="D6" s="110" t="s">
        <v>1387</v>
      </c>
      <c r="E6" s="110" t="s">
        <v>21</v>
      </c>
      <c r="F6" s="111" t="s">
        <v>1388</v>
      </c>
      <c r="G6" s="112" t="str">
        <f>IF(COUNTIF(H6:AU6,"&lt;&gt;")=0,"",SUMPRODUCT(((Recommendations[ImplStatus]="Implemented")+(Recommendations[ImplStatus]="Compensated"))*ISNUMBER(MATCH(Recommendations[Id],H6:AU6,0)))/COUNTIF(H6:AU6,"&lt;&gt;"))</f>
        <v/>
      </c>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1389</v>
      </c>
      <c r="B7" s="109" t="s">
        <v>11</v>
      </c>
      <c r="C7" s="110" t="s">
        <v>1390</v>
      </c>
      <c r="D7" s="110" t="s">
        <v>1391</v>
      </c>
      <c r="E7" s="110" t="s">
        <v>21</v>
      </c>
      <c r="F7" s="111" t="s">
        <v>1392</v>
      </c>
      <c r="G7" s="112">
        <f>IF(COUNTIF(H7:AU7,"&lt;&gt;")=0,"",SUMPRODUCT(((Recommendations[ImplStatus]="Implemented")+(Recommendations[ImplStatus]="Compensated"))*ISNUMBER(MATCH(Recommendations[Id],H7:AU7,0)))/COUNTIF(H7:AU7,"&lt;&gt;"))</f>
        <v>0</v>
      </c>
      <c r="H7" s="113" t="s">
        <v>90</v>
      </c>
      <c r="I7" s="113" t="s">
        <v>95</v>
      </c>
      <c r="J7" s="113" t="s">
        <v>110</v>
      </c>
      <c r="K7" s="113" t="s">
        <v>113</v>
      </c>
      <c r="L7" s="113" t="s">
        <v>123</v>
      </c>
      <c r="M7" s="113" t="s">
        <v>220</v>
      </c>
      <c r="N7" s="113" t="s">
        <v>225</v>
      </c>
      <c r="O7" s="113" t="s">
        <v>228</v>
      </c>
      <c r="P7" s="113" t="s">
        <v>231</v>
      </c>
      <c r="Q7" s="113" t="s">
        <v>233</v>
      </c>
      <c r="R7" s="113" t="s">
        <v>235</v>
      </c>
      <c r="S7" s="113" t="s">
        <v>237</v>
      </c>
      <c r="T7" s="113" t="s">
        <v>241</v>
      </c>
      <c r="U7" s="113" t="s">
        <v>246</v>
      </c>
      <c r="V7" s="113" t="s">
        <v>260</v>
      </c>
      <c r="W7" s="113" t="s">
        <v>280</v>
      </c>
      <c r="X7" s="113" t="s">
        <v>392</v>
      </c>
      <c r="Y7" s="113" t="s">
        <v>402</v>
      </c>
      <c r="Z7" s="113"/>
      <c r="AA7" s="113"/>
      <c r="AB7" s="113"/>
      <c r="AC7" s="113"/>
      <c r="AD7" s="113"/>
      <c r="AE7" s="113"/>
      <c r="AF7" s="113"/>
      <c r="AG7" s="113"/>
      <c r="AH7" s="113"/>
      <c r="AI7" s="113"/>
      <c r="AJ7" s="113"/>
      <c r="AK7" s="113"/>
      <c r="AL7" s="113"/>
      <c r="AM7" s="113"/>
      <c r="AN7" s="113"/>
      <c r="AO7" s="113"/>
      <c r="AP7" s="113"/>
      <c r="AQ7" s="113"/>
      <c r="AR7" s="113"/>
      <c r="AS7" s="113"/>
      <c r="AT7" s="113"/>
      <c r="AU7" s="121"/>
    </row>
    <row r="8" spans="1:47" ht="60" customHeight="1" x14ac:dyDescent="0.35">
      <c r="A8" s="119" t="s">
        <v>1393</v>
      </c>
      <c r="B8" s="109" t="s">
        <v>1394</v>
      </c>
      <c r="C8" s="110" t="s">
        <v>1395</v>
      </c>
      <c r="D8" s="110" t="s">
        <v>1396</v>
      </c>
      <c r="E8" s="110" t="s">
        <v>21</v>
      </c>
      <c r="F8" s="111" t="s">
        <v>1397</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1398</v>
      </c>
      <c r="B9" s="109" t="s">
        <v>1399</v>
      </c>
      <c r="C9" s="110" t="s">
        <v>1400</v>
      </c>
      <c r="D9" s="110" t="s">
        <v>1401</v>
      </c>
      <c r="E9" s="110" t="s">
        <v>21</v>
      </c>
      <c r="F9" s="111" t="s">
        <v>1402</v>
      </c>
      <c r="G9" s="112" t="str">
        <f>IF(COUNTIF(H9:AU9,"&lt;&gt;")=0,"",SUMPRODUCT(((Recommendations[ImplStatus]="Implemented")+(Recommendations[ImplStatus]="Compensated"))*ISNUMBER(MATCH(Recommendations[Id],H9:AU9,0)))/COUNTIF(H9:AU9,"&lt;&gt;"))</f>
        <v/>
      </c>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1403</v>
      </c>
      <c r="B10" s="109" t="s">
        <v>1404</v>
      </c>
      <c r="C10" s="110" t="s">
        <v>1405</v>
      </c>
      <c r="D10" s="110" t="s">
        <v>1406</v>
      </c>
      <c r="E10" s="110" t="s">
        <v>21</v>
      </c>
      <c r="F10" s="111" t="s">
        <v>1407</v>
      </c>
      <c r="G10" s="112">
        <f>IF(COUNTIF(H10:AU10,"&lt;&gt;")=0,"",SUMPRODUCT(((Recommendations[ImplStatus]="Implemented")+(Recommendations[ImplStatus]="Compensated"))*ISNUMBER(MATCH(Recommendations[Id],H10:AU10,0)))/COUNTIF(H10:AU10,"&lt;&gt;"))</f>
        <v>0</v>
      </c>
      <c r="H10" s="113" t="s">
        <v>363</v>
      </c>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1408</v>
      </c>
      <c r="B11" s="109" t="s">
        <v>1409</v>
      </c>
      <c r="C11" s="110" t="s">
        <v>1410</v>
      </c>
      <c r="D11" s="110" t="s">
        <v>1411</v>
      </c>
      <c r="E11" s="110" t="s">
        <v>21</v>
      </c>
      <c r="F11" s="111" t="s">
        <v>1412</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1413</v>
      </c>
      <c r="B12" s="109" t="s">
        <v>1414</v>
      </c>
      <c r="C12" s="110" t="s">
        <v>1415</v>
      </c>
      <c r="D12" s="110" t="s">
        <v>1416</v>
      </c>
      <c r="E12" s="110" t="s">
        <v>21</v>
      </c>
      <c r="F12" s="111" t="s">
        <v>1417</v>
      </c>
      <c r="G12" s="112">
        <f>IF(COUNTIF(H12:AU12,"&lt;&gt;")=0,"",SUMPRODUCT(((Recommendations[ImplStatus]="Implemented")+(Recommendations[ImplStatus]="Compensated"))*ISNUMBER(MATCH(Recommendations[Id],H12:AU12,0)))/COUNTIF(H12:AU12,"&lt;&gt;"))</f>
        <v>0</v>
      </c>
      <c r="H12" s="113" t="s">
        <v>285</v>
      </c>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1418</v>
      </c>
      <c r="B13" s="109" t="s">
        <v>1419</v>
      </c>
      <c r="C13" s="110" t="s">
        <v>1420</v>
      </c>
      <c r="D13" s="110" t="s">
        <v>1421</v>
      </c>
      <c r="E13" s="110" t="s">
        <v>21</v>
      </c>
      <c r="F13" s="111" t="s">
        <v>1422</v>
      </c>
      <c r="G13" s="112" t="str">
        <f>IF(COUNTIF(H13:AU13,"&lt;&gt;")=0,"",SUMPRODUCT(((Recommendations[ImplStatus]="Implemented")+(Recommendations[ImplStatus]="Compensated"))*ISNUMBER(MATCH(Recommendations[Id],H13:AU13,0)))/COUNTIF(H13:AU13,"&lt;&gt;"))</f>
        <v/>
      </c>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1423</v>
      </c>
      <c r="B14" s="109" t="s">
        <v>1424</v>
      </c>
      <c r="C14" s="110" t="s">
        <v>1425</v>
      </c>
      <c r="D14" s="110" t="s">
        <v>1426</v>
      </c>
      <c r="E14" s="110" t="s">
        <v>21</v>
      </c>
      <c r="F14" s="111" t="s">
        <v>1427</v>
      </c>
      <c r="G14" s="112">
        <f>IF(COUNTIF(H14:AU14,"&lt;&gt;")=0,"",SUMPRODUCT(((Recommendations[ImplStatus]="Implemented")+(Recommendations[ImplStatus]="Compensated"))*ISNUMBER(MATCH(Recommendations[Id],H14:AU14,0)))/COUNTIF(H14:AU14,"&lt;&gt;"))</f>
        <v>0</v>
      </c>
      <c r="H14" s="113" t="s">
        <v>295</v>
      </c>
      <c r="I14" s="113" t="s">
        <v>300</v>
      </c>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21"/>
    </row>
    <row r="15" spans="1:47" ht="60" customHeight="1" x14ac:dyDescent="0.35">
      <c r="A15" s="119" t="s">
        <v>1428</v>
      </c>
      <c r="B15" s="109" t="s">
        <v>1429</v>
      </c>
      <c r="C15" s="110" t="s">
        <v>1430</v>
      </c>
      <c r="D15" s="110" t="s">
        <v>1431</v>
      </c>
      <c r="E15" s="110" t="s">
        <v>21</v>
      </c>
      <c r="F15" s="111" t="s">
        <v>1432</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1433</v>
      </c>
      <c r="B16" s="109" t="s">
        <v>1434</v>
      </c>
      <c r="C16" s="110" t="s">
        <v>1435</v>
      </c>
      <c r="D16" s="110" t="s">
        <v>1436</v>
      </c>
      <c r="E16" s="110" t="s">
        <v>21</v>
      </c>
      <c r="F16" s="111" t="s">
        <v>1437</v>
      </c>
      <c r="G16" s="112">
        <f>IF(COUNTIF(H16:AU16,"&lt;&gt;")=0,"",SUMPRODUCT(((Recommendations[ImplStatus]="Implemented")+(Recommendations[ImplStatus]="Compensated"))*ISNUMBER(MATCH(Recommendations[Id],H16:AU16,0)))/COUNTIF(H16:AU16,"&lt;&gt;"))</f>
        <v>0</v>
      </c>
      <c r="H16" s="113" t="s">
        <v>14</v>
      </c>
      <c r="I16" s="113" t="s">
        <v>147</v>
      </c>
      <c r="J16" s="113" t="s">
        <v>152</v>
      </c>
      <c r="K16" s="113" t="s">
        <v>290</v>
      </c>
      <c r="L16" s="113" t="s">
        <v>310</v>
      </c>
      <c r="M16" s="113" t="s">
        <v>358</v>
      </c>
      <c r="N16" s="113" t="s">
        <v>368</v>
      </c>
      <c r="O16" s="113" t="s">
        <v>378</v>
      </c>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21"/>
    </row>
    <row r="17" spans="1:47" ht="60" customHeight="1" x14ac:dyDescent="0.35">
      <c r="A17" s="119" t="s">
        <v>1438</v>
      </c>
      <c r="B17" s="109" t="s">
        <v>1439</v>
      </c>
      <c r="C17" s="110" t="s">
        <v>1440</v>
      </c>
      <c r="D17" s="110" t="s">
        <v>1441</v>
      </c>
      <c r="E17" s="110" t="s">
        <v>21</v>
      </c>
      <c r="F17" s="111" t="s">
        <v>1442</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1443</v>
      </c>
      <c r="B18" s="109" t="s">
        <v>1444</v>
      </c>
      <c r="C18" s="110" t="s">
        <v>1445</v>
      </c>
      <c r="D18" s="110" t="s">
        <v>1446</v>
      </c>
      <c r="E18" s="110" t="s">
        <v>21</v>
      </c>
      <c r="F18" s="111" t="s">
        <v>1447</v>
      </c>
      <c r="G18" s="112" t="str">
        <f>IF(COUNTIF(H18:AU18,"&lt;&gt;")=0,"",SUMPRODUCT(((Recommendations[ImplStatus]="Implemented")+(Recommendations[ImplStatus]="Compensated"))*ISNUMBER(MATCH(Recommendations[Id],H18:AU18,0)))/COUNTIF(H18:AU18,"&lt;&gt;"))</f>
        <v/>
      </c>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1448</v>
      </c>
      <c r="B19" s="109" t="s">
        <v>1449</v>
      </c>
      <c r="C19" s="110" t="s">
        <v>1450</v>
      </c>
      <c r="D19" s="110" t="s">
        <v>1451</v>
      </c>
      <c r="E19" s="110" t="s">
        <v>21</v>
      </c>
      <c r="F19" s="111" t="s">
        <v>1452</v>
      </c>
      <c r="G19" s="112" t="str">
        <f>IF(COUNTIF(H19:AU19,"&lt;&gt;")=0,"",SUMPRODUCT(((Recommendations[ImplStatus]="Implemented")+(Recommendations[ImplStatus]="Compensated"))*ISNUMBER(MATCH(Recommendations[Id],H19:AU19,0)))/COUNTIF(H19:AU19,"&lt;&gt;"))</f>
        <v/>
      </c>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1453</v>
      </c>
      <c r="B20" s="109" t="s">
        <v>1454</v>
      </c>
      <c r="C20" s="110" t="s">
        <v>1455</v>
      </c>
      <c r="D20" s="110" t="s">
        <v>1456</v>
      </c>
      <c r="E20" s="110" t="s">
        <v>21</v>
      </c>
      <c r="F20" s="111" t="s">
        <v>1457</v>
      </c>
      <c r="G20" s="112">
        <f>IF(COUNTIF(H20:AU20,"&lt;&gt;")=0,"",SUMPRODUCT(((Recommendations[ImplStatus]="Implemented")+(Recommendations[ImplStatus]="Compensated"))*ISNUMBER(MATCH(Recommendations[Id],H20:AU20,0)))/COUNTIF(H20:AU20,"&lt;&gt;"))</f>
        <v>0</v>
      </c>
      <c r="H20" s="113" t="s">
        <v>75</v>
      </c>
      <c r="I20" s="113" t="s">
        <v>387</v>
      </c>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21"/>
    </row>
    <row r="21" spans="1:47" ht="60" customHeight="1" x14ac:dyDescent="0.35">
      <c r="A21" s="119" t="s">
        <v>1458</v>
      </c>
      <c r="B21" s="109" t="s">
        <v>1459</v>
      </c>
      <c r="C21" s="110" t="s">
        <v>1460</v>
      </c>
      <c r="D21" s="110" t="s">
        <v>1461</v>
      </c>
      <c r="E21" s="110" t="s">
        <v>1462</v>
      </c>
      <c r="F21" s="111" t="s">
        <v>1463</v>
      </c>
      <c r="G21" s="112">
        <f>IF(COUNTIF(H21:AU21,"&lt;&gt;")=0,"",SUMPRODUCT(((Recommendations[ImplStatus]="Implemented")+(Recommendations[ImplStatus]="Compensated"))*ISNUMBER(MATCH(Recommendations[Id],H21:AU21,0)))/COUNTIF(H21:AU21,"&lt;&gt;"))</f>
        <v>0</v>
      </c>
      <c r="H21" s="113" t="s">
        <v>35</v>
      </c>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1464</v>
      </c>
      <c r="B22" s="109" t="s">
        <v>1465</v>
      </c>
      <c r="C22" s="110" t="s">
        <v>1466</v>
      </c>
      <c r="D22" s="110" t="s">
        <v>1467</v>
      </c>
      <c r="E22" s="110" t="s">
        <v>1468</v>
      </c>
      <c r="F22" s="111" t="s">
        <v>1469</v>
      </c>
      <c r="G22" s="112" t="str">
        <f>IF(COUNTIF(H22:AU22,"&lt;&gt;")=0,"",SUMPRODUCT(((Recommendations[ImplStatus]="Implemented")+(Recommendations[ImplStatus]="Compensated"))*ISNUMBER(MATCH(Recommendations[Id],H22:AU22,0)))/COUNTIF(H22:AU22,"&lt;&gt;"))</f>
        <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1470</v>
      </c>
      <c r="B23" s="109" t="s">
        <v>1471</v>
      </c>
      <c r="C23" s="110" t="s">
        <v>1472</v>
      </c>
      <c r="D23" s="110" t="s">
        <v>1473</v>
      </c>
      <c r="E23" s="110" t="s">
        <v>1474</v>
      </c>
      <c r="F23" s="111" t="s">
        <v>1475</v>
      </c>
      <c r="G23" s="112" t="str">
        <f>IF(COUNTIF(H23:AU23,"&lt;&gt;")=0,"",SUMPRODUCT(((Recommendations[ImplStatus]="Implemented")+(Recommendations[ImplStatus]="Compensated"))*ISNUMBER(MATCH(Recommendations[Id],H23:AU23,0)))/COUNTIF(H23:AU23,"&lt;&gt;"))</f>
        <v/>
      </c>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1476</v>
      </c>
      <c r="B24" s="109" t="s">
        <v>1477</v>
      </c>
      <c r="C24" s="110" t="s">
        <v>1478</v>
      </c>
      <c r="D24" s="110" t="s">
        <v>1479</v>
      </c>
      <c r="E24" s="110" t="s">
        <v>21</v>
      </c>
      <c r="F24" s="111" t="s">
        <v>1480</v>
      </c>
      <c r="G24" s="112">
        <f>IF(COUNTIF(H24:AU24,"&lt;&gt;")=0,"",SUMPRODUCT(((Recommendations[ImplStatus]="Implemented")+(Recommendations[ImplStatus]="Compensated"))*ISNUMBER(MATCH(Recommendations[Id],H24:AU24,0)))/COUNTIF(H24:AU24,"&lt;&gt;"))</f>
        <v>0</v>
      </c>
      <c r="H24" s="113" t="s">
        <v>30</v>
      </c>
      <c r="I24" s="113" t="s">
        <v>85</v>
      </c>
      <c r="J24" s="113" t="s">
        <v>157</v>
      </c>
      <c r="K24" s="113" t="s">
        <v>162</v>
      </c>
      <c r="L24" s="113" t="s">
        <v>270</v>
      </c>
      <c r="M24" s="113" t="s">
        <v>305</v>
      </c>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1481</v>
      </c>
      <c r="B25" s="109" t="s">
        <v>1482</v>
      </c>
      <c r="C25" s="110" t="s">
        <v>1483</v>
      </c>
      <c r="D25" s="110" t="s">
        <v>21</v>
      </c>
      <c r="E25" s="110" t="s">
        <v>21</v>
      </c>
      <c r="F25" s="111" t="s">
        <v>1484</v>
      </c>
      <c r="G25" s="112">
        <f>IF(COUNTIF(H25:AU25,"&lt;&gt;")=0,"",SUMPRODUCT(((Recommendations[ImplStatus]="Implemented")+(Recommendations[ImplStatus]="Compensated"))*ISNUMBER(MATCH(Recommendations[Id],H25:AU25,0)))/COUNTIF(H25:AU25,"&lt;&gt;"))</f>
        <v>0</v>
      </c>
      <c r="H25" s="113" t="s">
        <v>75</v>
      </c>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1485</v>
      </c>
      <c r="B26" s="109" t="s">
        <v>1486</v>
      </c>
      <c r="C26" s="110" t="s">
        <v>1487</v>
      </c>
      <c r="D26" s="110" t="s">
        <v>1488</v>
      </c>
      <c r="E26" s="110" t="s">
        <v>21</v>
      </c>
      <c r="F26" s="111" t="s">
        <v>1489</v>
      </c>
      <c r="G26" s="112">
        <f>IF(COUNTIF(H26:AU26,"&lt;&gt;")=0,"",SUMPRODUCT(((Recommendations[ImplStatus]="Implemented")+(Recommendations[ImplStatus]="Compensated"))*ISNUMBER(MATCH(Recommendations[Id],H26:AU26,0)))/COUNTIF(H26:AU26,"&lt;&gt;"))</f>
        <v>0</v>
      </c>
      <c r="H26" s="113" t="s">
        <v>49</v>
      </c>
      <c r="I26" s="113" t="s">
        <v>55</v>
      </c>
      <c r="J26" s="113" t="s">
        <v>128</v>
      </c>
      <c r="K26" s="113" t="s">
        <v>133</v>
      </c>
      <c r="L26" s="113" t="s">
        <v>137</v>
      </c>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21"/>
    </row>
    <row r="27" spans="1:47" ht="60" customHeight="1" x14ac:dyDescent="0.35">
      <c r="A27" s="119" t="s">
        <v>1490</v>
      </c>
      <c r="B27" s="109" t="s">
        <v>1491</v>
      </c>
      <c r="C27" s="110" t="s">
        <v>1492</v>
      </c>
      <c r="D27" s="110" t="s">
        <v>1493</v>
      </c>
      <c r="E27" s="110" t="s">
        <v>1494</v>
      </c>
      <c r="F27" s="111" t="s">
        <v>1495</v>
      </c>
      <c r="G27" s="112" t="str">
        <f>IF(COUNTIF(H27:AU27,"&lt;&gt;")=0,"",SUMPRODUCT(((Recommendations[ImplStatus]="Implemented")+(Recommendations[ImplStatus]="Compensated"))*ISNUMBER(MATCH(Recommendations[Id],H27:AU27,0)))/COUNTIF(H27:AU27,"&lt;&gt;"))</f>
        <v/>
      </c>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21"/>
    </row>
    <row r="28" spans="1:47" ht="60" customHeight="1" x14ac:dyDescent="0.35">
      <c r="A28" s="119" t="s">
        <v>1496</v>
      </c>
      <c r="B28" s="109" t="s">
        <v>1497</v>
      </c>
      <c r="C28" s="110" t="s">
        <v>1498</v>
      </c>
      <c r="D28" s="110" t="s">
        <v>21</v>
      </c>
      <c r="E28" s="110" t="s">
        <v>21</v>
      </c>
      <c r="F28" s="111" t="s">
        <v>1499</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1500</v>
      </c>
      <c r="B29" s="109" t="s">
        <v>1501</v>
      </c>
      <c r="C29" s="110" t="s">
        <v>1502</v>
      </c>
      <c r="D29" s="110" t="s">
        <v>1503</v>
      </c>
      <c r="E29" s="110" t="s">
        <v>1504</v>
      </c>
      <c r="F29" s="111" t="s">
        <v>1505</v>
      </c>
      <c r="G29" s="112">
        <f>IF(COUNTIF(H29:AU29,"&lt;&gt;")=0,"",SUMPRODUCT(((Recommendations[ImplStatus]="Implemented")+(Recommendations[ImplStatus]="Compensated"))*ISNUMBER(MATCH(Recommendations[Id],H29:AU29,0)))/COUNTIF(H29:AU29,"&lt;&gt;"))</f>
        <v>0</v>
      </c>
      <c r="H29" s="113" t="s">
        <v>320</v>
      </c>
      <c r="I29" s="113" t="s">
        <v>325</v>
      </c>
      <c r="J29" s="113" t="s">
        <v>330</v>
      </c>
      <c r="K29" s="113" t="s">
        <v>335</v>
      </c>
      <c r="L29" s="113" t="s">
        <v>339</v>
      </c>
      <c r="M29" s="113" t="s">
        <v>343</v>
      </c>
      <c r="N29" s="113" t="s">
        <v>348</v>
      </c>
      <c r="O29" s="113" t="s">
        <v>353</v>
      </c>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21"/>
    </row>
    <row r="30" spans="1:47" ht="60" customHeight="1" x14ac:dyDescent="0.35">
      <c r="A30" s="119" t="s">
        <v>1506</v>
      </c>
      <c r="B30" s="109" t="s">
        <v>1507</v>
      </c>
      <c r="C30" s="110" t="s">
        <v>1508</v>
      </c>
      <c r="D30" s="110" t="s">
        <v>1509</v>
      </c>
      <c r="E30" s="110" t="s">
        <v>21</v>
      </c>
      <c r="F30" s="111" t="s">
        <v>1510</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1511</v>
      </c>
      <c r="B31" s="109" t="s">
        <v>1512</v>
      </c>
      <c r="C31" s="110" t="s">
        <v>1513</v>
      </c>
      <c r="D31" s="110" t="s">
        <v>1514</v>
      </c>
      <c r="E31" s="110" t="s">
        <v>1515</v>
      </c>
      <c r="F31" s="111" t="s">
        <v>1516</v>
      </c>
      <c r="G31" s="112">
        <f>IF(COUNTIF(H31:AU31,"&lt;&gt;")=0,"",SUMPRODUCT(((Recommendations[ImplStatus]="Implemented")+(Recommendations[ImplStatus]="Compensated"))*ISNUMBER(MATCH(Recommendations[Id],H31:AU31,0)))/COUNTIF(H31:AU31,"&lt;&gt;"))</f>
        <v>0</v>
      </c>
      <c r="H31" s="113" t="s">
        <v>178</v>
      </c>
      <c r="I31" s="113" t="s">
        <v>183</v>
      </c>
      <c r="J31" s="113" t="s">
        <v>186</v>
      </c>
      <c r="K31" s="113" t="s">
        <v>189</v>
      </c>
      <c r="L31" s="113" t="s">
        <v>192</v>
      </c>
      <c r="M31" s="113" t="s">
        <v>195</v>
      </c>
      <c r="N31" s="113" t="s">
        <v>200</v>
      </c>
      <c r="O31" s="113" t="s">
        <v>205</v>
      </c>
      <c r="P31" s="113" t="s">
        <v>215</v>
      </c>
      <c r="Q31" s="113" t="s">
        <v>225</v>
      </c>
      <c r="R31" s="113" t="s">
        <v>228</v>
      </c>
      <c r="S31" s="113" t="s">
        <v>231</v>
      </c>
      <c r="T31" s="113" t="s">
        <v>235</v>
      </c>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1517</v>
      </c>
      <c r="B32" s="109" t="s">
        <v>1518</v>
      </c>
      <c r="C32" s="110" t="s">
        <v>1519</v>
      </c>
      <c r="D32" s="110" t="s">
        <v>1520</v>
      </c>
      <c r="E32" s="110" t="s">
        <v>1521</v>
      </c>
      <c r="F32" s="111" t="s">
        <v>1522</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1523</v>
      </c>
      <c r="B33" s="109" t="s">
        <v>1524</v>
      </c>
      <c r="C33" s="110" t="s">
        <v>1525</v>
      </c>
      <c r="D33" s="110" t="s">
        <v>1526</v>
      </c>
      <c r="E33" s="110" t="s">
        <v>21</v>
      </c>
      <c r="F33" s="111" t="s">
        <v>1527</v>
      </c>
      <c r="G33" s="112" t="str">
        <f>IF(COUNTIF(H33:AU33,"&lt;&gt;")=0,"",SUMPRODUCT(((Recommendations[ImplStatus]="Implemented")+(Recommendations[ImplStatus]="Compensated"))*ISNUMBER(MATCH(Recommendations[Id],H33:AU33,0)))/COUNTIF(H33:AU33,"&lt;&gt;"))</f>
        <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1528</v>
      </c>
      <c r="B34" s="109" t="s">
        <v>1529</v>
      </c>
      <c r="C34" s="110" t="s">
        <v>1530</v>
      </c>
      <c r="D34" s="110" t="s">
        <v>1531</v>
      </c>
      <c r="E34" s="110" t="s">
        <v>21</v>
      </c>
      <c r="F34" s="111" t="s">
        <v>1532</v>
      </c>
      <c r="G34" s="112" t="str">
        <f>IF(COUNTIF(H34:AU34,"&lt;&gt;")=0,"",SUMPRODUCT(((Recommendations[ImplStatus]="Implemented")+(Recommendations[ImplStatus]="Compensated"))*ISNUMBER(MATCH(Recommendations[Id],H34:AU34,0)))/COUNTIF(H34:AU34,"&lt;&gt;"))</f>
        <v/>
      </c>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21"/>
    </row>
    <row r="35" spans="1:47" ht="60" customHeight="1" x14ac:dyDescent="0.35">
      <c r="A35" s="119" t="s">
        <v>1533</v>
      </c>
      <c r="B35" s="109" t="s">
        <v>1534</v>
      </c>
      <c r="C35" s="110" t="s">
        <v>1535</v>
      </c>
      <c r="D35" s="110" t="s">
        <v>1536</v>
      </c>
      <c r="E35" s="110" t="s">
        <v>1537</v>
      </c>
      <c r="F35" s="111" t="s">
        <v>1538</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1539</v>
      </c>
      <c r="B36" s="109" t="s">
        <v>1540</v>
      </c>
      <c r="C36" s="110" t="s">
        <v>1541</v>
      </c>
      <c r="D36" s="110" t="s">
        <v>1542</v>
      </c>
      <c r="E36" s="110" t="s">
        <v>1543</v>
      </c>
      <c r="F36" s="111" t="s">
        <v>1544</v>
      </c>
      <c r="G36" s="112" t="str">
        <f>IF(COUNTIF(H36:AU36,"&lt;&gt;")=0,"",SUMPRODUCT(((Recommendations[ImplStatus]="Implemented")+(Recommendations[ImplStatus]="Compensated"))*ISNUMBER(MATCH(Recommendations[Id],H36:AU36,0)))/COUNTIF(H36:AU36,"&lt;&gt;"))</f>
        <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1545</v>
      </c>
      <c r="B37" s="109" t="s">
        <v>1546</v>
      </c>
      <c r="C37" s="110" t="s">
        <v>1547</v>
      </c>
      <c r="D37" s="110" t="s">
        <v>1548</v>
      </c>
      <c r="E37" s="110" t="s">
        <v>21</v>
      </c>
      <c r="F37" s="111" t="s">
        <v>1549</v>
      </c>
      <c r="G37" s="112" t="str">
        <f>IF(COUNTIF(H37:AU37,"&lt;&gt;")=0,"",SUMPRODUCT(((Recommendations[ImplStatus]="Implemented")+(Recommendations[ImplStatus]="Compensated"))*ISNUMBER(MATCH(Recommendations[Id],H37:AU37,0)))/COUNTIF(H37:AU37,"&lt;&gt;"))</f>
        <v/>
      </c>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1550</v>
      </c>
      <c r="B38" s="109" t="s">
        <v>1551</v>
      </c>
      <c r="C38" s="110" t="s">
        <v>1552</v>
      </c>
      <c r="D38" s="110" t="s">
        <v>1553</v>
      </c>
      <c r="E38" s="110" t="s">
        <v>1554</v>
      </c>
      <c r="F38" s="111" t="s">
        <v>1555</v>
      </c>
      <c r="G38" s="112" t="str">
        <f>IF(COUNTIF(H38:AU38,"&lt;&gt;")=0,"",SUMPRODUCT(((Recommendations[ImplStatus]="Implemented")+(Recommendations[ImplStatus]="Compensated"))*ISNUMBER(MATCH(Recommendations[Id],H38:AU38,0)))/COUNTIF(H38:AU38,"&lt;&gt;"))</f>
        <v/>
      </c>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1556</v>
      </c>
      <c r="B39" s="109" t="s">
        <v>1557</v>
      </c>
      <c r="C39" s="110" t="s">
        <v>1558</v>
      </c>
      <c r="D39" s="110" t="s">
        <v>1559</v>
      </c>
      <c r="E39" s="110" t="s">
        <v>21</v>
      </c>
      <c r="F39" s="111" t="s">
        <v>1560</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1561</v>
      </c>
      <c r="B40" s="109" t="s">
        <v>1562</v>
      </c>
      <c r="C40" s="110" t="s">
        <v>1563</v>
      </c>
      <c r="D40" s="110" t="s">
        <v>1564</v>
      </c>
      <c r="E40" s="110" t="s">
        <v>1565</v>
      </c>
      <c r="F40" s="111" t="s">
        <v>1566</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1567</v>
      </c>
      <c r="B41" s="109" t="s">
        <v>1568</v>
      </c>
      <c r="C41" s="110" t="s">
        <v>1569</v>
      </c>
      <c r="D41" s="110" t="s">
        <v>1570</v>
      </c>
      <c r="E41" s="110" t="s">
        <v>1571</v>
      </c>
      <c r="F41" s="111" t="s">
        <v>1572</v>
      </c>
      <c r="G41" s="112">
        <f>IF(COUNTIF(H41:AU41,"&lt;&gt;")=0,"",SUMPRODUCT(((Recommendations[ImplStatus]="Implemented")+(Recommendations[ImplStatus]="Compensated"))*ISNUMBER(MATCH(Recommendations[Id],H41:AU41,0)))/COUNTIF(H41:AU41,"&lt;&gt;"))</f>
        <v>0</v>
      </c>
      <c r="H41" s="113" t="s">
        <v>265</v>
      </c>
      <c r="I41" s="113" t="s">
        <v>275</v>
      </c>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1573</v>
      </c>
      <c r="B42" s="109" t="s">
        <v>1574</v>
      </c>
      <c r="C42" s="110" t="s">
        <v>1575</v>
      </c>
      <c r="D42" s="110" t="s">
        <v>1576</v>
      </c>
      <c r="E42" s="110" t="s">
        <v>1577</v>
      </c>
      <c r="F42" s="111" t="s">
        <v>1578</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1579</v>
      </c>
      <c r="B43" s="109" t="s">
        <v>1580</v>
      </c>
      <c r="C43" s="110" t="s">
        <v>1581</v>
      </c>
      <c r="D43" s="110" t="s">
        <v>1582</v>
      </c>
      <c r="E43" s="110" t="s">
        <v>1583</v>
      </c>
      <c r="F43" s="111" t="s">
        <v>1584</v>
      </c>
      <c r="G43" s="112" t="str">
        <f>IF(COUNTIF(H43:AU43,"&lt;&gt;")=0,"",SUMPRODUCT(((Recommendations[ImplStatus]="Implemented")+(Recommendations[ImplStatus]="Compensated"))*ISNUMBER(MATCH(Recommendations[Id],H43:AU43,0)))/COUNTIF(H43:AU43,"&lt;&gt;"))</f>
        <v/>
      </c>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1585</v>
      </c>
      <c r="B44" s="109" t="s">
        <v>1586</v>
      </c>
      <c r="C44" s="110" t="s">
        <v>1587</v>
      </c>
      <c r="D44" s="110" t="s">
        <v>1588</v>
      </c>
      <c r="E44" s="110" t="s">
        <v>21</v>
      </c>
      <c r="F44" s="111" t="s">
        <v>1589</v>
      </c>
      <c r="G44" s="112" t="str">
        <f>IF(COUNTIF(H44:AU44,"&lt;&gt;")=0,"",SUMPRODUCT(((Recommendations[ImplStatus]="Implemented")+(Recommendations[ImplStatus]="Compensated"))*ISNUMBER(MATCH(Recommendations[Id],H44:AU44,0)))/COUNTIF(H44:AU44,"&lt;&gt;"))</f>
        <v/>
      </c>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1590</v>
      </c>
      <c r="B45" s="114" t="s">
        <v>1591</v>
      </c>
      <c r="C45" s="115" t="s">
        <v>1592</v>
      </c>
      <c r="D45" s="115" t="s">
        <v>1593</v>
      </c>
      <c r="E45" s="115" t="s">
        <v>1594</v>
      </c>
      <c r="F45" s="116" t="s">
        <v>1595</v>
      </c>
      <c r="G45" s="117" t="str">
        <f>IF(COUNTIF(H45:AU45,"&lt;&gt;")=0,"",SUMPRODUCT(((Recommendations[ImplStatus]="Implemented")+(Recommendations[ImplStatus]="Compensated"))*ISNUMBER(MATCH(Recommendations[Id],H45:AU45,0)))/COUNTIF(H45:AU45,"&lt;&gt;"))</f>
        <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407</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IFERROR(INDEX('Recommendations'!$H$2:$H$84, MATCH(H2,'Recommendations'!$A$2:$A$84,0))="Implemented", FALSE))</xm:f>
            <x14:dxf>
              <font>
                <color rgb="FF000000"/>
              </font>
              <fill>
                <patternFill>
                  <bgColor rgb="FF3C7D22"/>
                </patternFill>
              </fill>
            </x14:dxf>
          </x14:cfRule>
          <x14:cfRule type="expression" priority="2" id="{00000000-000E-0000-0500-000002000000}">
            <xm:f>AND(H2&lt;&gt;"", IFERROR(INDEX('Recommendations'!$H$2:$H$84, MATCH(H2,'Recommendations'!$A$2:$A$84,0))="Compensated", FALSE))</xm:f>
            <x14:dxf>
              <font>
                <color rgb="FF000000"/>
              </font>
              <fill>
                <patternFill>
                  <bgColor rgb="FFC6E0B4"/>
                </patternFill>
              </fill>
            </x14:dxf>
          </x14:cfRule>
          <x14:cfRule type="expression" priority="3" id="{00000000-000E-0000-0500-000003000000}">
            <xm:f>AND(H2&lt;&gt;"", IFERROR(INDEX('Recommendations'!$H$2:$H$84, MATCH(H2,'Recommendations'!$A$2:$A$84,0))="Testing", FALSE))</xm:f>
            <x14:dxf>
              <font>
                <color rgb="FF000000"/>
              </font>
              <fill>
                <patternFill>
                  <bgColor rgb="FFFFC000"/>
                </patternFill>
              </fill>
            </x14:dxf>
          </x14:cfRule>
          <x14:cfRule type="expression" priority="4" id="{00000000-000E-0000-0500-000004000000}">
            <xm:f>AND(H2&lt;&gt;"", IFERROR(INDEX('Recommendations'!$H$2:$H$84, MATCH(H2,'Recommendations'!$A$2:$A$84,0))="Failed", FALSE))</xm:f>
            <x14:dxf>
              <font>
                <color rgb="FF000000"/>
              </font>
              <fill>
                <patternFill>
                  <bgColor rgb="FFD82891"/>
                </patternFill>
              </fill>
            </x14:dxf>
          </x14:cfRule>
          <x14:cfRule type="expression" priority="5" id="{00000000-000E-0000-0500-000005000000}">
            <xm:f>AND(H2&lt;&gt;"", IFERROR(INDEX('Recommendations'!$H$2:$H$84, MATCH(H2,'Recommendations'!$A$2:$A$84,0))="Risk Accepted", FALSE))</xm:f>
            <x14:dxf>
              <font>
                <color rgb="FF000000"/>
              </font>
              <fill>
                <patternFill>
                  <bgColor rgb="FFD9D9D9"/>
                </patternFill>
              </fill>
            </x14:dxf>
          </x14:cfRule>
          <x14:cfRule type="expression" priority="6" id="{00000000-000E-0000-0500-000006000000}">
            <xm:f>AND(H2&lt;&gt;"", IFERROR(INDEX('Recommendations'!$H$2:$H$84, MATCH(H2,'Recommendations'!$A$2:$A$84,0))="N/A",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1596</v>
      </c>
      <c r="B1" s="148" t="s">
        <v>650</v>
      </c>
      <c r="C1" s="148" t="s">
        <v>0</v>
      </c>
      <c r="D1" s="148" t="s">
        <v>651</v>
      </c>
      <c r="E1" s="148" t="s">
        <v>1597</v>
      </c>
      <c r="F1" s="148" t="s">
        <v>1598</v>
      </c>
      <c r="G1" s="148" t="s">
        <v>1599</v>
      </c>
      <c r="H1" s="148" t="s">
        <v>1600</v>
      </c>
      <c r="I1" s="148" t="s">
        <v>656</v>
      </c>
      <c r="J1" s="148" t="s">
        <v>657</v>
      </c>
      <c r="K1" s="148" t="s">
        <v>658</v>
      </c>
      <c r="L1" s="148" t="s">
        <v>659</v>
      </c>
      <c r="M1" s="148" t="s">
        <v>660</v>
      </c>
      <c r="N1" s="148" t="s">
        <v>661</v>
      </c>
      <c r="O1" s="148" t="s">
        <v>662</v>
      </c>
      <c r="P1" s="148" t="s">
        <v>663</v>
      </c>
      <c r="Q1" s="148" t="s">
        <v>664</v>
      </c>
      <c r="R1" s="148" t="s">
        <v>665</v>
      </c>
      <c r="S1" s="148" t="s">
        <v>666</v>
      </c>
      <c r="T1" s="148" t="s">
        <v>667</v>
      </c>
      <c r="U1" s="148" t="s">
        <v>668</v>
      </c>
      <c r="V1" s="148" t="s">
        <v>669</v>
      </c>
      <c r="W1" s="148" t="s">
        <v>670</v>
      </c>
      <c r="X1" s="148" t="s">
        <v>671</v>
      </c>
      <c r="Y1" s="148" t="s">
        <v>672</v>
      </c>
      <c r="Z1" s="148" t="s">
        <v>673</v>
      </c>
      <c r="AA1" s="148" t="s">
        <v>674</v>
      </c>
      <c r="AB1" s="148" t="s">
        <v>675</v>
      </c>
      <c r="AC1" s="148" t="s">
        <v>676</v>
      </c>
      <c r="AD1" s="148" t="s">
        <v>677</v>
      </c>
      <c r="AE1" s="148" t="s">
        <v>678</v>
      </c>
      <c r="AF1" s="148" t="s">
        <v>679</v>
      </c>
      <c r="AG1" s="148" t="s">
        <v>680</v>
      </c>
      <c r="AH1" s="148" t="s">
        <v>681</v>
      </c>
      <c r="AI1" s="148" t="s">
        <v>682</v>
      </c>
      <c r="AJ1" s="148" t="s">
        <v>683</v>
      </c>
      <c r="AK1" s="148" t="s">
        <v>684</v>
      </c>
      <c r="AL1" s="148" t="s">
        <v>685</v>
      </c>
      <c r="AM1" s="148" t="s">
        <v>686</v>
      </c>
      <c r="AN1" s="148" t="s">
        <v>687</v>
      </c>
      <c r="AO1" s="148" t="s">
        <v>688</v>
      </c>
      <c r="AP1" s="148" t="s">
        <v>689</v>
      </c>
      <c r="AQ1" s="148" t="s">
        <v>690</v>
      </c>
      <c r="AR1" s="148" t="s">
        <v>691</v>
      </c>
      <c r="AS1" s="148" t="s">
        <v>692</v>
      </c>
      <c r="AT1" s="148" t="s">
        <v>693</v>
      </c>
      <c r="AU1" s="148" t="s">
        <v>694</v>
      </c>
      <c r="AV1" s="148" t="s">
        <v>695</v>
      </c>
      <c r="AW1" s="149" t="s">
        <v>696</v>
      </c>
    </row>
    <row r="2" spans="1:49" ht="60" customHeight="1" outlineLevel="1" x14ac:dyDescent="0.35">
      <c r="A2" s="141" t="s">
        <v>1601</v>
      </c>
      <c r="B2" s="127"/>
      <c r="C2" s="126" t="s">
        <v>1602</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1601</v>
      </c>
      <c r="B3" s="128" t="s">
        <v>867</v>
      </c>
      <c r="C3" s="129" t="s">
        <v>1603</v>
      </c>
      <c r="D3" s="131" t="s">
        <v>1604</v>
      </c>
      <c r="E3" s="131" t="s">
        <v>1605</v>
      </c>
      <c r="F3" s="131" t="s">
        <v>1606</v>
      </c>
      <c r="G3" s="131" t="s">
        <v>1607</v>
      </c>
      <c r="H3" s="131" t="s">
        <v>1608</v>
      </c>
      <c r="I3" s="133">
        <f>IF(COUNTIF(J3:AW3,"&lt;&gt;")=0,"",SUMPRODUCT(((Recommendations[ImplStatus]="Implemented")+(Recommendations[ImplStatus]="Compensated"))*ISNUMBER(MATCH(Recommendations[Id],J3:AW3,0)))/COUNTIF(J3:AW3,"&lt;&gt;"))</f>
        <v>0</v>
      </c>
      <c r="J3" s="135" t="s">
        <v>55</v>
      </c>
      <c r="K3" s="135" t="s">
        <v>128</v>
      </c>
      <c r="L3" s="135" t="s">
        <v>178</v>
      </c>
      <c r="M3" s="135" t="s">
        <v>183</v>
      </c>
      <c r="N3" s="135" t="s">
        <v>186</v>
      </c>
      <c r="O3" s="135" t="s">
        <v>189</v>
      </c>
      <c r="P3" s="135" t="s">
        <v>192</v>
      </c>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1601</v>
      </c>
      <c r="B4" s="128" t="s">
        <v>1609</v>
      </c>
      <c r="C4" s="129" t="s">
        <v>1610</v>
      </c>
      <c r="D4" s="131" t="s">
        <v>1611</v>
      </c>
      <c r="E4" s="131" t="s">
        <v>1612</v>
      </c>
      <c r="F4" s="131" t="s">
        <v>1613</v>
      </c>
      <c r="G4" s="131" t="s">
        <v>1614</v>
      </c>
      <c r="H4" s="131" t="s">
        <v>1615</v>
      </c>
      <c r="I4" s="133" t="str">
        <f>IF(COUNTIF(J4:AW4,"&lt;&gt;")=0,"",SUMPRODUCT(((Recommendations[ImplStatus]="Implemented")+(Recommendations[ImplStatus]="Compensated"))*ISNUMBER(MATCH(Recommendations[Id],J4:AW4,0)))/COUNTIF(J4:AW4,"&lt;&gt;"))</f>
        <v/>
      </c>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1601</v>
      </c>
      <c r="B5" s="128" t="s">
        <v>1616</v>
      </c>
      <c r="C5" s="129" t="s">
        <v>1617</v>
      </c>
      <c r="D5" s="131" t="s">
        <v>1618</v>
      </c>
      <c r="E5" s="131" t="s">
        <v>1619</v>
      </c>
      <c r="F5" s="131" t="s">
        <v>1620</v>
      </c>
      <c r="G5" s="131" t="s">
        <v>1621</v>
      </c>
      <c r="H5" s="131" t="s">
        <v>1622</v>
      </c>
      <c r="I5" s="133" t="str">
        <f>IF(COUNTIF(J5:AW5,"&lt;&gt;")=0,"",SUMPRODUCT(((Recommendations[ImplStatus]="Implemented")+(Recommendations[ImplStatus]="Compensated"))*ISNUMBER(MATCH(Recommendations[Id],J5:AW5,0)))/COUNTIF(J5:AW5,"&lt;&gt;"))</f>
        <v/>
      </c>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1601</v>
      </c>
      <c r="B6" s="128" t="s">
        <v>1623</v>
      </c>
      <c r="C6" s="129" t="s">
        <v>1624</v>
      </c>
      <c r="D6" s="131" t="s">
        <v>1625</v>
      </c>
      <c r="E6" s="131" t="s">
        <v>1626</v>
      </c>
      <c r="F6" s="131" t="s">
        <v>1627</v>
      </c>
      <c r="G6" s="131" t="s">
        <v>1628</v>
      </c>
      <c r="H6" s="131" t="s">
        <v>1629</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1601</v>
      </c>
      <c r="B7" s="128" t="s">
        <v>1630</v>
      </c>
      <c r="C7" s="129" t="s">
        <v>1631</v>
      </c>
      <c r="D7" s="131" t="s">
        <v>1632</v>
      </c>
      <c r="E7" s="131" t="s">
        <v>1633</v>
      </c>
      <c r="F7" s="131" t="s">
        <v>1634</v>
      </c>
      <c r="G7" s="131" t="s">
        <v>1635</v>
      </c>
      <c r="H7" s="131" t="s">
        <v>1636</v>
      </c>
      <c r="I7" s="133">
        <f>IF(COUNTIF(J7:AW7,"&lt;&gt;")=0,"",SUMPRODUCT(((Recommendations[ImplStatus]="Implemented")+(Recommendations[ImplStatus]="Compensated"))*ISNUMBER(MATCH(Recommendations[Id],J7:AW7,0)))/COUNTIF(J7:AW7,"&lt;&gt;"))</f>
        <v>0</v>
      </c>
      <c r="J7" s="135" t="s">
        <v>195</v>
      </c>
      <c r="K7" s="135" t="s">
        <v>200</v>
      </c>
      <c r="L7" s="135" t="s">
        <v>205</v>
      </c>
      <c r="M7" s="135" t="s">
        <v>215</v>
      </c>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1601</v>
      </c>
      <c r="B8" s="128" t="s">
        <v>1637</v>
      </c>
      <c r="C8" s="129" t="s">
        <v>1638</v>
      </c>
      <c r="D8" s="131" t="s">
        <v>1639</v>
      </c>
      <c r="E8" s="131" t="s">
        <v>1640</v>
      </c>
      <c r="F8" s="131" t="s">
        <v>1641</v>
      </c>
      <c r="G8" s="131" t="s">
        <v>1635</v>
      </c>
      <c r="H8" s="131" t="s">
        <v>1642</v>
      </c>
      <c r="I8" s="133">
        <f>IF(COUNTIF(J8:AW8,"&lt;&gt;")=0,"",SUMPRODUCT(((Recommendations[ImplStatus]="Implemented")+(Recommendations[ImplStatus]="Compensated"))*ISNUMBER(MATCH(Recommendations[Id],J8:AW8,0)))/COUNTIF(J8:AW8,"&lt;&gt;"))</f>
        <v>0</v>
      </c>
      <c r="J8" s="135" t="s">
        <v>200</v>
      </c>
      <c r="K8" s="135" t="s">
        <v>205</v>
      </c>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1601</v>
      </c>
      <c r="B9" s="128" t="s">
        <v>1643</v>
      </c>
      <c r="C9" s="129" t="s">
        <v>1644</v>
      </c>
      <c r="D9" s="131" t="s">
        <v>1645</v>
      </c>
      <c r="E9" s="131" t="s">
        <v>1646</v>
      </c>
      <c r="F9" s="131" t="s">
        <v>1647</v>
      </c>
      <c r="G9" s="131" t="s">
        <v>1648</v>
      </c>
      <c r="H9" s="131" t="s">
        <v>1649</v>
      </c>
      <c r="I9" s="133" t="str">
        <f>IF(COUNTIF(J9:AW9,"&lt;&gt;")=0,"",SUMPRODUCT(((Recommendations[ImplStatus]="Implemented")+(Recommendations[ImplStatus]="Compensated"))*ISNUMBER(MATCH(Recommendations[Id],J9:AW9,0)))/COUNTIF(J9:AW9,"&lt;&gt;"))</f>
        <v/>
      </c>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1601</v>
      </c>
      <c r="B10" s="128" t="s">
        <v>1650</v>
      </c>
      <c r="C10" s="129" t="s">
        <v>1651</v>
      </c>
      <c r="D10" s="131" t="s">
        <v>1652</v>
      </c>
      <c r="E10" s="131" t="s">
        <v>1653</v>
      </c>
      <c r="F10" s="131" t="s">
        <v>1654</v>
      </c>
      <c r="G10" s="131" t="s">
        <v>1655</v>
      </c>
      <c r="H10" s="131" t="s">
        <v>1656</v>
      </c>
      <c r="I10" s="133" t="str">
        <f>IF(COUNTIF(J10:AW10,"&lt;&gt;")=0,"",SUMPRODUCT(((Recommendations[ImplStatus]="Implemented")+(Recommendations[ImplStatus]="Compensated"))*ISNUMBER(MATCH(Recommendations[Id],J10:AW10,0)))/COUNTIF(J10:AW10,"&lt;&gt;"))</f>
        <v/>
      </c>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1601</v>
      </c>
      <c r="B11" s="128" t="s">
        <v>1657</v>
      </c>
      <c r="C11" s="129" t="s">
        <v>1658</v>
      </c>
      <c r="D11" s="131" t="s">
        <v>1659</v>
      </c>
      <c r="E11" s="131" t="s">
        <v>1660</v>
      </c>
      <c r="F11" s="131" t="s">
        <v>1661</v>
      </c>
      <c r="G11" s="131" t="s">
        <v>1662</v>
      </c>
      <c r="H11" s="131" t="s">
        <v>1663</v>
      </c>
      <c r="I11" s="133" t="str">
        <f>IF(COUNTIF(J11:AW11,"&lt;&gt;")=0,"",SUMPRODUCT(((Recommendations[ImplStatus]="Implemented")+(Recommendations[ImplStatus]="Compensated"))*ISNUMBER(MATCH(Recommendations[Id],J11:AW11,0)))/COUNTIF(J11:AW11,"&lt;&gt;"))</f>
        <v/>
      </c>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1601</v>
      </c>
      <c r="B12" s="128" t="s">
        <v>1664</v>
      </c>
      <c r="C12" s="129" t="s">
        <v>1665</v>
      </c>
      <c r="D12" s="131" t="s">
        <v>1666</v>
      </c>
      <c r="E12" s="131" t="s">
        <v>1667</v>
      </c>
      <c r="F12" s="131" t="s">
        <v>1668</v>
      </c>
      <c r="G12" s="131" t="s">
        <v>1655</v>
      </c>
      <c r="H12" s="131" t="s">
        <v>1669</v>
      </c>
      <c r="I12" s="133" t="str">
        <f>IF(COUNTIF(J12:AW12,"&lt;&gt;")=0,"",SUMPRODUCT(((Recommendations[ImplStatus]="Implemented")+(Recommendations[ImplStatus]="Compensated"))*ISNUMBER(MATCH(Recommendations[Id],J12:AW12,0)))/COUNTIF(J12:AW12,"&lt;&gt;"))</f>
        <v/>
      </c>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1601</v>
      </c>
      <c r="B13" s="128" t="s">
        <v>1670</v>
      </c>
      <c r="C13" s="129" t="s">
        <v>1671</v>
      </c>
      <c r="D13" s="131" t="s">
        <v>1672</v>
      </c>
      <c r="E13" s="131" t="s">
        <v>1673</v>
      </c>
      <c r="F13" s="131" t="s">
        <v>1674</v>
      </c>
      <c r="G13" s="131" t="s">
        <v>1655</v>
      </c>
      <c r="H13" s="131" t="s">
        <v>1675</v>
      </c>
      <c r="I13" s="133">
        <f>IF(COUNTIF(J13:AW13,"&lt;&gt;")=0,"",SUMPRODUCT(((Recommendations[ImplStatus]="Implemented")+(Recommendations[ImplStatus]="Compensated"))*ISNUMBER(MATCH(Recommendations[Id],J13:AW13,0)))/COUNTIF(J13:AW13,"&lt;&gt;"))</f>
        <v>0</v>
      </c>
      <c r="J13" s="135" t="s">
        <v>373</v>
      </c>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1601</v>
      </c>
      <c r="B14" s="128" t="s">
        <v>1676</v>
      </c>
      <c r="C14" s="129" t="s">
        <v>1677</v>
      </c>
      <c r="D14" s="131" t="s">
        <v>1678</v>
      </c>
      <c r="E14" s="131" t="s">
        <v>1679</v>
      </c>
      <c r="F14" s="131" t="s">
        <v>1680</v>
      </c>
      <c r="G14" s="131" t="s">
        <v>1681</v>
      </c>
      <c r="H14" s="131" t="s">
        <v>1682</v>
      </c>
      <c r="I14" s="133" t="str">
        <f>IF(COUNTIF(J14:AW14,"&lt;&gt;")=0,"",SUMPRODUCT(((Recommendations[ImplStatus]="Implemented")+(Recommendations[ImplStatus]="Compensated"))*ISNUMBER(MATCH(Recommendations[Id],J14:AW14,0)))/COUNTIF(J14:AW14,"&lt;&gt;"))</f>
        <v/>
      </c>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1601</v>
      </c>
      <c r="B15" s="128" t="s">
        <v>1683</v>
      </c>
      <c r="C15" s="129" t="s">
        <v>1684</v>
      </c>
      <c r="D15" s="131" t="s">
        <v>1685</v>
      </c>
      <c r="E15" s="131" t="s">
        <v>1686</v>
      </c>
      <c r="F15" s="131" t="s">
        <v>1687</v>
      </c>
      <c r="G15" s="131" t="s">
        <v>1688</v>
      </c>
      <c r="H15" s="131" t="s">
        <v>1689</v>
      </c>
      <c r="I15" s="133" t="str">
        <f>IF(COUNTIF(J15:AW15,"&lt;&gt;")=0,"",SUMPRODUCT(((Recommendations[ImplStatus]="Implemented")+(Recommendations[ImplStatus]="Compensated"))*ISNUMBER(MATCH(Recommendations[Id],J15:AW15,0)))/COUNTIF(J15:AW15,"&lt;&gt;"))</f>
        <v/>
      </c>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1601</v>
      </c>
      <c r="B16" s="128" t="s">
        <v>1690</v>
      </c>
      <c r="C16" s="129" t="s">
        <v>1691</v>
      </c>
      <c r="D16" s="131" t="s">
        <v>1692</v>
      </c>
      <c r="E16" s="131" t="s">
        <v>1693</v>
      </c>
      <c r="F16" s="131" t="s">
        <v>1694</v>
      </c>
      <c r="G16" s="131" t="s">
        <v>1695</v>
      </c>
      <c r="H16" s="131" t="s">
        <v>1696</v>
      </c>
      <c r="I16" s="133" t="str">
        <f>IF(COUNTIF(J16:AW16,"&lt;&gt;")=0,"",SUMPRODUCT(((Recommendations[ImplStatus]="Implemented")+(Recommendations[ImplStatus]="Compensated"))*ISNUMBER(MATCH(Recommendations[Id],J16:AW16,0)))/COUNTIF(J16:AW16,"&lt;&gt;"))</f>
        <v/>
      </c>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1601</v>
      </c>
      <c r="B17" s="128" t="s">
        <v>1697</v>
      </c>
      <c r="C17" s="129" t="s">
        <v>1698</v>
      </c>
      <c r="D17" s="131" t="s">
        <v>1699</v>
      </c>
      <c r="E17" s="131" t="s">
        <v>1700</v>
      </c>
      <c r="F17" s="131" t="s">
        <v>1701</v>
      </c>
      <c r="G17" s="131" t="s">
        <v>1702</v>
      </c>
      <c r="H17" s="131" t="s">
        <v>1703</v>
      </c>
      <c r="I17" s="133" t="str">
        <f>IF(COUNTIF(J17:AW17,"&lt;&gt;")=0,"",SUMPRODUCT(((Recommendations[ImplStatus]="Implemented")+(Recommendations[ImplStatus]="Compensated"))*ISNUMBER(MATCH(Recommendations[Id],J17:AW17,0)))/COUNTIF(J17:AW17,"&lt;&gt;"))</f>
        <v/>
      </c>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1601</v>
      </c>
      <c r="B18" s="128" t="s">
        <v>1704</v>
      </c>
      <c r="C18" s="129" t="s">
        <v>1705</v>
      </c>
      <c r="D18" s="131" t="s">
        <v>1706</v>
      </c>
      <c r="E18" s="131" t="s">
        <v>1707</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1708</v>
      </c>
      <c r="B19" s="127"/>
      <c r="C19" s="126" t="s">
        <v>1709</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1708</v>
      </c>
      <c r="B20" s="128" t="s">
        <v>1710</v>
      </c>
      <c r="C20" s="129" t="s">
        <v>1711</v>
      </c>
      <c r="D20" s="131" t="s">
        <v>1712</v>
      </c>
      <c r="E20" s="131" t="s">
        <v>1713</v>
      </c>
      <c r="F20" s="131" t="s">
        <v>1714</v>
      </c>
      <c r="G20" s="131" t="s">
        <v>1715</v>
      </c>
      <c r="H20" s="131" t="s">
        <v>1716</v>
      </c>
      <c r="I20" s="133" t="str">
        <f>IF(COUNTIF(J20:AW20,"&lt;&gt;")=0,"",SUMPRODUCT(((Recommendations[ImplStatus]="Implemented")+(Recommendations[ImplStatus]="Compensated"))*ISNUMBER(MATCH(Recommendations[Id],J20:AW20,0)))/COUNTIF(J20:AW20,"&lt;&gt;"))</f>
        <v/>
      </c>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1708</v>
      </c>
      <c r="B21" s="128" t="s">
        <v>1717</v>
      </c>
      <c r="C21" s="129" t="s">
        <v>1718</v>
      </c>
      <c r="D21" s="131" t="s">
        <v>1719</v>
      </c>
      <c r="E21" s="131" t="s">
        <v>1720</v>
      </c>
      <c r="F21" s="131" t="s">
        <v>1721</v>
      </c>
      <c r="G21" s="131" t="s">
        <v>1722</v>
      </c>
      <c r="H21" s="131" t="s">
        <v>1723</v>
      </c>
      <c r="I21" s="133" t="str">
        <f>IF(COUNTIF(J21:AW21,"&lt;&gt;")=0,"",SUMPRODUCT(((Recommendations[ImplStatus]="Implemented")+(Recommendations[ImplStatus]="Compensated"))*ISNUMBER(MATCH(Recommendations[Id],J21:AW21,0)))/COUNTIF(J21:AW21,"&lt;&gt;"))</f>
        <v/>
      </c>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1724</v>
      </c>
      <c r="B22" s="127"/>
      <c r="C22" s="126" t="s">
        <v>1725</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1724</v>
      </c>
      <c r="B23" s="128" t="s">
        <v>1726</v>
      </c>
      <c r="C23" s="129" t="s">
        <v>1727</v>
      </c>
      <c r="D23" s="131" t="s">
        <v>1728</v>
      </c>
      <c r="E23" s="131" t="s">
        <v>1729</v>
      </c>
      <c r="F23" s="131" t="s">
        <v>1730</v>
      </c>
      <c r="G23" s="131" t="s">
        <v>1731</v>
      </c>
      <c r="H23" s="131" t="s">
        <v>1732</v>
      </c>
      <c r="I23" s="133">
        <f>IF(COUNTIF(J23:AW23,"&lt;&gt;")=0,"",SUMPRODUCT(((Recommendations[ImplStatus]="Implemented")+(Recommendations[ImplStatus]="Compensated"))*ISNUMBER(MATCH(Recommendations[Id],J23:AW23,0)))/COUNTIF(J23:AW23,"&lt;&gt;"))</f>
        <v>0</v>
      </c>
      <c r="J23" s="135" t="s">
        <v>90</v>
      </c>
      <c r="K23" s="135" t="s">
        <v>95</v>
      </c>
      <c r="L23" s="135" t="s">
        <v>110</v>
      </c>
      <c r="M23" s="135" t="s">
        <v>113</v>
      </c>
      <c r="N23" s="135" t="s">
        <v>123</v>
      </c>
      <c r="O23" s="135" t="s">
        <v>178</v>
      </c>
      <c r="P23" s="135" t="s">
        <v>183</v>
      </c>
      <c r="Q23" s="135" t="s">
        <v>186</v>
      </c>
      <c r="R23" s="135" t="s">
        <v>189</v>
      </c>
      <c r="S23" s="135" t="s">
        <v>192</v>
      </c>
      <c r="T23" s="135" t="s">
        <v>225</v>
      </c>
      <c r="U23" s="135" t="s">
        <v>228</v>
      </c>
      <c r="V23" s="135" t="s">
        <v>231</v>
      </c>
      <c r="W23" s="135" t="s">
        <v>233</v>
      </c>
      <c r="X23" s="135" t="s">
        <v>235</v>
      </c>
      <c r="Y23" s="135" t="s">
        <v>237</v>
      </c>
      <c r="Z23" s="135" t="s">
        <v>241</v>
      </c>
      <c r="AA23" s="135" t="s">
        <v>246</v>
      </c>
      <c r="AB23" s="135" t="s">
        <v>260</v>
      </c>
      <c r="AC23" s="135" t="s">
        <v>280</v>
      </c>
      <c r="AD23" s="135" t="s">
        <v>392</v>
      </c>
      <c r="AE23" s="135" t="s">
        <v>397</v>
      </c>
      <c r="AF23" s="135" t="s">
        <v>402</v>
      </c>
      <c r="AG23" s="135"/>
      <c r="AH23" s="135"/>
      <c r="AI23" s="135"/>
      <c r="AJ23" s="135"/>
      <c r="AK23" s="135"/>
      <c r="AL23" s="135"/>
      <c r="AM23" s="135"/>
      <c r="AN23" s="135"/>
      <c r="AO23" s="135"/>
      <c r="AP23" s="135"/>
      <c r="AQ23" s="135"/>
      <c r="AR23" s="135"/>
      <c r="AS23" s="135"/>
      <c r="AT23" s="135"/>
      <c r="AU23" s="135"/>
      <c r="AV23" s="135"/>
      <c r="AW23" s="145"/>
    </row>
    <row r="24" spans="1:49" ht="60" customHeight="1" x14ac:dyDescent="0.35">
      <c r="A24" s="142" t="s">
        <v>1724</v>
      </c>
      <c r="B24" s="128" t="s">
        <v>1733</v>
      </c>
      <c r="C24" s="129" t="s">
        <v>1734</v>
      </c>
      <c r="D24" s="131" t="s">
        <v>1735</v>
      </c>
      <c r="E24" s="131" t="s">
        <v>1736</v>
      </c>
      <c r="F24" s="131" t="s">
        <v>1737</v>
      </c>
      <c r="G24" s="131" t="s">
        <v>1738</v>
      </c>
      <c r="H24" s="131" t="s">
        <v>1739</v>
      </c>
      <c r="I24" s="133">
        <f>IF(COUNTIF(J24:AW24,"&lt;&gt;")=0,"",SUMPRODUCT(((Recommendations[ImplStatus]="Implemented")+(Recommendations[ImplStatus]="Compensated"))*ISNUMBER(MATCH(Recommendations[Id],J24:AW24,0)))/COUNTIF(J24:AW24,"&lt;&gt;"))</f>
        <v>0</v>
      </c>
      <c r="J24" s="135" t="s">
        <v>90</v>
      </c>
      <c r="K24" s="135" t="s">
        <v>95</v>
      </c>
      <c r="L24" s="135" t="s">
        <v>123</v>
      </c>
      <c r="M24" s="135" t="s">
        <v>200</v>
      </c>
      <c r="N24" s="135" t="s">
        <v>205</v>
      </c>
      <c r="O24" s="135" t="s">
        <v>225</v>
      </c>
      <c r="P24" s="135" t="s">
        <v>228</v>
      </c>
      <c r="Q24" s="135" t="s">
        <v>231</v>
      </c>
      <c r="R24" s="135" t="s">
        <v>233</v>
      </c>
      <c r="S24" s="135" t="s">
        <v>235</v>
      </c>
      <c r="T24" s="135" t="s">
        <v>237</v>
      </c>
      <c r="U24" s="135" t="s">
        <v>241</v>
      </c>
      <c r="V24" s="135" t="s">
        <v>246</v>
      </c>
      <c r="W24" s="135" t="s">
        <v>280</v>
      </c>
      <c r="X24" s="135" t="s">
        <v>402</v>
      </c>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45"/>
    </row>
    <row r="25" spans="1:49" ht="60" customHeight="1" x14ac:dyDescent="0.35">
      <c r="A25" s="142" t="s">
        <v>1724</v>
      </c>
      <c r="B25" s="128" t="s">
        <v>1740</v>
      </c>
      <c r="C25" s="129" t="s">
        <v>1741</v>
      </c>
      <c r="D25" s="131" t="s">
        <v>1742</v>
      </c>
      <c r="E25" s="131" t="s">
        <v>1743</v>
      </c>
      <c r="F25" s="131" t="s">
        <v>1744</v>
      </c>
      <c r="G25" s="131" t="s">
        <v>1745</v>
      </c>
      <c r="H25" s="131" t="s">
        <v>1746</v>
      </c>
      <c r="I25" s="133" t="str">
        <f>IF(COUNTIF(J25:AW25,"&lt;&gt;")=0,"",SUMPRODUCT(((Recommendations[ImplStatus]="Implemented")+(Recommendations[ImplStatus]="Compensated"))*ISNUMBER(MATCH(Recommendations[Id],J25:AW25,0)))/COUNTIF(J25:AW25,"&lt;&gt;"))</f>
        <v/>
      </c>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1724</v>
      </c>
      <c r="B26" s="128" t="s">
        <v>1747</v>
      </c>
      <c r="C26" s="129" t="s">
        <v>1748</v>
      </c>
      <c r="D26" s="131" t="s">
        <v>1749</v>
      </c>
      <c r="E26" s="131" t="s">
        <v>1750</v>
      </c>
      <c r="F26" s="131" t="s">
        <v>1751</v>
      </c>
      <c r="G26" s="131" t="s">
        <v>1738</v>
      </c>
      <c r="H26" s="131" t="s">
        <v>1752</v>
      </c>
      <c r="I26" s="133">
        <f>IF(COUNTIF(J26:AW26,"&lt;&gt;")=0,"",SUMPRODUCT(((Recommendations[ImplStatus]="Implemented")+(Recommendations[ImplStatus]="Compensated"))*ISNUMBER(MATCH(Recommendations[Id],J26:AW26,0)))/COUNTIF(J26:AW26,"&lt;&gt;"))</f>
        <v>0</v>
      </c>
      <c r="J26" s="135" t="s">
        <v>66</v>
      </c>
      <c r="K26" s="135" t="s">
        <v>100</v>
      </c>
      <c r="L26" s="135" t="s">
        <v>105</v>
      </c>
      <c r="M26" s="135" t="s">
        <v>110</v>
      </c>
      <c r="N26" s="135" t="s">
        <v>113</v>
      </c>
      <c r="O26" s="135" t="s">
        <v>118</v>
      </c>
      <c r="P26" s="135" t="s">
        <v>392</v>
      </c>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1724</v>
      </c>
      <c r="B27" s="128" t="s">
        <v>1753</v>
      </c>
      <c r="C27" s="129" t="s">
        <v>1754</v>
      </c>
      <c r="D27" s="131" t="s">
        <v>1755</v>
      </c>
      <c r="E27" s="131" t="s">
        <v>1756</v>
      </c>
      <c r="F27" s="131" t="s">
        <v>1757</v>
      </c>
      <c r="G27" s="131" t="s">
        <v>1758</v>
      </c>
      <c r="H27" s="131" t="s">
        <v>1759</v>
      </c>
      <c r="I27" s="133" t="str">
        <f>IF(COUNTIF(J27:AW27,"&lt;&gt;")=0,"",SUMPRODUCT(((Recommendations[ImplStatus]="Implemented")+(Recommendations[ImplStatus]="Compensated"))*ISNUMBER(MATCH(Recommendations[Id],J27:AW27,0)))/COUNTIF(J27:AW27,"&lt;&gt;"))</f>
        <v/>
      </c>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1724</v>
      </c>
      <c r="B28" s="128" t="s">
        <v>1760</v>
      </c>
      <c r="C28" s="129" t="s">
        <v>1761</v>
      </c>
      <c r="D28" s="131" t="s">
        <v>1762</v>
      </c>
      <c r="E28" s="131" t="s">
        <v>1763</v>
      </c>
      <c r="F28" s="131" t="s">
        <v>1764</v>
      </c>
      <c r="G28" s="131" t="s">
        <v>1765</v>
      </c>
      <c r="H28" s="131" t="s">
        <v>1766</v>
      </c>
      <c r="I28" s="133" t="str">
        <f>IF(COUNTIF(J28:AW28,"&lt;&gt;")=0,"",SUMPRODUCT(((Recommendations[ImplStatus]="Implemented")+(Recommendations[ImplStatus]="Compensated"))*ISNUMBER(MATCH(Recommendations[Id],J28:AW28,0)))/COUNTIF(J28:AW28,"&lt;&gt;"))</f>
        <v/>
      </c>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1724</v>
      </c>
      <c r="B29" s="128" t="s">
        <v>1767</v>
      </c>
      <c r="C29" s="129" t="s">
        <v>1768</v>
      </c>
      <c r="D29" s="131" t="s">
        <v>1769</v>
      </c>
      <c r="E29" s="131" t="s">
        <v>1770</v>
      </c>
      <c r="F29" s="131" t="s">
        <v>1771</v>
      </c>
      <c r="G29" s="131" t="s">
        <v>1655</v>
      </c>
      <c r="H29" s="131" t="s">
        <v>1772</v>
      </c>
      <c r="I29" s="133">
        <f>IF(COUNTIF(J29:AW29,"&lt;&gt;")=0,"",SUMPRODUCT(((Recommendations[ImplStatus]="Implemented")+(Recommendations[ImplStatus]="Compensated"))*ISNUMBER(MATCH(Recommendations[Id],J29:AW29,0)))/COUNTIF(J29:AW29,"&lt;&gt;"))</f>
        <v>0</v>
      </c>
      <c r="J29" s="135" t="s">
        <v>255</v>
      </c>
      <c r="K29" s="135" t="s">
        <v>260</v>
      </c>
      <c r="L29" s="135" t="s">
        <v>315</v>
      </c>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1724</v>
      </c>
      <c r="B30" s="128" t="s">
        <v>1773</v>
      </c>
      <c r="C30" s="129" t="s">
        <v>1774</v>
      </c>
      <c r="D30" s="131" t="s">
        <v>1775</v>
      </c>
      <c r="E30" s="131" t="s">
        <v>1776</v>
      </c>
      <c r="F30" s="131" t="s">
        <v>1777</v>
      </c>
      <c r="G30" s="131" t="s">
        <v>1738</v>
      </c>
      <c r="H30" s="131" t="s">
        <v>1778</v>
      </c>
      <c r="I30" s="133">
        <f>IF(COUNTIF(J30:AW30,"&lt;&gt;")=0,"",SUMPRODUCT(((Recommendations[ImplStatus]="Implemented")+(Recommendations[ImplStatus]="Compensated"))*ISNUMBER(MATCH(Recommendations[Id],J30:AW30,0)))/COUNTIF(J30:AW30,"&lt;&gt;"))</f>
        <v>0</v>
      </c>
      <c r="J30" s="135" t="s">
        <v>220</v>
      </c>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45"/>
    </row>
    <row r="31" spans="1:49" ht="60" customHeight="1" outlineLevel="1" x14ac:dyDescent="0.35">
      <c r="A31" s="141" t="s">
        <v>1779</v>
      </c>
      <c r="B31" s="127"/>
      <c r="C31" s="126" t="s">
        <v>1780</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1779</v>
      </c>
      <c r="B32" s="128" t="s">
        <v>1781</v>
      </c>
      <c r="C32" s="129" t="s">
        <v>1782</v>
      </c>
      <c r="D32" s="131" t="s">
        <v>1783</v>
      </c>
      <c r="E32" s="131" t="s">
        <v>1784</v>
      </c>
      <c r="F32" s="131" t="s">
        <v>1785</v>
      </c>
      <c r="G32" s="131" t="s">
        <v>1786</v>
      </c>
      <c r="H32" s="131" t="s">
        <v>1787</v>
      </c>
      <c r="I32" s="133" t="str">
        <f>IF(COUNTIF(J32:AW32,"&lt;&gt;")=0,"",SUMPRODUCT(((Recommendations[ImplStatus]="Implemented")+(Recommendations[ImplStatus]="Compensated"))*ISNUMBER(MATCH(Recommendations[Id],J32:AW32,0)))/COUNTIF(J32:AW32,"&lt;&gt;"))</f>
        <v/>
      </c>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1779</v>
      </c>
      <c r="B33" s="128" t="s">
        <v>1788</v>
      </c>
      <c r="C33" s="129" t="s">
        <v>1789</v>
      </c>
      <c r="D33" s="131" t="s">
        <v>1790</v>
      </c>
      <c r="E33" s="131" t="s">
        <v>1791</v>
      </c>
      <c r="F33" s="131" t="s">
        <v>1792</v>
      </c>
      <c r="G33" s="131" t="s">
        <v>1793</v>
      </c>
      <c r="H33" s="131" t="s">
        <v>1794</v>
      </c>
      <c r="I33" s="133" t="str">
        <f>IF(COUNTIF(J33:AW33,"&lt;&gt;")=0,"",SUMPRODUCT(((Recommendations[ImplStatus]="Implemented")+(Recommendations[ImplStatus]="Compensated"))*ISNUMBER(MATCH(Recommendations[Id],J33:AW33,0)))/COUNTIF(J33:AW33,"&lt;&gt;"))</f>
        <v/>
      </c>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45"/>
    </row>
    <row r="34" spans="1:49" ht="60" customHeight="1" x14ac:dyDescent="0.35">
      <c r="A34" s="142" t="s">
        <v>1779</v>
      </c>
      <c r="B34" s="128" t="s">
        <v>1795</v>
      </c>
      <c r="C34" s="129" t="s">
        <v>1796</v>
      </c>
      <c r="D34" s="131" t="s">
        <v>1797</v>
      </c>
      <c r="E34" s="131" t="s">
        <v>1798</v>
      </c>
      <c r="F34" s="131" t="s">
        <v>1799</v>
      </c>
      <c r="G34" s="131" t="s">
        <v>1800</v>
      </c>
      <c r="H34" s="131" t="s">
        <v>1801</v>
      </c>
      <c r="I34" s="133" t="str">
        <f>IF(COUNTIF(J34:AW34,"&lt;&gt;")=0,"",SUMPRODUCT(((Recommendations[ImplStatus]="Implemented")+(Recommendations[ImplStatus]="Compensated"))*ISNUMBER(MATCH(Recommendations[Id],J34:AW34,0)))/COUNTIF(J34:AW34,"&lt;&gt;"))</f>
        <v/>
      </c>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1779</v>
      </c>
      <c r="B35" s="128" t="s">
        <v>1802</v>
      </c>
      <c r="C35" s="129" t="s">
        <v>1803</v>
      </c>
      <c r="D35" s="131" t="s">
        <v>1804</v>
      </c>
      <c r="E35" s="131" t="s">
        <v>1805</v>
      </c>
      <c r="F35" s="131" t="s">
        <v>1806</v>
      </c>
      <c r="G35" s="131" t="s">
        <v>1807</v>
      </c>
      <c r="H35" s="131" t="s">
        <v>1808</v>
      </c>
      <c r="I35" s="133" t="str">
        <f>IF(COUNTIF(J35:AW35,"&lt;&gt;")=0,"",SUMPRODUCT(((Recommendations[ImplStatus]="Implemented")+(Recommendations[ImplStatus]="Compensated"))*ISNUMBER(MATCH(Recommendations[Id],J35:AW35,0)))/COUNTIF(J35:AW35,"&lt;&gt;"))</f>
        <v/>
      </c>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1779</v>
      </c>
      <c r="B36" s="128" t="s">
        <v>1809</v>
      </c>
      <c r="C36" s="129" t="s">
        <v>1810</v>
      </c>
      <c r="D36" s="131" t="s">
        <v>1811</v>
      </c>
      <c r="E36" s="131" t="s">
        <v>1812</v>
      </c>
      <c r="F36" s="131" t="s">
        <v>1813</v>
      </c>
      <c r="G36" s="131" t="s">
        <v>1814</v>
      </c>
      <c r="H36" s="131" t="s">
        <v>1815</v>
      </c>
      <c r="I36" s="133" t="str">
        <f>IF(COUNTIF(J36:AW36,"&lt;&gt;")=0,"",SUMPRODUCT(((Recommendations[ImplStatus]="Implemented")+(Recommendations[ImplStatus]="Compensated"))*ISNUMBER(MATCH(Recommendations[Id],J36:AW36,0)))/COUNTIF(J36:AW36,"&lt;&gt;"))</f>
        <v/>
      </c>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1779</v>
      </c>
      <c r="B37" s="128" t="s">
        <v>1816</v>
      </c>
      <c r="C37" s="129" t="s">
        <v>1817</v>
      </c>
      <c r="D37" s="131" t="s">
        <v>1818</v>
      </c>
      <c r="E37" s="131" t="s">
        <v>1819</v>
      </c>
      <c r="F37" s="131" t="s">
        <v>1820</v>
      </c>
      <c r="G37" s="131" t="s">
        <v>1821</v>
      </c>
      <c r="H37" s="131" t="s">
        <v>1822</v>
      </c>
      <c r="I37" s="133">
        <f>IF(COUNTIF(J37:AW37,"&lt;&gt;")=0,"",SUMPRODUCT(((Recommendations[ImplStatus]="Implemented")+(Recommendations[ImplStatus]="Compensated"))*ISNUMBER(MATCH(Recommendations[Id],J37:AW37,0)))/COUNTIF(J37:AW37,"&lt;&gt;"))</f>
        <v>0</v>
      </c>
      <c r="J37" s="135" t="s">
        <v>295</v>
      </c>
      <c r="K37" s="135"/>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45"/>
    </row>
    <row r="38" spans="1:49" ht="60" customHeight="1" x14ac:dyDescent="0.35">
      <c r="A38" s="142" t="s">
        <v>1779</v>
      </c>
      <c r="B38" s="128" t="s">
        <v>1823</v>
      </c>
      <c r="C38" s="129" t="s">
        <v>1824</v>
      </c>
      <c r="D38" s="131" t="s">
        <v>1825</v>
      </c>
      <c r="E38" s="131" t="s">
        <v>1826</v>
      </c>
      <c r="F38" s="131" t="s">
        <v>1827</v>
      </c>
      <c r="G38" s="131" t="s">
        <v>1828</v>
      </c>
      <c r="H38" s="131" t="s">
        <v>1829</v>
      </c>
      <c r="I38" s="133">
        <f>IF(COUNTIF(J38:AW38,"&lt;&gt;")=0,"",SUMPRODUCT(((Recommendations[ImplStatus]="Implemented")+(Recommendations[ImplStatus]="Compensated"))*ISNUMBER(MATCH(Recommendations[Id],J38:AW38,0)))/COUNTIF(J38:AW38,"&lt;&gt;"))</f>
        <v>0</v>
      </c>
      <c r="J38" s="135" t="s">
        <v>295</v>
      </c>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1779</v>
      </c>
      <c r="B39" s="128" t="s">
        <v>1830</v>
      </c>
      <c r="C39" s="129" t="s">
        <v>1831</v>
      </c>
      <c r="D39" s="131" t="s">
        <v>1832</v>
      </c>
      <c r="E39" s="131" t="s">
        <v>1833</v>
      </c>
      <c r="F39" s="131" t="s">
        <v>1834</v>
      </c>
      <c r="G39" s="131" t="s">
        <v>1835</v>
      </c>
      <c r="H39" s="131" t="s">
        <v>1836</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1779</v>
      </c>
      <c r="B40" s="128" t="s">
        <v>1837</v>
      </c>
      <c r="C40" s="129" t="s">
        <v>1838</v>
      </c>
      <c r="D40" s="131" t="s">
        <v>1839</v>
      </c>
      <c r="E40" s="131" t="s">
        <v>1840</v>
      </c>
      <c r="F40" s="131" t="s">
        <v>1841</v>
      </c>
      <c r="G40" s="131" t="s">
        <v>1842</v>
      </c>
      <c r="H40" s="131" t="s">
        <v>1843</v>
      </c>
      <c r="I40" s="133">
        <f>IF(COUNTIF(J40:AW40,"&lt;&gt;")=0,"",SUMPRODUCT(((Recommendations[ImplStatus]="Implemented")+(Recommendations[ImplStatus]="Compensated"))*ISNUMBER(MATCH(Recommendations[Id],J40:AW40,0)))/COUNTIF(J40:AW40,"&lt;&gt;"))</f>
        <v>0</v>
      </c>
      <c r="J40" s="135" t="s">
        <v>363</v>
      </c>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1779</v>
      </c>
      <c r="B41" s="128" t="s">
        <v>1844</v>
      </c>
      <c r="C41" s="129" t="s">
        <v>1845</v>
      </c>
      <c r="D41" s="131" t="s">
        <v>1846</v>
      </c>
      <c r="E41" s="131" t="s">
        <v>1847</v>
      </c>
      <c r="F41" s="131" t="s">
        <v>1848</v>
      </c>
      <c r="G41" s="131" t="s">
        <v>1786</v>
      </c>
      <c r="H41" s="131" t="s">
        <v>1849</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1850</v>
      </c>
      <c r="B42" s="127"/>
      <c r="C42" s="126" t="s">
        <v>1851</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1850</v>
      </c>
      <c r="B43" s="128" t="s">
        <v>1852</v>
      </c>
      <c r="C43" s="129" t="s">
        <v>1853</v>
      </c>
      <c r="D43" s="131" t="s">
        <v>1854</v>
      </c>
      <c r="E43" s="131" t="s">
        <v>1855</v>
      </c>
      <c r="F43" s="131" t="s">
        <v>1856</v>
      </c>
      <c r="G43" s="131" t="s">
        <v>1857</v>
      </c>
      <c r="H43" s="131" t="s">
        <v>1858</v>
      </c>
      <c r="I43" s="133">
        <f>IF(COUNTIF(J43:AW43,"&lt;&gt;")=0,"",SUMPRODUCT(((Recommendations[ImplStatus]="Implemented")+(Recommendations[ImplStatus]="Compensated"))*ISNUMBER(MATCH(Recommendations[Id],J43:AW43,0)))/COUNTIF(J43:AW43,"&lt;&gt;"))</f>
        <v>0</v>
      </c>
      <c r="J43" s="135" t="s">
        <v>195</v>
      </c>
      <c r="K43" s="135" t="s">
        <v>215</v>
      </c>
      <c r="L43" s="135" t="s">
        <v>270</v>
      </c>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1850</v>
      </c>
      <c r="B44" s="128" t="s">
        <v>1859</v>
      </c>
      <c r="C44" s="129" t="s">
        <v>1860</v>
      </c>
      <c r="D44" s="131" t="s">
        <v>1861</v>
      </c>
      <c r="E44" s="131" t="s">
        <v>1862</v>
      </c>
      <c r="F44" s="131" t="s">
        <v>1863</v>
      </c>
      <c r="G44" s="131" t="s">
        <v>1864</v>
      </c>
      <c r="H44" s="131" t="s">
        <v>1865</v>
      </c>
      <c r="I44" s="133">
        <f>IF(COUNTIF(J44:AW44,"&lt;&gt;")=0,"",SUMPRODUCT(((Recommendations[ImplStatus]="Implemented")+(Recommendations[ImplStatus]="Compensated"))*ISNUMBER(MATCH(Recommendations[Id],J44:AW44,0)))/COUNTIF(J44:AW44,"&lt;&gt;"))</f>
        <v>0</v>
      </c>
      <c r="J44" s="135" t="s">
        <v>270</v>
      </c>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1850</v>
      </c>
      <c r="B45" s="128" t="s">
        <v>1866</v>
      </c>
      <c r="C45" s="129" t="s">
        <v>1867</v>
      </c>
      <c r="D45" s="131" t="s">
        <v>1868</v>
      </c>
      <c r="E45" s="131" t="s">
        <v>1869</v>
      </c>
      <c r="F45" s="131" t="s">
        <v>1870</v>
      </c>
      <c r="G45" s="131" t="s">
        <v>1871</v>
      </c>
      <c r="H45" s="131" t="s">
        <v>1872</v>
      </c>
      <c r="I45" s="133">
        <f>IF(COUNTIF(J45:AW45,"&lt;&gt;")=0,"",SUMPRODUCT(((Recommendations[ImplStatus]="Implemented")+(Recommendations[ImplStatus]="Compensated"))*ISNUMBER(MATCH(Recommendations[Id],J45:AW45,0)))/COUNTIF(J45:AW45,"&lt;&gt;"))</f>
        <v>0</v>
      </c>
      <c r="J45" s="135" t="s">
        <v>305</v>
      </c>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1850</v>
      </c>
      <c r="B46" s="128" t="s">
        <v>1873</v>
      </c>
      <c r="C46" s="129" t="s">
        <v>1874</v>
      </c>
      <c r="D46" s="131" t="s">
        <v>1875</v>
      </c>
      <c r="E46" s="131" t="s">
        <v>1876</v>
      </c>
      <c r="F46" s="131" t="s">
        <v>1877</v>
      </c>
      <c r="G46" s="131" t="s">
        <v>1871</v>
      </c>
      <c r="H46" s="131" t="s">
        <v>1878</v>
      </c>
      <c r="I46" s="133">
        <f>IF(COUNTIF(J46:AW46,"&lt;&gt;")=0,"",SUMPRODUCT(((Recommendations[ImplStatus]="Implemented")+(Recommendations[ImplStatus]="Compensated"))*ISNUMBER(MATCH(Recommendations[Id],J46:AW46,0)))/COUNTIF(J46:AW46,"&lt;&gt;"))</f>
        <v>0</v>
      </c>
      <c r="J46" s="135" t="s">
        <v>305</v>
      </c>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1850</v>
      </c>
      <c r="B47" s="128" t="s">
        <v>1879</v>
      </c>
      <c r="C47" s="129" t="s">
        <v>1880</v>
      </c>
      <c r="D47" s="131" t="s">
        <v>1881</v>
      </c>
      <c r="E47" s="131" t="s">
        <v>1882</v>
      </c>
      <c r="F47" s="131" t="s">
        <v>1883</v>
      </c>
      <c r="G47" s="131" t="s">
        <v>1884</v>
      </c>
      <c r="H47" s="131" t="s">
        <v>1885</v>
      </c>
      <c r="I47" s="133">
        <f>IF(COUNTIF(J47:AW47,"&lt;&gt;")=0,"",SUMPRODUCT(((Recommendations[ImplStatus]="Implemented")+(Recommendations[ImplStatus]="Compensated"))*ISNUMBER(MATCH(Recommendations[Id],J47:AW47,0)))/COUNTIF(J47:AW47,"&lt;&gt;"))</f>
        <v>0</v>
      </c>
      <c r="J47" s="135" t="s">
        <v>210</v>
      </c>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1850</v>
      </c>
      <c r="B48" s="128" t="s">
        <v>1886</v>
      </c>
      <c r="C48" s="129" t="s">
        <v>1887</v>
      </c>
      <c r="D48" s="131" t="s">
        <v>1888</v>
      </c>
      <c r="E48" s="131" t="s">
        <v>1889</v>
      </c>
      <c r="F48" s="131" t="s">
        <v>1890</v>
      </c>
      <c r="G48" s="131" t="s">
        <v>1891</v>
      </c>
      <c r="H48" s="131" t="s">
        <v>1892</v>
      </c>
      <c r="I48" s="133">
        <f>IF(COUNTIF(J48:AW48,"&lt;&gt;")=0,"",SUMPRODUCT(((Recommendations[ImplStatus]="Implemented")+(Recommendations[ImplStatus]="Compensated"))*ISNUMBER(MATCH(Recommendations[Id],J48:AW48,0)))/COUNTIF(J48:AW48,"&lt;&gt;"))</f>
        <v>0</v>
      </c>
      <c r="J48" s="135" t="s">
        <v>320</v>
      </c>
      <c r="K48" s="135" t="s">
        <v>325</v>
      </c>
      <c r="L48" s="135" t="s">
        <v>330</v>
      </c>
      <c r="M48" s="135" t="s">
        <v>335</v>
      </c>
      <c r="N48" s="135" t="s">
        <v>339</v>
      </c>
      <c r="O48" s="135" t="s">
        <v>348</v>
      </c>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1850</v>
      </c>
      <c r="B49" s="128" t="s">
        <v>1893</v>
      </c>
      <c r="C49" s="129" t="s">
        <v>1894</v>
      </c>
      <c r="D49" s="131" t="s">
        <v>1895</v>
      </c>
      <c r="E49" s="131" t="s">
        <v>1896</v>
      </c>
      <c r="F49" s="131" t="s">
        <v>1897</v>
      </c>
      <c r="G49" s="131" t="s">
        <v>1655</v>
      </c>
      <c r="H49" s="131" t="s">
        <v>1898</v>
      </c>
      <c r="I49" s="133" t="str">
        <f>IF(COUNTIF(J49:AW49,"&lt;&gt;")=0,"",SUMPRODUCT(((Recommendations[ImplStatus]="Implemented")+(Recommendations[ImplStatus]="Compensated"))*ISNUMBER(MATCH(Recommendations[Id],J49:AW49,0)))/COUNTIF(J49:AW49,"&lt;&gt;"))</f>
        <v/>
      </c>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1850</v>
      </c>
      <c r="B50" s="128" t="s">
        <v>1899</v>
      </c>
      <c r="C50" s="129" t="s">
        <v>1900</v>
      </c>
      <c r="D50" s="131" t="s">
        <v>1901</v>
      </c>
      <c r="E50" s="131" t="s">
        <v>1902</v>
      </c>
      <c r="F50" s="131" t="s">
        <v>1903</v>
      </c>
      <c r="G50" s="131" t="s">
        <v>1904</v>
      </c>
      <c r="H50" s="131" t="s">
        <v>1905</v>
      </c>
      <c r="I50" s="133">
        <f>IF(COUNTIF(J50:AW50,"&lt;&gt;")=0,"",SUMPRODUCT(((Recommendations[ImplStatus]="Implemented")+(Recommendations[ImplStatus]="Compensated"))*ISNUMBER(MATCH(Recommendations[Id],J50:AW50,0)))/COUNTIF(J50:AW50,"&lt;&gt;"))</f>
        <v>0</v>
      </c>
      <c r="J50" s="135" t="s">
        <v>320</v>
      </c>
      <c r="K50" s="135" t="s">
        <v>325</v>
      </c>
      <c r="L50" s="135" t="s">
        <v>330</v>
      </c>
      <c r="M50" s="135" t="s">
        <v>335</v>
      </c>
      <c r="N50" s="135" t="s">
        <v>339</v>
      </c>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1906</v>
      </c>
      <c r="B51" s="127"/>
      <c r="C51" s="126" t="s">
        <v>1907</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1906</v>
      </c>
      <c r="B52" s="128" t="s">
        <v>1908</v>
      </c>
      <c r="C52" s="129" t="s">
        <v>1909</v>
      </c>
      <c r="D52" s="131" t="s">
        <v>1910</v>
      </c>
      <c r="E52" s="131" t="s">
        <v>1911</v>
      </c>
      <c r="F52" s="131" t="s">
        <v>1912</v>
      </c>
      <c r="G52" s="131" t="s">
        <v>1913</v>
      </c>
      <c r="H52" s="131" t="s">
        <v>1914</v>
      </c>
      <c r="I52" s="133">
        <f>IF(COUNTIF(J52:AW52,"&lt;&gt;")=0,"",SUMPRODUCT(((Recommendations[ImplStatus]="Implemented")+(Recommendations[ImplStatus]="Compensated"))*ISNUMBER(MATCH(Recommendations[Id],J52:AW52,0)))/COUNTIF(J52:AW52,"&lt;&gt;"))</f>
        <v>0</v>
      </c>
      <c r="J52" s="135" t="s">
        <v>66</v>
      </c>
      <c r="K52" s="135" t="s">
        <v>100</v>
      </c>
      <c r="L52" s="135" t="s">
        <v>105</v>
      </c>
      <c r="M52" s="135" t="s">
        <v>118</v>
      </c>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1906</v>
      </c>
      <c r="B53" s="128" t="s">
        <v>1915</v>
      </c>
      <c r="C53" s="129" t="s">
        <v>1916</v>
      </c>
      <c r="D53" s="131" t="s">
        <v>1917</v>
      </c>
      <c r="E53" s="131" t="s">
        <v>1918</v>
      </c>
      <c r="F53" s="131" t="s">
        <v>1919</v>
      </c>
      <c r="G53" s="131" t="s">
        <v>1920</v>
      </c>
      <c r="H53" s="131" t="s">
        <v>1921</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1906</v>
      </c>
      <c r="B54" s="128" t="s">
        <v>1922</v>
      </c>
      <c r="C54" s="129" t="s">
        <v>1923</v>
      </c>
      <c r="D54" s="131" t="s">
        <v>1924</v>
      </c>
      <c r="E54" s="131" t="s">
        <v>1925</v>
      </c>
      <c r="F54" s="131" t="s">
        <v>1926</v>
      </c>
      <c r="G54" s="131" t="s">
        <v>1927</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1906</v>
      </c>
      <c r="B55" s="128" t="s">
        <v>1928</v>
      </c>
      <c r="C55" s="129" t="s">
        <v>1929</v>
      </c>
      <c r="D55" s="131" t="s">
        <v>1930</v>
      </c>
      <c r="E55" s="131" t="s">
        <v>1931</v>
      </c>
      <c r="F55" s="131" t="s">
        <v>1932</v>
      </c>
      <c r="G55" s="131" t="s">
        <v>1933</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1906</v>
      </c>
      <c r="B56" s="128" t="s">
        <v>1934</v>
      </c>
      <c r="C56" s="129" t="s">
        <v>1935</v>
      </c>
      <c r="D56" s="131" t="s">
        <v>1936</v>
      </c>
      <c r="E56" s="131" t="s">
        <v>1937</v>
      </c>
      <c r="F56" s="131" t="s">
        <v>1938</v>
      </c>
      <c r="G56" s="131" t="s">
        <v>1939</v>
      </c>
      <c r="H56" s="131" t="s">
        <v>1940</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1941</v>
      </c>
      <c r="B57" s="127"/>
      <c r="C57" s="126" t="s">
        <v>1942</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1941</v>
      </c>
      <c r="B58" s="128" t="s">
        <v>1943</v>
      </c>
      <c r="C58" s="129" t="s">
        <v>1944</v>
      </c>
      <c r="D58" s="131" t="s">
        <v>1945</v>
      </c>
      <c r="E58" s="131" t="s">
        <v>1946</v>
      </c>
      <c r="F58" s="131" t="s">
        <v>1947</v>
      </c>
      <c r="G58" s="131" t="s">
        <v>1948</v>
      </c>
      <c r="H58" s="131" t="s">
        <v>1949</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1941</v>
      </c>
      <c r="B59" s="128" t="s">
        <v>1950</v>
      </c>
      <c r="C59" s="129" t="s">
        <v>1951</v>
      </c>
      <c r="D59" s="131" t="s">
        <v>1952</v>
      </c>
      <c r="E59" s="131" t="s">
        <v>1953</v>
      </c>
      <c r="F59" s="131" t="s">
        <v>1954</v>
      </c>
      <c r="G59" s="131" t="s">
        <v>1955</v>
      </c>
      <c r="H59" s="131" t="s">
        <v>1956</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1941</v>
      </c>
      <c r="B60" s="128" t="s">
        <v>1957</v>
      </c>
      <c r="C60" s="129" t="s">
        <v>1958</v>
      </c>
      <c r="D60" s="131" t="s">
        <v>1959</v>
      </c>
      <c r="E60" s="131" t="s">
        <v>1960</v>
      </c>
      <c r="F60" s="131" t="s">
        <v>1961</v>
      </c>
      <c r="G60" s="131" t="s">
        <v>1962</v>
      </c>
      <c r="H60" s="131" t="s">
        <v>1963</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1964</v>
      </c>
      <c r="B61" s="127"/>
      <c r="C61" s="126" t="s">
        <v>1965</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1964</v>
      </c>
      <c r="B62" s="128" t="s">
        <v>1966</v>
      </c>
      <c r="C62" s="129" t="s">
        <v>1967</v>
      </c>
      <c r="D62" s="131" t="s">
        <v>1968</v>
      </c>
      <c r="E62" s="131" t="s">
        <v>1969</v>
      </c>
      <c r="F62" s="131" t="s">
        <v>1970</v>
      </c>
      <c r="G62" s="131" t="s">
        <v>1971</v>
      </c>
      <c r="H62" s="131" t="s">
        <v>1972</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1964</v>
      </c>
      <c r="B63" s="128" t="s">
        <v>1973</v>
      </c>
      <c r="C63" s="129" t="s">
        <v>1974</v>
      </c>
      <c r="D63" s="131" t="s">
        <v>1975</v>
      </c>
      <c r="E63" s="131" t="s">
        <v>1976</v>
      </c>
      <c r="F63" s="131" t="s">
        <v>1977</v>
      </c>
      <c r="G63" s="131" t="s">
        <v>1978</v>
      </c>
      <c r="H63" s="131" t="s">
        <v>1979</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1964</v>
      </c>
      <c r="B64" s="128" t="s">
        <v>1980</v>
      </c>
      <c r="C64" s="129" t="s">
        <v>1981</v>
      </c>
      <c r="D64" s="131" t="s">
        <v>1982</v>
      </c>
      <c r="E64" s="131" t="s">
        <v>1983</v>
      </c>
      <c r="F64" s="131" t="s">
        <v>1984</v>
      </c>
      <c r="G64" s="131" t="s">
        <v>1985</v>
      </c>
      <c r="H64" s="131" t="s">
        <v>1986</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1964</v>
      </c>
      <c r="B65" s="128" t="s">
        <v>1987</v>
      </c>
      <c r="C65" s="129" t="s">
        <v>1988</v>
      </c>
      <c r="D65" s="131" t="s">
        <v>1989</v>
      </c>
      <c r="E65" s="131" t="s">
        <v>1990</v>
      </c>
      <c r="F65" s="131" t="s">
        <v>1991</v>
      </c>
      <c r="G65" s="131" t="s">
        <v>1992</v>
      </c>
      <c r="H65" s="131" t="s">
        <v>1993</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1964</v>
      </c>
      <c r="B66" s="128" t="s">
        <v>1994</v>
      </c>
      <c r="C66" s="129" t="s">
        <v>1995</v>
      </c>
      <c r="D66" s="131" t="s">
        <v>1996</v>
      </c>
      <c r="E66" s="131" t="s">
        <v>1997</v>
      </c>
      <c r="F66" s="131" t="s">
        <v>1998</v>
      </c>
      <c r="G66" s="131" t="s">
        <v>1999</v>
      </c>
      <c r="H66" s="131" t="s">
        <v>2000</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1964</v>
      </c>
      <c r="B67" s="128" t="s">
        <v>2001</v>
      </c>
      <c r="C67" s="129" t="s">
        <v>2002</v>
      </c>
      <c r="D67" s="131" t="s">
        <v>2003</v>
      </c>
      <c r="E67" s="131" t="s">
        <v>2004</v>
      </c>
      <c r="F67" s="131" t="s">
        <v>2005</v>
      </c>
      <c r="G67" s="131" t="s">
        <v>2006</v>
      </c>
      <c r="H67" s="131" t="s">
        <v>2007</v>
      </c>
      <c r="I67" s="133" t="str">
        <f>IF(COUNTIF(J67:AW67,"&lt;&gt;")=0,"",SUMPRODUCT(((Recommendations[ImplStatus]="Implemented")+(Recommendations[ImplStatus]="Compensated"))*ISNUMBER(MATCH(Recommendations[Id],J67:AW67,0)))/COUNTIF(J67:AW67,"&lt;&gt;"))</f>
        <v/>
      </c>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1964</v>
      </c>
      <c r="B68" s="128" t="s">
        <v>2008</v>
      </c>
      <c r="C68" s="129" t="s">
        <v>2009</v>
      </c>
      <c r="D68" s="131" t="s">
        <v>2010</v>
      </c>
      <c r="E68" s="131" t="s">
        <v>2011</v>
      </c>
      <c r="F68" s="131" t="s">
        <v>2012</v>
      </c>
      <c r="G68" s="131" t="s">
        <v>2013</v>
      </c>
      <c r="H68" s="131" t="s">
        <v>2014</v>
      </c>
      <c r="I68" s="133">
        <f>IF(COUNTIF(J68:AW68,"&lt;&gt;")=0,"",SUMPRODUCT(((Recommendations[ImplStatus]="Implemented")+(Recommendations[ImplStatus]="Compensated"))*ISNUMBER(MATCH(Recommendations[Id],J68:AW68,0)))/COUNTIF(J68:AW68,"&lt;&gt;"))</f>
        <v>0</v>
      </c>
      <c r="J68" s="135" t="s">
        <v>285</v>
      </c>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2015</v>
      </c>
      <c r="B69" s="127"/>
      <c r="C69" s="126" t="s">
        <v>2016</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2015</v>
      </c>
      <c r="B70" s="128" t="s">
        <v>2017</v>
      </c>
      <c r="C70" s="129" t="s">
        <v>2018</v>
      </c>
      <c r="D70" s="131" t="s">
        <v>2019</v>
      </c>
      <c r="E70" s="131" t="s">
        <v>2020</v>
      </c>
      <c r="F70" s="131" t="s">
        <v>2021</v>
      </c>
      <c r="G70" s="131" t="s">
        <v>2022</v>
      </c>
      <c r="H70" s="131" t="s">
        <v>2023</v>
      </c>
      <c r="I70" s="133" t="str">
        <f>IF(COUNTIF(J70:AW70,"&lt;&gt;")=0,"",SUMPRODUCT(((Recommendations[ImplStatus]="Implemented")+(Recommendations[ImplStatus]="Compensated"))*ISNUMBER(MATCH(Recommendations[Id],J70:AW70,0)))/COUNTIF(J70:AW70,"&lt;&gt;"))</f>
        <v/>
      </c>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2015</v>
      </c>
      <c r="B71" s="128" t="s">
        <v>2024</v>
      </c>
      <c r="C71" s="129" t="s">
        <v>2025</v>
      </c>
      <c r="D71" s="131" t="s">
        <v>2026</v>
      </c>
      <c r="E71" s="131" t="s">
        <v>2027</v>
      </c>
      <c r="F71" s="131" t="s">
        <v>2028</v>
      </c>
      <c r="G71" s="131" t="s">
        <v>2029</v>
      </c>
      <c r="H71" s="131" t="s">
        <v>2030</v>
      </c>
      <c r="I71" s="133" t="str">
        <f>IF(COUNTIF(J71:AW71,"&lt;&gt;")=0,"",SUMPRODUCT(((Recommendations[ImplStatus]="Implemented")+(Recommendations[ImplStatus]="Compensated"))*ISNUMBER(MATCH(Recommendations[Id],J71:AW71,0)))/COUNTIF(J71:AW71,"&lt;&gt;"))</f>
        <v/>
      </c>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2031</v>
      </c>
      <c r="B72" s="127"/>
      <c r="C72" s="126" t="s">
        <v>2032</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2031</v>
      </c>
      <c r="B73" s="128" t="s">
        <v>2033</v>
      </c>
      <c r="C73" s="129" t="s">
        <v>2034</v>
      </c>
      <c r="D73" s="131" t="s">
        <v>2035</v>
      </c>
      <c r="E73" s="131" t="s">
        <v>2036</v>
      </c>
      <c r="F73" s="131" t="s">
        <v>2037</v>
      </c>
      <c r="G73" s="131" t="s">
        <v>2038</v>
      </c>
      <c r="H73" s="131" t="s">
        <v>2039</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2031</v>
      </c>
      <c r="B74" s="128" t="s">
        <v>2040</v>
      </c>
      <c r="C74" s="129" t="s">
        <v>2041</v>
      </c>
      <c r="D74" s="131" t="s">
        <v>2042</v>
      </c>
      <c r="E74" s="131" t="s">
        <v>2043</v>
      </c>
      <c r="F74" s="131" t="s">
        <v>2044</v>
      </c>
      <c r="G74" s="131" t="s">
        <v>2045</v>
      </c>
      <c r="H74" s="131" t="s">
        <v>2046</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2031</v>
      </c>
      <c r="B75" s="128" t="s">
        <v>2047</v>
      </c>
      <c r="C75" s="129" t="s">
        <v>2048</v>
      </c>
      <c r="D75" s="131" t="s">
        <v>2049</v>
      </c>
      <c r="E75" s="131" t="s">
        <v>2050</v>
      </c>
      <c r="F75" s="131" t="s">
        <v>2051</v>
      </c>
      <c r="G75" s="131" t="s">
        <v>2052</v>
      </c>
      <c r="H75" s="131" t="s">
        <v>2053</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2031</v>
      </c>
      <c r="B76" s="128" t="s">
        <v>2054</v>
      </c>
      <c r="C76" s="129" t="s">
        <v>2055</v>
      </c>
      <c r="D76" s="131" t="s">
        <v>2056</v>
      </c>
      <c r="E76" s="131" t="s">
        <v>2057</v>
      </c>
      <c r="F76" s="131" t="s">
        <v>2058</v>
      </c>
      <c r="G76" s="131" t="s">
        <v>2059</v>
      </c>
      <c r="H76" s="131" t="s">
        <v>2060</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2031</v>
      </c>
      <c r="B77" s="128" t="s">
        <v>2061</v>
      </c>
      <c r="C77" s="129" t="s">
        <v>2062</v>
      </c>
      <c r="D77" s="131" t="s">
        <v>2063</v>
      </c>
      <c r="E77" s="131" t="s">
        <v>2064</v>
      </c>
      <c r="F77" s="131" t="s">
        <v>2065</v>
      </c>
      <c r="G77" s="131" t="s">
        <v>2059</v>
      </c>
      <c r="H77" s="131" t="s">
        <v>2066</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2067</v>
      </c>
      <c r="B78" s="127"/>
      <c r="C78" s="126" t="s">
        <v>2068</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2067</v>
      </c>
      <c r="B79" s="128" t="s">
        <v>2067</v>
      </c>
      <c r="C79" s="129" t="s">
        <v>2069</v>
      </c>
      <c r="D79" s="131" t="s">
        <v>2070</v>
      </c>
      <c r="E79" s="131" t="s">
        <v>2071</v>
      </c>
      <c r="F79" s="131" t="s">
        <v>2072</v>
      </c>
      <c r="G79" s="131" t="s">
        <v>2073</v>
      </c>
      <c r="H79" s="131" t="s">
        <v>2074</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2067</v>
      </c>
      <c r="B80" s="128" t="s">
        <v>2075</v>
      </c>
      <c r="C80" s="129" t="s">
        <v>2076</v>
      </c>
      <c r="D80" s="131" t="s">
        <v>2077</v>
      </c>
      <c r="E80" s="131" t="s">
        <v>2078</v>
      </c>
      <c r="F80" s="131" t="s">
        <v>2079</v>
      </c>
      <c r="G80" s="131" t="s">
        <v>2080</v>
      </c>
      <c r="H80" s="131" t="s">
        <v>2081</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2067</v>
      </c>
      <c r="B81" s="128" t="s">
        <v>2082</v>
      </c>
      <c r="C81" s="129" t="s">
        <v>2083</v>
      </c>
      <c r="D81" s="131" t="s">
        <v>2084</v>
      </c>
      <c r="E81" s="131" t="s">
        <v>2085</v>
      </c>
      <c r="F81" s="131" t="s">
        <v>2086</v>
      </c>
      <c r="G81" s="131" t="s">
        <v>2087</v>
      </c>
      <c r="H81" s="131" t="s">
        <v>2088</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2089</v>
      </c>
      <c r="B82" s="127"/>
      <c r="C82" s="126" t="s">
        <v>2090</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2089</v>
      </c>
      <c r="B83" s="128" t="s">
        <v>2091</v>
      </c>
      <c r="C83" s="129" t="s">
        <v>2092</v>
      </c>
      <c r="D83" s="131" t="s">
        <v>2093</v>
      </c>
      <c r="E83" s="131" t="s">
        <v>2094</v>
      </c>
      <c r="F83" s="131" t="s">
        <v>2095</v>
      </c>
      <c r="G83" s="131" t="s">
        <v>2096</v>
      </c>
      <c r="H83" s="131" t="s">
        <v>2097</v>
      </c>
      <c r="I83" s="133">
        <f>IF(COUNTIF(J83:AW83,"&lt;&gt;")=0,"",SUMPRODUCT(((Recommendations[ImplStatus]="Implemented")+(Recommendations[ImplStatus]="Compensated"))*ISNUMBER(MATCH(Recommendations[Id],J83:AW83,0)))/COUNTIF(J83:AW83,"&lt;&gt;"))</f>
        <v>0</v>
      </c>
      <c r="J83" s="135" t="s">
        <v>30</v>
      </c>
      <c r="K83" s="135" t="s">
        <v>85</v>
      </c>
      <c r="L83" s="135" t="s">
        <v>157</v>
      </c>
      <c r="M83" s="135" t="s">
        <v>162</v>
      </c>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2089</v>
      </c>
      <c r="B84" s="128" t="s">
        <v>2098</v>
      </c>
      <c r="C84" s="129" t="s">
        <v>2099</v>
      </c>
      <c r="D84" s="131" t="s">
        <v>2100</v>
      </c>
      <c r="E84" s="131" t="s">
        <v>2101</v>
      </c>
      <c r="F84" s="131" t="s">
        <v>2102</v>
      </c>
      <c r="G84" s="131" t="s">
        <v>2103</v>
      </c>
      <c r="H84" s="131" t="s">
        <v>2104</v>
      </c>
      <c r="I84" s="133">
        <f>IF(COUNTIF(J84:AW84,"&lt;&gt;")=0,"",SUMPRODUCT(((Recommendations[ImplStatus]="Implemented")+(Recommendations[ImplStatus]="Compensated"))*ISNUMBER(MATCH(Recommendations[Id],J84:AW84,0)))/COUNTIF(J84:AW84,"&lt;&gt;"))</f>
        <v>0</v>
      </c>
      <c r="J84" s="135" t="s">
        <v>30</v>
      </c>
      <c r="K84" s="135" t="s">
        <v>35</v>
      </c>
      <c r="L84" s="135" t="s">
        <v>85</v>
      </c>
      <c r="M84" s="135" t="s">
        <v>157</v>
      </c>
      <c r="N84" s="135" t="s">
        <v>162</v>
      </c>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2089</v>
      </c>
      <c r="B85" s="128" t="s">
        <v>2105</v>
      </c>
      <c r="C85" s="129" t="s">
        <v>2106</v>
      </c>
      <c r="D85" s="131" t="s">
        <v>2107</v>
      </c>
      <c r="E85" s="131" t="s">
        <v>2108</v>
      </c>
      <c r="F85" s="131" t="s">
        <v>2109</v>
      </c>
      <c r="G85" s="131" t="s">
        <v>2110</v>
      </c>
      <c r="H85" s="131" t="s">
        <v>2111</v>
      </c>
      <c r="I85" s="133" t="str">
        <f>IF(COUNTIF(J85:AW85,"&lt;&gt;")=0,"",SUMPRODUCT(((Recommendations[ImplStatus]="Implemented")+(Recommendations[ImplStatus]="Compensated"))*ISNUMBER(MATCH(Recommendations[Id],J85:AW85,0)))/COUNTIF(J85:AW85,"&lt;&gt;"))</f>
        <v/>
      </c>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2089</v>
      </c>
      <c r="B86" s="128" t="s">
        <v>2112</v>
      </c>
      <c r="C86" s="129" t="s">
        <v>2113</v>
      </c>
      <c r="D86" s="131" t="s">
        <v>2114</v>
      </c>
      <c r="E86" s="131" t="s">
        <v>2115</v>
      </c>
      <c r="F86" s="131" t="s">
        <v>2116</v>
      </c>
      <c r="G86" s="131" t="s">
        <v>2117</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2118</v>
      </c>
      <c r="B87" s="127"/>
      <c r="C87" s="126" t="s">
        <v>2119</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2118</v>
      </c>
      <c r="B88" s="128" t="s">
        <v>2120</v>
      </c>
      <c r="C88" s="129" t="s">
        <v>2121</v>
      </c>
      <c r="D88" s="131" t="s">
        <v>2122</v>
      </c>
      <c r="E88" s="131" t="s">
        <v>2123</v>
      </c>
      <c r="F88" s="131" t="s">
        <v>2124</v>
      </c>
      <c r="G88" s="131" t="s">
        <v>2125</v>
      </c>
      <c r="H88" s="131" t="s">
        <v>2126</v>
      </c>
      <c r="I88" s="133">
        <f>IF(COUNTIF(J88:AW88,"&lt;&gt;")=0,"",SUMPRODUCT(((Recommendations[ImplStatus]="Implemented")+(Recommendations[ImplStatus]="Compensated"))*ISNUMBER(MATCH(Recommendations[Id],J88:AW88,0)))/COUNTIF(J88:AW88,"&lt;&gt;"))</f>
        <v>0</v>
      </c>
      <c r="J88" s="135" t="s">
        <v>49</v>
      </c>
      <c r="K88" s="135" t="s">
        <v>75</v>
      </c>
      <c r="L88" s="135" t="s">
        <v>133</v>
      </c>
      <c r="M88" s="135" t="s">
        <v>137</v>
      </c>
      <c r="N88" s="135"/>
      <c r="O88" s="135"/>
      <c r="P88" s="135"/>
      <c r="Q88" s="135"/>
      <c r="R88" s="135"/>
      <c r="S88" s="135"/>
      <c r="T88" s="135"/>
      <c r="U88" s="135"/>
      <c r="V88" s="135"/>
      <c r="W88" s="135"/>
      <c r="X88" s="135"/>
      <c r="Y88" s="135"/>
      <c r="Z88" s="135"/>
      <c r="AA88" s="135"/>
      <c r="AB88" s="135"/>
      <c r="AC88" s="135"/>
      <c r="AD88" s="135"/>
      <c r="AE88" s="135"/>
      <c r="AF88" s="135"/>
      <c r="AG88" s="135"/>
      <c r="AH88" s="135"/>
      <c r="AI88" s="135"/>
      <c r="AJ88" s="135"/>
      <c r="AK88" s="135"/>
      <c r="AL88" s="135"/>
      <c r="AM88" s="135"/>
      <c r="AN88" s="135"/>
      <c r="AO88" s="135"/>
      <c r="AP88" s="135"/>
      <c r="AQ88" s="135"/>
      <c r="AR88" s="135"/>
      <c r="AS88" s="135"/>
      <c r="AT88" s="135"/>
      <c r="AU88" s="135"/>
      <c r="AV88" s="135"/>
      <c r="AW88" s="145"/>
    </row>
    <row r="89" spans="1:49" ht="60" customHeight="1" x14ac:dyDescent="0.35">
      <c r="A89" s="142" t="s">
        <v>2118</v>
      </c>
      <c r="B89" s="128" t="s">
        <v>2127</v>
      </c>
      <c r="C89" s="129" t="s">
        <v>2128</v>
      </c>
      <c r="D89" s="131" t="s">
        <v>2129</v>
      </c>
      <c r="E89" s="131" t="s">
        <v>2130</v>
      </c>
      <c r="F89" s="131" t="s">
        <v>2131</v>
      </c>
      <c r="G89" s="131" t="s">
        <v>1655</v>
      </c>
      <c r="H89" s="131" t="s">
        <v>2132</v>
      </c>
      <c r="I89" s="133">
        <f>IF(COUNTIF(J89:AW89,"&lt;&gt;")=0,"",SUMPRODUCT(((Recommendations[ImplStatus]="Implemented")+(Recommendations[ImplStatus]="Compensated"))*ISNUMBER(MATCH(Recommendations[Id],J89:AW89,0)))/COUNTIF(J89:AW89,"&lt;&gt;"))</f>
        <v>0</v>
      </c>
      <c r="J89" s="135" t="s">
        <v>49</v>
      </c>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2118</v>
      </c>
      <c r="B90" s="128" t="s">
        <v>2133</v>
      </c>
      <c r="C90" s="129" t="s">
        <v>2134</v>
      </c>
      <c r="D90" s="131" t="s">
        <v>2135</v>
      </c>
      <c r="E90" s="131" t="s">
        <v>2136</v>
      </c>
      <c r="F90" s="131" t="s">
        <v>2137</v>
      </c>
      <c r="G90" s="131" t="s">
        <v>2125</v>
      </c>
      <c r="H90" s="131" t="s">
        <v>2138</v>
      </c>
      <c r="I90" s="133" t="str">
        <f>IF(COUNTIF(J90:AW90,"&lt;&gt;")=0,"",SUMPRODUCT(((Recommendations[ImplStatus]="Implemented")+(Recommendations[ImplStatus]="Compensated"))*ISNUMBER(MATCH(Recommendations[Id],J90:AW90,0)))/COUNTIF(J90:AW90,"&lt;&gt;"))</f>
        <v/>
      </c>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2118</v>
      </c>
      <c r="B91" s="128" t="s">
        <v>2139</v>
      </c>
      <c r="C91" s="129" t="s">
        <v>2140</v>
      </c>
      <c r="D91" s="131" t="s">
        <v>2141</v>
      </c>
      <c r="E91" s="131" t="s">
        <v>2142</v>
      </c>
      <c r="F91" s="131" t="s">
        <v>2143</v>
      </c>
      <c r="G91" s="131" t="s">
        <v>1655</v>
      </c>
      <c r="H91" s="131" t="s">
        <v>2144</v>
      </c>
      <c r="I91" s="133">
        <f>IF(COUNTIF(J91:AW91,"&lt;&gt;")=0,"",SUMPRODUCT(((Recommendations[ImplStatus]="Implemented")+(Recommendations[ImplStatus]="Compensated"))*ISNUMBER(MATCH(Recommendations[Id],J91:AW91,0)))/COUNTIF(J91:AW91,"&lt;&gt;"))</f>
        <v>0</v>
      </c>
      <c r="J91" s="135" t="s">
        <v>14</v>
      </c>
      <c r="K91" s="135" t="s">
        <v>147</v>
      </c>
      <c r="L91" s="135" t="s">
        <v>152</v>
      </c>
      <c r="M91" s="135" t="s">
        <v>310</v>
      </c>
      <c r="N91" s="135" t="s">
        <v>358</v>
      </c>
      <c r="O91" s="135" t="s">
        <v>368</v>
      </c>
      <c r="P91" s="135" t="s">
        <v>378</v>
      </c>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45"/>
    </row>
    <row r="92" spans="1:49" ht="60" customHeight="1" x14ac:dyDescent="0.35">
      <c r="A92" s="142" t="s">
        <v>2118</v>
      </c>
      <c r="B92" s="128" t="s">
        <v>2145</v>
      </c>
      <c r="C92" s="129" t="s">
        <v>2146</v>
      </c>
      <c r="D92" s="131" t="s">
        <v>2147</v>
      </c>
      <c r="E92" s="131" t="s">
        <v>2148</v>
      </c>
      <c r="F92" s="131" t="s">
        <v>2149</v>
      </c>
      <c r="G92" s="131" t="s">
        <v>1655</v>
      </c>
      <c r="H92" s="131" t="s">
        <v>2150</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2118</v>
      </c>
      <c r="B93" s="128" t="s">
        <v>2151</v>
      </c>
      <c r="C93" s="129" t="s">
        <v>2152</v>
      </c>
      <c r="D93" s="131" t="s">
        <v>2153</v>
      </c>
      <c r="E93" s="131" t="s">
        <v>2154</v>
      </c>
      <c r="F93" s="131" t="s">
        <v>2155</v>
      </c>
      <c r="G93" s="131" t="s">
        <v>2156</v>
      </c>
      <c r="H93" s="131" t="s">
        <v>2157</v>
      </c>
      <c r="I93" s="133">
        <f>IF(COUNTIF(J93:AW93,"&lt;&gt;")=0,"",SUMPRODUCT(((Recommendations[ImplStatus]="Implemented")+(Recommendations[ImplStatus]="Compensated"))*ISNUMBER(MATCH(Recommendations[Id],J93:AW93,0)))/COUNTIF(J93:AW93,"&lt;&gt;"))</f>
        <v>0</v>
      </c>
      <c r="J93" s="135" t="s">
        <v>147</v>
      </c>
      <c r="K93" s="135" t="s">
        <v>152</v>
      </c>
      <c r="L93" s="135" t="s">
        <v>290</v>
      </c>
      <c r="M93" s="135" t="s">
        <v>310</v>
      </c>
      <c r="N93" s="135" t="s">
        <v>358</v>
      </c>
      <c r="O93" s="135" t="s">
        <v>368</v>
      </c>
      <c r="P93" s="135" t="s">
        <v>378</v>
      </c>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2118</v>
      </c>
      <c r="B94" s="128" t="s">
        <v>2158</v>
      </c>
      <c r="C94" s="129" t="s">
        <v>2159</v>
      </c>
      <c r="D94" s="131" t="s">
        <v>2160</v>
      </c>
      <c r="E94" s="131" t="s">
        <v>2161</v>
      </c>
      <c r="F94" s="131" t="s">
        <v>2162</v>
      </c>
      <c r="G94" s="131" t="s">
        <v>2163</v>
      </c>
      <c r="H94" s="131" t="s">
        <v>2164</v>
      </c>
      <c r="I94" s="133">
        <f>IF(COUNTIF(J94:AW94,"&lt;&gt;")=0,"",SUMPRODUCT(((Recommendations[ImplStatus]="Implemented")+(Recommendations[ImplStatus]="Compensated"))*ISNUMBER(MATCH(Recommendations[Id],J94:AW94,0)))/COUNTIF(J94:AW94,"&lt;&gt;"))</f>
        <v>0</v>
      </c>
      <c r="J94" s="135" t="s">
        <v>147</v>
      </c>
      <c r="K94" s="135" t="s">
        <v>152</v>
      </c>
      <c r="L94" s="135" t="s">
        <v>310</v>
      </c>
      <c r="M94" s="135" t="s">
        <v>343</v>
      </c>
      <c r="N94" s="135" t="s">
        <v>353</v>
      </c>
      <c r="O94" s="135" t="s">
        <v>358</v>
      </c>
      <c r="P94" s="135" t="s">
        <v>368</v>
      </c>
      <c r="Q94" s="135" t="s">
        <v>378</v>
      </c>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45"/>
    </row>
    <row r="95" spans="1:49" ht="60" customHeight="1" x14ac:dyDescent="0.35">
      <c r="A95" s="142" t="s">
        <v>2118</v>
      </c>
      <c r="B95" s="128" t="s">
        <v>2165</v>
      </c>
      <c r="C95" s="129" t="s">
        <v>2166</v>
      </c>
      <c r="D95" s="131" t="s">
        <v>2167</v>
      </c>
      <c r="E95" s="131" t="s">
        <v>2168</v>
      </c>
      <c r="F95" s="131" t="s">
        <v>2169</v>
      </c>
      <c r="G95" s="131" t="s">
        <v>2170</v>
      </c>
      <c r="H95" s="131" t="s">
        <v>2171</v>
      </c>
      <c r="I95" s="133" t="str">
        <f>IF(COUNTIF(J95:AW95,"&lt;&gt;")=0,"",SUMPRODUCT(((Recommendations[ImplStatus]="Implemented")+(Recommendations[ImplStatus]="Compensated"))*ISNUMBER(MATCH(Recommendations[Id],J95:AW95,0)))/COUNTIF(J95:AW95,"&lt;&gt;"))</f>
        <v/>
      </c>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2118</v>
      </c>
      <c r="B96" s="128" t="s">
        <v>2172</v>
      </c>
      <c r="C96" s="129" t="s">
        <v>2173</v>
      </c>
      <c r="D96" s="131" t="s">
        <v>2174</v>
      </c>
      <c r="E96" s="131" t="s">
        <v>2175</v>
      </c>
      <c r="F96" s="131" t="s">
        <v>2176</v>
      </c>
      <c r="G96" s="131" t="s">
        <v>2177</v>
      </c>
      <c r="H96" s="131" t="s">
        <v>2178</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2118</v>
      </c>
      <c r="B97" s="128" t="s">
        <v>2179</v>
      </c>
      <c r="C97" s="129" t="s">
        <v>2180</v>
      </c>
      <c r="D97" s="131" t="s">
        <v>2181</v>
      </c>
      <c r="E97" s="131" t="s">
        <v>2182</v>
      </c>
      <c r="F97" s="131" t="s">
        <v>2183</v>
      </c>
      <c r="G97" s="131" t="s">
        <v>2184</v>
      </c>
      <c r="H97" s="131" t="s">
        <v>2185</v>
      </c>
      <c r="I97" s="133" t="str">
        <f>IF(COUNTIF(J97:AW97,"&lt;&gt;")=0,"",SUMPRODUCT(((Recommendations[ImplStatus]="Implemented")+(Recommendations[ImplStatus]="Compensated"))*ISNUMBER(MATCH(Recommendations[Id],J97:AW97,0)))/COUNTIF(J97:AW97,"&lt;&gt;"))</f>
        <v/>
      </c>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2186</v>
      </c>
      <c r="B98" s="127"/>
      <c r="C98" s="126" t="s">
        <v>2187</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2186</v>
      </c>
      <c r="B99" s="128" t="s">
        <v>2188</v>
      </c>
      <c r="C99" s="129" t="s">
        <v>2189</v>
      </c>
      <c r="D99" s="131" t="s">
        <v>2190</v>
      </c>
      <c r="E99" s="131" t="s">
        <v>2191</v>
      </c>
      <c r="F99" s="131" t="s">
        <v>2192</v>
      </c>
      <c r="G99" s="131" t="s">
        <v>2193</v>
      </c>
      <c r="H99" s="131" t="s">
        <v>2194</v>
      </c>
      <c r="I99" s="133">
        <f>IF(COUNTIF(J99:AW99,"&lt;&gt;")=0,"",SUMPRODUCT(((Recommendations[ImplStatus]="Implemented")+(Recommendations[ImplStatus]="Compensated"))*ISNUMBER(MATCH(Recommendations[Id],J99:AW99,0)))/COUNTIF(J99:AW99,"&lt;&gt;"))</f>
        <v>0</v>
      </c>
      <c r="J99" s="135" t="s">
        <v>265</v>
      </c>
      <c r="K99" s="135" t="s">
        <v>275</v>
      </c>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2186</v>
      </c>
      <c r="B100" s="128" t="s">
        <v>2195</v>
      </c>
      <c r="C100" s="129" t="s">
        <v>2196</v>
      </c>
      <c r="D100" s="131" t="s">
        <v>2197</v>
      </c>
      <c r="E100" s="131" t="s">
        <v>2198</v>
      </c>
      <c r="F100" s="131" t="s">
        <v>2199</v>
      </c>
      <c r="G100" s="131" t="s">
        <v>2200</v>
      </c>
      <c r="H100" s="131" t="s">
        <v>2201</v>
      </c>
      <c r="I100" s="133">
        <f>IF(COUNTIF(J100:AW100,"&lt;&gt;")=0,"",SUMPRODUCT(((Recommendations[ImplStatus]="Implemented")+(Recommendations[ImplStatus]="Compensated"))*ISNUMBER(MATCH(Recommendations[Id],J100:AW100,0)))/COUNTIF(J100:AW100,"&lt;&gt;"))</f>
        <v>0</v>
      </c>
      <c r="J100" s="135" t="s">
        <v>35</v>
      </c>
      <c r="K100" s="135" t="s">
        <v>40</v>
      </c>
      <c r="L100" s="135" t="s">
        <v>45</v>
      </c>
      <c r="M100" s="135" t="s">
        <v>387</v>
      </c>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2186</v>
      </c>
      <c r="B101" s="128" t="s">
        <v>2202</v>
      </c>
      <c r="C101" s="129" t="s">
        <v>2203</v>
      </c>
      <c r="D101" s="131" t="s">
        <v>2204</v>
      </c>
      <c r="E101" s="131" t="s">
        <v>2205</v>
      </c>
      <c r="F101" s="131" t="s">
        <v>21</v>
      </c>
      <c r="G101" s="131" t="s">
        <v>21</v>
      </c>
      <c r="H101" s="131" t="s">
        <v>21</v>
      </c>
      <c r="I101" s="133" t="str">
        <f>IF(COUNTIF(J101:AW101,"&lt;&gt;")=0,"",SUMPRODUCT(((Recommendations[ImplStatus]="Implemented")+(Recommendations[ImplStatus]="Compensated"))*ISNUMBER(MATCH(Recommendations[Id],J101:AW101,0)))/COUNTIF(J101:AW101,"&lt;&gt;"))</f>
        <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2186</v>
      </c>
      <c r="B102" s="128" t="s">
        <v>2206</v>
      </c>
      <c r="C102" s="129" t="s">
        <v>2207</v>
      </c>
      <c r="D102" s="131" t="s">
        <v>2208</v>
      </c>
      <c r="E102" s="131" t="s">
        <v>2209</v>
      </c>
      <c r="F102" s="131" t="s">
        <v>2210</v>
      </c>
      <c r="G102" s="131" t="s">
        <v>2211</v>
      </c>
      <c r="H102" s="131" t="s">
        <v>2212</v>
      </c>
      <c r="I102" s="133">
        <f>IF(COUNTIF(J102:AW102,"&lt;&gt;")=0,"",SUMPRODUCT(((Recommendations[ImplStatus]="Implemented")+(Recommendations[ImplStatus]="Compensated"))*ISNUMBER(MATCH(Recommendations[Id],J102:AW102,0)))/COUNTIF(J102:AW102,"&lt;&gt;"))</f>
        <v>0</v>
      </c>
      <c r="J102" s="135" t="s">
        <v>40</v>
      </c>
      <c r="K102" s="135" t="s">
        <v>45</v>
      </c>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2186</v>
      </c>
      <c r="B103" s="128" t="s">
        <v>2213</v>
      </c>
      <c r="C103" s="129" t="s">
        <v>2214</v>
      </c>
      <c r="D103" s="131" t="s">
        <v>2215</v>
      </c>
      <c r="E103" s="131" t="s">
        <v>2216</v>
      </c>
      <c r="F103" s="131" t="s">
        <v>2217</v>
      </c>
      <c r="G103" s="131" t="s">
        <v>2218</v>
      </c>
      <c r="H103" s="131" t="s">
        <v>2219</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2220</v>
      </c>
      <c r="B104" s="127"/>
      <c r="C104" s="126" t="s">
        <v>2221</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2220</v>
      </c>
      <c r="B105" s="128" t="s">
        <v>2222</v>
      </c>
      <c r="C105" s="129" t="s">
        <v>2223</v>
      </c>
      <c r="D105" s="131" t="s">
        <v>2224</v>
      </c>
      <c r="E105" s="131" t="s">
        <v>2225</v>
      </c>
      <c r="F105" s="131" t="s">
        <v>2226</v>
      </c>
      <c r="G105" s="131" t="s">
        <v>2227</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2220</v>
      </c>
      <c r="B106" s="128" t="s">
        <v>2228</v>
      </c>
      <c r="C106" s="129" t="s">
        <v>2229</v>
      </c>
      <c r="D106" s="131" t="s">
        <v>2230</v>
      </c>
      <c r="E106" s="131" t="s">
        <v>2231</v>
      </c>
      <c r="F106" s="131" t="s">
        <v>2232</v>
      </c>
      <c r="G106" s="131" t="s">
        <v>2233</v>
      </c>
      <c r="H106" s="131" t="s">
        <v>2234</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2220</v>
      </c>
      <c r="B107" s="128" t="s">
        <v>2235</v>
      </c>
      <c r="C107" s="129" t="s">
        <v>2236</v>
      </c>
      <c r="D107" s="131" t="s">
        <v>2237</v>
      </c>
      <c r="E107" s="131" t="s">
        <v>2238</v>
      </c>
      <c r="F107" s="131" t="s">
        <v>2239</v>
      </c>
      <c r="G107" s="131" t="s">
        <v>2240</v>
      </c>
      <c r="H107" s="131" t="s">
        <v>2241</v>
      </c>
      <c r="I107" s="133" t="str">
        <f>IF(COUNTIF(J107:AW107,"&lt;&gt;")=0,"",SUMPRODUCT(((Recommendations[ImplStatus]="Implemented")+(Recommendations[ImplStatus]="Compensated"))*ISNUMBER(MATCH(Recommendations[Id],J107:AW107,0)))/COUNTIF(J107:AW107,"&lt;&gt;"))</f>
        <v/>
      </c>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2242</v>
      </c>
      <c r="B108" s="127"/>
      <c r="C108" s="126" t="s">
        <v>2243</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2242</v>
      </c>
      <c r="B109" s="128" t="s">
        <v>2244</v>
      </c>
      <c r="C109" s="129" t="s">
        <v>2245</v>
      </c>
      <c r="D109" s="131" t="s">
        <v>2246</v>
      </c>
      <c r="E109" s="131" t="s">
        <v>2247</v>
      </c>
      <c r="F109" s="131" t="s">
        <v>2248</v>
      </c>
      <c r="G109" s="131" t="s">
        <v>2249</v>
      </c>
      <c r="H109" s="131" t="s">
        <v>2250</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2242</v>
      </c>
      <c r="B110" s="128" t="s">
        <v>2251</v>
      </c>
      <c r="C110" s="129" t="s">
        <v>2252</v>
      </c>
      <c r="D110" s="131" t="s">
        <v>2253</v>
      </c>
      <c r="E110" s="131" t="s">
        <v>2254</v>
      </c>
      <c r="F110" s="131" t="s">
        <v>2255</v>
      </c>
      <c r="G110" s="131" t="s">
        <v>2256</v>
      </c>
      <c r="H110" s="131" t="s">
        <v>2257</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2242</v>
      </c>
      <c r="B111" s="128" t="s">
        <v>2258</v>
      </c>
      <c r="C111" s="129" t="s">
        <v>2259</v>
      </c>
      <c r="D111" s="131" t="s">
        <v>2260</v>
      </c>
      <c r="E111" s="131" t="s">
        <v>2261</v>
      </c>
      <c r="F111" s="131" t="s">
        <v>2262</v>
      </c>
      <c r="G111" s="131" t="s">
        <v>2263</v>
      </c>
      <c r="H111" s="131" t="s">
        <v>2264</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2265</v>
      </c>
      <c r="B112" s="127"/>
      <c r="C112" s="126" t="s">
        <v>2266</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2265</v>
      </c>
      <c r="B113" s="128" t="s">
        <v>2267</v>
      </c>
      <c r="C113" s="129" t="s">
        <v>2268</v>
      </c>
      <c r="D113" s="131" t="s">
        <v>2269</v>
      </c>
      <c r="E113" s="131" t="s">
        <v>2270</v>
      </c>
      <c r="F113" s="131" t="s">
        <v>2271</v>
      </c>
      <c r="G113" s="131" t="s">
        <v>2272</v>
      </c>
      <c r="H113" s="131" t="s">
        <v>2273</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2265</v>
      </c>
      <c r="B114" s="128" t="s">
        <v>2274</v>
      </c>
      <c r="C114" s="129" t="s">
        <v>2275</v>
      </c>
      <c r="D114" s="131" t="s">
        <v>2276</v>
      </c>
      <c r="E114" s="131" t="s">
        <v>2277</v>
      </c>
      <c r="F114" s="131" t="s">
        <v>2278</v>
      </c>
      <c r="G114" s="131" t="s">
        <v>2272</v>
      </c>
      <c r="H114" s="131" t="s">
        <v>2279</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2265</v>
      </c>
      <c r="B115" s="136" t="s">
        <v>2280</v>
      </c>
      <c r="C115" s="137" t="s">
        <v>2281</v>
      </c>
      <c r="D115" s="138" t="s">
        <v>2282</v>
      </c>
      <c r="E115" s="138" t="s">
        <v>2283</v>
      </c>
      <c r="F115" s="138" t="s">
        <v>2284</v>
      </c>
      <c r="G115" s="138" t="s">
        <v>2285</v>
      </c>
      <c r="H115" s="138" t="s">
        <v>2286</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407</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IFERROR(INDEX('Recommendations'!$H$2:$H$84, MATCH(J2,'Recommendations'!$A$2:$A$84,0))="Implemented", FALSE))</xm:f>
            <x14:dxf>
              <font>
                <color rgb="FF000000"/>
              </font>
              <fill>
                <patternFill>
                  <bgColor rgb="FF3C7D22"/>
                </patternFill>
              </fill>
            </x14:dxf>
          </x14:cfRule>
          <x14:cfRule type="expression" priority="2" id="{00000000-000E-0000-0600-000002000000}">
            <xm:f>AND(J2&lt;&gt;"", IFERROR(INDEX('Recommendations'!$H$2:$H$84, MATCH(J2,'Recommendations'!$A$2:$A$84,0))="Compensated", FALSE))</xm:f>
            <x14:dxf>
              <font>
                <color rgb="FF000000"/>
              </font>
              <fill>
                <patternFill>
                  <bgColor rgb="FFC6E0B4"/>
                </patternFill>
              </fill>
            </x14:dxf>
          </x14:cfRule>
          <x14:cfRule type="expression" priority="3" id="{00000000-000E-0000-0600-000003000000}">
            <xm:f>AND(J2&lt;&gt;"", IFERROR(INDEX('Recommendations'!$H$2:$H$84, MATCH(J2,'Recommendations'!$A$2:$A$84,0))="Testing", FALSE))</xm:f>
            <x14:dxf>
              <font>
                <color rgb="FF000000"/>
              </font>
              <fill>
                <patternFill>
                  <bgColor rgb="FFFFC000"/>
                </patternFill>
              </fill>
            </x14:dxf>
          </x14:cfRule>
          <x14:cfRule type="expression" priority="4" id="{00000000-000E-0000-0600-000004000000}">
            <xm:f>AND(J2&lt;&gt;"", IFERROR(INDEX('Recommendations'!$H$2:$H$84, MATCH(J2,'Recommendations'!$A$2:$A$84,0))="Failed", FALSE))</xm:f>
            <x14:dxf>
              <font>
                <color rgb="FF000000"/>
              </font>
              <fill>
                <patternFill>
                  <bgColor rgb="FFD82891"/>
                </patternFill>
              </fill>
            </x14:dxf>
          </x14:cfRule>
          <x14:cfRule type="expression" priority="5" id="{00000000-000E-0000-0600-000005000000}">
            <xm:f>AND(J2&lt;&gt;"", IFERROR(INDEX('Recommendations'!$H$2:$H$84, MATCH(J2,'Recommendations'!$A$2:$A$84,0))="Risk Accepted", FALSE))</xm:f>
            <x14:dxf>
              <font>
                <color rgb="FF000000"/>
              </font>
              <fill>
                <patternFill>
                  <bgColor rgb="FFD9D9D9"/>
                </patternFill>
              </fill>
            </x14:dxf>
          </x14:cfRule>
          <x14:cfRule type="expression" priority="6" id="{00000000-000E-0000-0600-000006000000}">
            <xm:f>AND(J2&lt;&gt;"", IFERROR(INDEX('Recommendations'!$H$2:$H$84, MATCH(J2,'Recommendations'!$A$2:$A$84,0))="N/A",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2287</v>
      </c>
      <c r="B1" s="187" t="s">
        <v>2288</v>
      </c>
      <c r="C1" s="187" t="s">
        <v>0</v>
      </c>
      <c r="D1" s="187" t="s">
        <v>2289</v>
      </c>
      <c r="E1" s="187" t="s">
        <v>2290</v>
      </c>
      <c r="F1" s="187" t="s">
        <v>2291</v>
      </c>
      <c r="G1" s="187" t="s">
        <v>656</v>
      </c>
      <c r="H1" s="187" t="s">
        <v>657</v>
      </c>
      <c r="I1" s="187" t="s">
        <v>658</v>
      </c>
      <c r="J1" s="187" t="s">
        <v>659</v>
      </c>
      <c r="K1" s="187" t="s">
        <v>660</v>
      </c>
      <c r="L1" s="187" t="s">
        <v>661</v>
      </c>
      <c r="M1" s="187" t="s">
        <v>662</v>
      </c>
      <c r="N1" s="187" t="s">
        <v>663</v>
      </c>
      <c r="O1" s="187" t="s">
        <v>664</v>
      </c>
      <c r="P1" s="187" t="s">
        <v>665</v>
      </c>
      <c r="Q1" s="187" t="s">
        <v>666</v>
      </c>
      <c r="R1" s="187" t="s">
        <v>667</v>
      </c>
      <c r="S1" s="187" t="s">
        <v>668</v>
      </c>
      <c r="T1" s="187" t="s">
        <v>669</v>
      </c>
      <c r="U1" s="187" t="s">
        <v>670</v>
      </c>
      <c r="V1" s="187" t="s">
        <v>671</v>
      </c>
      <c r="W1" s="187" t="s">
        <v>672</v>
      </c>
      <c r="X1" s="187" t="s">
        <v>673</v>
      </c>
      <c r="Y1" s="187" t="s">
        <v>674</v>
      </c>
      <c r="Z1" s="187" t="s">
        <v>675</v>
      </c>
      <c r="AA1" s="187" t="s">
        <v>676</v>
      </c>
      <c r="AB1" s="187" t="s">
        <v>677</v>
      </c>
      <c r="AC1" s="187" t="s">
        <v>678</v>
      </c>
      <c r="AD1" s="187" t="s">
        <v>679</v>
      </c>
      <c r="AE1" s="187" t="s">
        <v>680</v>
      </c>
      <c r="AF1" s="187" t="s">
        <v>681</v>
      </c>
      <c r="AG1" s="187" t="s">
        <v>682</v>
      </c>
      <c r="AH1" s="187" t="s">
        <v>683</v>
      </c>
      <c r="AI1" s="187" t="s">
        <v>684</v>
      </c>
      <c r="AJ1" s="187" t="s">
        <v>685</v>
      </c>
      <c r="AK1" s="187" t="s">
        <v>686</v>
      </c>
      <c r="AL1" s="187" t="s">
        <v>687</v>
      </c>
      <c r="AM1" s="187" t="s">
        <v>688</v>
      </c>
      <c r="AN1" s="187" t="s">
        <v>689</v>
      </c>
      <c r="AO1" s="187" t="s">
        <v>690</v>
      </c>
      <c r="AP1" s="187" t="s">
        <v>691</v>
      </c>
      <c r="AQ1" s="187" t="s">
        <v>692</v>
      </c>
      <c r="AR1" s="187" t="s">
        <v>693</v>
      </c>
      <c r="AS1" s="187" t="s">
        <v>694</v>
      </c>
      <c r="AT1" s="187" t="s">
        <v>695</v>
      </c>
      <c r="AU1" s="188" t="s">
        <v>696</v>
      </c>
    </row>
    <row r="2" spans="1:47" ht="60" customHeight="1" outlineLevel="1" x14ac:dyDescent="0.35">
      <c r="A2" s="178" t="s">
        <v>2292</v>
      </c>
      <c r="B2" s="152" t="s">
        <v>21</v>
      </c>
      <c r="C2" s="150" t="s">
        <v>2293</v>
      </c>
      <c r="D2" s="156" t="s">
        <v>2294</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2292</v>
      </c>
      <c r="B3" s="153" t="s">
        <v>2295</v>
      </c>
      <c r="C3" s="151" t="s">
        <v>2296</v>
      </c>
      <c r="D3" s="157" t="s">
        <v>2297</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2292</v>
      </c>
      <c r="B4" s="154" t="s">
        <v>2295</v>
      </c>
      <c r="C4" s="155" t="s">
        <v>2298</v>
      </c>
      <c r="D4" s="158" t="s">
        <v>2299</v>
      </c>
      <c r="E4" s="161" t="s">
        <v>2300</v>
      </c>
      <c r="F4" s="164" t="s">
        <v>2301</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2292</v>
      </c>
      <c r="B5" s="154" t="s">
        <v>2295</v>
      </c>
      <c r="C5" s="155" t="s">
        <v>2302</v>
      </c>
      <c r="D5" s="158" t="s">
        <v>2303</v>
      </c>
      <c r="E5" s="161" t="s">
        <v>2304</v>
      </c>
      <c r="F5" s="164" t="s">
        <v>2305</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2292</v>
      </c>
      <c r="B6" s="154" t="s">
        <v>2295</v>
      </c>
      <c r="C6" s="155" t="s">
        <v>2306</v>
      </c>
      <c r="D6" s="158" t="s">
        <v>2307</v>
      </c>
      <c r="E6" s="161" t="s">
        <v>2308</v>
      </c>
      <c r="F6" s="164" t="s">
        <v>2305</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2292</v>
      </c>
      <c r="B7" s="154" t="s">
        <v>2295</v>
      </c>
      <c r="C7" s="155" t="s">
        <v>2309</v>
      </c>
      <c r="D7" s="158" t="s">
        <v>2310</v>
      </c>
      <c r="E7" s="161" t="s">
        <v>2311</v>
      </c>
      <c r="F7" s="164" t="s">
        <v>2305</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2292</v>
      </c>
      <c r="B8" s="154" t="s">
        <v>2295</v>
      </c>
      <c r="C8" s="155" t="s">
        <v>2312</v>
      </c>
      <c r="D8" s="158" t="s">
        <v>2313</v>
      </c>
      <c r="E8" s="161" t="s">
        <v>2314</v>
      </c>
      <c r="F8" s="164" t="s">
        <v>2315</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2292</v>
      </c>
      <c r="B9" s="153" t="s">
        <v>2316</v>
      </c>
      <c r="C9" s="151" t="s">
        <v>2317</v>
      </c>
      <c r="D9" s="157" t="s">
        <v>2318</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2292</v>
      </c>
      <c r="B10" s="154" t="s">
        <v>2316</v>
      </c>
      <c r="C10" s="155" t="s">
        <v>2319</v>
      </c>
      <c r="D10" s="158" t="s">
        <v>2320</v>
      </c>
      <c r="E10" s="161" t="s">
        <v>2321</v>
      </c>
      <c r="F10" s="164" t="s">
        <v>2301</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2292</v>
      </c>
      <c r="B11" s="154" t="s">
        <v>2316</v>
      </c>
      <c r="C11" s="155" t="s">
        <v>2322</v>
      </c>
      <c r="D11" s="158" t="s">
        <v>2323</v>
      </c>
      <c r="E11" s="161" t="s">
        <v>2324</v>
      </c>
      <c r="F11" s="164" t="s">
        <v>2301</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2292</v>
      </c>
      <c r="B12" s="154" t="s">
        <v>2316</v>
      </c>
      <c r="C12" s="155" t="s">
        <v>2325</v>
      </c>
      <c r="D12" s="158" t="s">
        <v>2326</v>
      </c>
      <c r="E12" s="161" t="s">
        <v>2327</v>
      </c>
      <c r="F12" s="164" t="s">
        <v>2301</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2292</v>
      </c>
      <c r="B13" s="153" t="s">
        <v>2328</v>
      </c>
      <c r="C13" s="151" t="s">
        <v>2329</v>
      </c>
      <c r="D13" s="157" t="s">
        <v>2330</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2292</v>
      </c>
      <c r="B14" s="154" t="s">
        <v>2328</v>
      </c>
      <c r="C14" s="155" t="s">
        <v>2331</v>
      </c>
      <c r="D14" s="158" t="s">
        <v>2332</v>
      </c>
      <c r="E14" s="161" t="s">
        <v>2333</v>
      </c>
      <c r="F14" s="164" t="s">
        <v>2301</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2292</v>
      </c>
      <c r="B15" s="154" t="s">
        <v>2328</v>
      </c>
      <c r="C15" s="155" t="s">
        <v>2334</v>
      </c>
      <c r="D15" s="158" t="s">
        <v>2335</v>
      </c>
      <c r="E15" s="161" t="s">
        <v>2336</v>
      </c>
      <c r="F15" s="164" t="s">
        <v>2301</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2292</v>
      </c>
      <c r="B16" s="153" t="s">
        <v>2337</v>
      </c>
      <c r="C16" s="151" t="s">
        <v>2338</v>
      </c>
      <c r="D16" s="157" t="s">
        <v>2339</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2292</v>
      </c>
      <c r="B17" s="154" t="s">
        <v>2337</v>
      </c>
      <c r="C17" s="155" t="s">
        <v>2340</v>
      </c>
      <c r="D17" s="158" t="s">
        <v>2341</v>
      </c>
      <c r="E17" s="161" t="s">
        <v>2342</v>
      </c>
      <c r="F17" s="164" t="s">
        <v>2301</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2292</v>
      </c>
      <c r="B18" s="154" t="s">
        <v>2337</v>
      </c>
      <c r="C18" s="155" t="s">
        <v>2343</v>
      </c>
      <c r="D18" s="158" t="s">
        <v>2344</v>
      </c>
      <c r="E18" s="161" t="s">
        <v>2345</v>
      </c>
      <c r="F18" s="164" t="s">
        <v>2305</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2292</v>
      </c>
      <c r="B19" s="154" t="s">
        <v>2337</v>
      </c>
      <c r="C19" s="155" t="s">
        <v>2346</v>
      </c>
      <c r="D19" s="158" t="s">
        <v>2347</v>
      </c>
      <c r="E19" s="161" t="s">
        <v>2348</v>
      </c>
      <c r="F19" s="164" t="s">
        <v>2301</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2292</v>
      </c>
      <c r="B20" s="154" t="s">
        <v>2337</v>
      </c>
      <c r="C20" s="155" t="s">
        <v>2349</v>
      </c>
      <c r="D20" s="158" t="s">
        <v>2350</v>
      </c>
      <c r="E20" s="161" t="s">
        <v>2351</v>
      </c>
      <c r="F20" s="164" t="s">
        <v>2301</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2292</v>
      </c>
      <c r="B21" s="154" t="s">
        <v>2337</v>
      </c>
      <c r="C21" s="155" t="s">
        <v>2352</v>
      </c>
      <c r="D21" s="158" t="s">
        <v>2353</v>
      </c>
      <c r="E21" s="161" t="s">
        <v>2354</v>
      </c>
      <c r="F21" s="164" t="s">
        <v>2305</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2292</v>
      </c>
      <c r="B22" s="154" t="s">
        <v>2337</v>
      </c>
      <c r="C22" s="155" t="s">
        <v>2355</v>
      </c>
      <c r="D22" s="158" t="s">
        <v>2356</v>
      </c>
      <c r="E22" s="161" t="s">
        <v>2357</v>
      </c>
      <c r="F22" s="164" t="s">
        <v>2301</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2292</v>
      </c>
      <c r="B23" s="154" t="s">
        <v>2337</v>
      </c>
      <c r="C23" s="155" t="s">
        <v>2358</v>
      </c>
      <c r="D23" s="158" t="s">
        <v>2359</v>
      </c>
      <c r="E23" s="161" t="s">
        <v>2360</v>
      </c>
      <c r="F23" s="164" t="s">
        <v>2301</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2292</v>
      </c>
      <c r="B24" s="153" t="s">
        <v>2361</v>
      </c>
      <c r="C24" s="151" t="s">
        <v>2362</v>
      </c>
      <c r="D24" s="157" t="s">
        <v>2363</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2292</v>
      </c>
      <c r="B25" s="154" t="s">
        <v>2361</v>
      </c>
      <c r="C25" s="155" t="s">
        <v>2364</v>
      </c>
      <c r="D25" s="158" t="s">
        <v>2365</v>
      </c>
      <c r="E25" s="161" t="s">
        <v>2366</v>
      </c>
      <c r="F25" s="164" t="s">
        <v>2301</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2292</v>
      </c>
      <c r="B26" s="154" t="s">
        <v>2361</v>
      </c>
      <c r="C26" s="155" t="s">
        <v>2367</v>
      </c>
      <c r="D26" s="158" t="s">
        <v>2368</v>
      </c>
      <c r="E26" s="161" t="s">
        <v>2369</v>
      </c>
      <c r="F26" s="164" t="s">
        <v>2301</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2292</v>
      </c>
      <c r="B27" s="154" t="s">
        <v>2361</v>
      </c>
      <c r="C27" s="155" t="s">
        <v>2370</v>
      </c>
      <c r="D27" s="158" t="s">
        <v>2371</v>
      </c>
      <c r="E27" s="161" t="s">
        <v>2372</v>
      </c>
      <c r="F27" s="164" t="s">
        <v>2305</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2292</v>
      </c>
      <c r="B28" s="154" t="s">
        <v>2361</v>
      </c>
      <c r="C28" s="155" t="s">
        <v>2373</v>
      </c>
      <c r="D28" s="158" t="s">
        <v>2374</v>
      </c>
      <c r="E28" s="161" t="s">
        <v>2375</v>
      </c>
      <c r="F28" s="164" t="s">
        <v>2301</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2292</v>
      </c>
      <c r="B29" s="153" t="s">
        <v>2376</v>
      </c>
      <c r="C29" s="151" t="s">
        <v>2377</v>
      </c>
      <c r="D29" s="157" t="s">
        <v>2378</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2292</v>
      </c>
      <c r="B30" s="154" t="s">
        <v>2376</v>
      </c>
      <c r="C30" s="155" t="s">
        <v>2379</v>
      </c>
      <c r="D30" s="158" t="s">
        <v>2380</v>
      </c>
      <c r="E30" s="161" t="s">
        <v>2381</v>
      </c>
      <c r="F30" s="164" t="s">
        <v>2315</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2292</v>
      </c>
      <c r="B31" s="154" t="s">
        <v>2376</v>
      </c>
      <c r="C31" s="155" t="s">
        <v>2382</v>
      </c>
      <c r="D31" s="158" t="s">
        <v>2383</v>
      </c>
      <c r="E31" s="161" t="s">
        <v>2384</v>
      </c>
      <c r="F31" s="164" t="s">
        <v>2315</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2292</v>
      </c>
      <c r="B32" s="154" t="s">
        <v>2376</v>
      </c>
      <c r="C32" s="155" t="s">
        <v>2385</v>
      </c>
      <c r="D32" s="158" t="s">
        <v>2386</v>
      </c>
      <c r="E32" s="161" t="s">
        <v>2387</v>
      </c>
      <c r="F32" s="164" t="s">
        <v>2315</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2292</v>
      </c>
      <c r="B33" s="154" t="s">
        <v>2376</v>
      </c>
      <c r="C33" s="155" t="s">
        <v>2388</v>
      </c>
      <c r="D33" s="158" t="s">
        <v>2389</v>
      </c>
      <c r="E33" s="161" t="s">
        <v>2390</v>
      </c>
      <c r="F33" s="164" t="s">
        <v>2315</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2292</v>
      </c>
      <c r="B34" s="154" t="s">
        <v>2376</v>
      </c>
      <c r="C34" s="155" t="s">
        <v>2391</v>
      </c>
      <c r="D34" s="158" t="s">
        <v>2392</v>
      </c>
      <c r="E34" s="161" t="s">
        <v>2393</v>
      </c>
      <c r="F34" s="164" t="s">
        <v>2315</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2292</v>
      </c>
      <c r="B35" s="154" t="s">
        <v>2376</v>
      </c>
      <c r="C35" s="155" t="s">
        <v>2394</v>
      </c>
      <c r="D35" s="158" t="s">
        <v>2395</v>
      </c>
      <c r="E35" s="161" t="s">
        <v>2396</v>
      </c>
      <c r="F35" s="164" t="s">
        <v>2315</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2292</v>
      </c>
      <c r="B36" s="154" t="s">
        <v>2376</v>
      </c>
      <c r="C36" s="155" t="s">
        <v>2397</v>
      </c>
      <c r="D36" s="158" t="s">
        <v>2398</v>
      </c>
      <c r="E36" s="161" t="s">
        <v>2399</v>
      </c>
      <c r="F36" s="164" t="s">
        <v>2315</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2292</v>
      </c>
      <c r="B37" s="154" t="s">
        <v>2376</v>
      </c>
      <c r="C37" s="155" t="s">
        <v>2400</v>
      </c>
      <c r="D37" s="158" t="s">
        <v>2401</v>
      </c>
      <c r="E37" s="161" t="s">
        <v>2402</v>
      </c>
      <c r="F37" s="164" t="s">
        <v>2315</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2292</v>
      </c>
      <c r="B38" s="154" t="s">
        <v>2376</v>
      </c>
      <c r="C38" s="155" t="s">
        <v>2403</v>
      </c>
      <c r="D38" s="158" t="s">
        <v>2404</v>
      </c>
      <c r="E38" s="161" t="s">
        <v>2405</v>
      </c>
      <c r="F38" s="164" t="s">
        <v>2315</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2292</v>
      </c>
      <c r="B39" s="154" t="s">
        <v>2376</v>
      </c>
      <c r="C39" s="155" t="s">
        <v>2406</v>
      </c>
      <c r="D39" s="158" t="s">
        <v>2407</v>
      </c>
      <c r="E39" s="161" t="s">
        <v>2408</v>
      </c>
      <c r="F39" s="164" t="s">
        <v>2315</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2409</v>
      </c>
      <c r="B40" s="152" t="s">
        <v>21</v>
      </c>
      <c r="C40" s="150" t="s">
        <v>2410</v>
      </c>
      <c r="D40" s="156" t="s">
        <v>2411</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2409</v>
      </c>
      <c r="B41" s="153" t="s">
        <v>2412</v>
      </c>
      <c r="C41" s="151" t="s">
        <v>2413</v>
      </c>
      <c r="D41" s="157" t="s">
        <v>2414</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2409</v>
      </c>
      <c r="B42" s="154" t="s">
        <v>2412</v>
      </c>
      <c r="C42" s="155" t="s">
        <v>2415</v>
      </c>
      <c r="D42" s="158" t="s">
        <v>2416</v>
      </c>
      <c r="E42" s="161" t="s">
        <v>2417</v>
      </c>
      <c r="F42" s="164" t="s">
        <v>2301</v>
      </c>
      <c r="G42" s="167">
        <f>IF(COUNTIF(H42:AU42,"&lt;&gt;")=0,"",SUMPRODUCT(((Recommendations[ImplStatus]="Implemented")+(Recommendations[ImplStatus]="Compensated"))*ISNUMBER(MATCH(Recommendations[Id],H42:AU42,0)))/COUNTIF(H42:AU42,"&lt;&gt;"))</f>
        <v>0</v>
      </c>
      <c r="H42" s="170" t="s">
        <v>55</v>
      </c>
      <c r="I42" s="170" t="s">
        <v>128</v>
      </c>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2409</v>
      </c>
      <c r="B43" s="154" t="s">
        <v>2412</v>
      </c>
      <c r="C43" s="155" t="s">
        <v>2418</v>
      </c>
      <c r="D43" s="158" t="s">
        <v>2419</v>
      </c>
      <c r="E43" s="161" t="s">
        <v>2420</v>
      </c>
      <c r="F43" s="164" t="s">
        <v>2301</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2409</v>
      </c>
      <c r="B44" s="154" t="s">
        <v>2412</v>
      </c>
      <c r="C44" s="155" t="s">
        <v>2421</v>
      </c>
      <c r="D44" s="158" t="s">
        <v>2422</v>
      </c>
      <c r="E44" s="161" t="s">
        <v>2423</v>
      </c>
      <c r="F44" s="164" t="s">
        <v>2305</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2409</v>
      </c>
      <c r="B45" s="154" t="s">
        <v>2412</v>
      </c>
      <c r="C45" s="155" t="s">
        <v>2424</v>
      </c>
      <c r="D45" s="158" t="s">
        <v>2425</v>
      </c>
      <c r="E45" s="161" t="s">
        <v>2426</v>
      </c>
      <c r="F45" s="164" t="s">
        <v>2315</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2409</v>
      </c>
      <c r="B46" s="154" t="s">
        <v>2412</v>
      </c>
      <c r="C46" s="155" t="s">
        <v>2427</v>
      </c>
      <c r="D46" s="158" t="s">
        <v>2428</v>
      </c>
      <c r="E46" s="161" t="s">
        <v>2429</v>
      </c>
      <c r="F46" s="164" t="s">
        <v>2301</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2409</v>
      </c>
      <c r="B47" s="154" t="s">
        <v>2412</v>
      </c>
      <c r="C47" s="155" t="s">
        <v>2430</v>
      </c>
      <c r="D47" s="158" t="s">
        <v>2431</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2409</v>
      </c>
      <c r="B48" s="154" t="s">
        <v>2412</v>
      </c>
      <c r="C48" s="155" t="s">
        <v>2432</v>
      </c>
      <c r="D48" s="158" t="s">
        <v>2433</v>
      </c>
      <c r="E48" s="161" t="s">
        <v>2434</v>
      </c>
      <c r="F48" s="164" t="s">
        <v>2301</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2409</v>
      </c>
      <c r="B49" s="154" t="s">
        <v>2412</v>
      </c>
      <c r="C49" s="155" t="s">
        <v>2435</v>
      </c>
      <c r="D49" s="158" t="s">
        <v>2436</v>
      </c>
      <c r="E49" s="161" t="s">
        <v>2437</v>
      </c>
      <c r="F49" s="164" t="s">
        <v>2305</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2409</v>
      </c>
      <c r="B50" s="153" t="s">
        <v>2438</v>
      </c>
      <c r="C50" s="151" t="s">
        <v>2439</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2409</v>
      </c>
      <c r="B51" s="154" t="s">
        <v>2438</v>
      </c>
      <c r="C51" s="155" t="s">
        <v>2440</v>
      </c>
      <c r="D51" s="158" t="s">
        <v>2441</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2409</v>
      </c>
      <c r="B52" s="154" t="s">
        <v>2438</v>
      </c>
      <c r="C52" s="155" t="s">
        <v>2442</v>
      </c>
      <c r="D52" s="158" t="s">
        <v>2443</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2409</v>
      </c>
      <c r="B53" s="154" t="s">
        <v>2438</v>
      </c>
      <c r="C53" s="155" t="s">
        <v>2444</v>
      </c>
      <c r="D53" s="158" t="s">
        <v>2445</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2409</v>
      </c>
      <c r="B54" s="154" t="s">
        <v>2438</v>
      </c>
      <c r="C54" s="155" t="s">
        <v>2446</v>
      </c>
      <c r="D54" s="158" t="s">
        <v>2447</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2409</v>
      </c>
      <c r="B55" s="154" t="s">
        <v>2438</v>
      </c>
      <c r="C55" s="155" t="s">
        <v>2448</v>
      </c>
      <c r="D55" s="158" t="s">
        <v>2449</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2409</v>
      </c>
      <c r="B56" s="153" t="s">
        <v>563</v>
      </c>
      <c r="C56" s="151" t="s">
        <v>2450</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2409</v>
      </c>
      <c r="B57" s="154" t="s">
        <v>563</v>
      </c>
      <c r="C57" s="155" t="s">
        <v>2451</v>
      </c>
      <c r="D57" s="158" t="s">
        <v>2452</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2409</v>
      </c>
      <c r="B58" s="154" t="s">
        <v>563</v>
      </c>
      <c r="C58" s="155" t="s">
        <v>2453</v>
      </c>
      <c r="D58" s="158" t="s">
        <v>2454</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2409</v>
      </c>
      <c r="B59" s="154" t="s">
        <v>563</v>
      </c>
      <c r="C59" s="155" t="s">
        <v>2455</v>
      </c>
      <c r="D59" s="158" t="s">
        <v>2456</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2409</v>
      </c>
      <c r="B60" s="154" t="s">
        <v>563</v>
      </c>
      <c r="C60" s="155" t="s">
        <v>2457</v>
      </c>
      <c r="D60" s="158" t="s">
        <v>2458</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2409</v>
      </c>
      <c r="B61" s="153" t="s">
        <v>2459</v>
      </c>
      <c r="C61" s="151" t="s">
        <v>2460</v>
      </c>
      <c r="D61" s="157" t="s">
        <v>2461</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2409</v>
      </c>
      <c r="B62" s="154" t="s">
        <v>2459</v>
      </c>
      <c r="C62" s="155" t="s">
        <v>2462</v>
      </c>
      <c r="D62" s="158" t="s">
        <v>2463</v>
      </c>
      <c r="E62" s="161" t="s">
        <v>2464</v>
      </c>
      <c r="F62" s="164" t="s">
        <v>2301</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2409</v>
      </c>
      <c r="B63" s="154" t="s">
        <v>2459</v>
      </c>
      <c r="C63" s="155" t="s">
        <v>2465</v>
      </c>
      <c r="D63" s="158" t="s">
        <v>2466</v>
      </c>
      <c r="E63" s="161" t="s">
        <v>2467</v>
      </c>
      <c r="F63" s="164" t="s">
        <v>2305</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2409</v>
      </c>
      <c r="B64" s="154" t="s">
        <v>2459</v>
      </c>
      <c r="C64" s="155" t="s">
        <v>2468</v>
      </c>
      <c r="D64" s="158" t="s">
        <v>2469</v>
      </c>
      <c r="E64" s="161" t="s">
        <v>2470</v>
      </c>
      <c r="F64" s="164" t="s">
        <v>2301</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2409</v>
      </c>
      <c r="B65" s="154" t="s">
        <v>2459</v>
      </c>
      <c r="C65" s="155" t="s">
        <v>2471</v>
      </c>
      <c r="D65" s="158" t="s">
        <v>2472</v>
      </c>
      <c r="E65" s="161" t="s">
        <v>2473</v>
      </c>
      <c r="F65" s="164" t="s">
        <v>2301</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2409</v>
      </c>
      <c r="B66" s="153" t="s">
        <v>2067</v>
      </c>
      <c r="C66" s="151" t="s">
        <v>2474</v>
      </c>
      <c r="D66" s="157" t="s">
        <v>2475</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2409</v>
      </c>
      <c r="B67" s="154" t="s">
        <v>2067</v>
      </c>
      <c r="C67" s="155" t="s">
        <v>2476</v>
      </c>
      <c r="D67" s="158" t="s">
        <v>2477</v>
      </c>
      <c r="E67" s="161" t="s">
        <v>2478</v>
      </c>
      <c r="F67" s="164" t="s">
        <v>2301</v>
      </c>
      <c r="G67" s="167" t="str">
        <f>IF(COUNTIF(H67:AU67,"&lt;&gt;")=0,"",SUMPRODUCT(((Recommendations[ImplStatus]="Implemented")+(Recommendations[ImplStatus]="Compensated"))*ISNUMBER(MATCH(Recommendations[Id],H67:AU67,0)))/COUNTIF(H67:AU67,"&lt;&gt;"))</f>
        <v/>
      </c>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2409</v>
      </c>
      <c r="B68" s="154" t="s">
        <v>2067</v>
      </c>
      <c r="C68" s="155" t="s">
        <v>2479</v>
      </c>
      <c r="D68" s="158" t="s">
        <v>2480</v>
      </c>
      <c r="E68" s="161" t="s">
        <v>2481</v>
      </c>
      <c r="F68" s="164" t="s">
        <v>2301</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2409</v>
      </c>
      <c r="B69" s="154" t="s">
        <v>2067</v>
      </c>
      <c r="C69" s="155" t="s">
        <v>2482</v>
      </c>
      <c r="D69" s="158" t="s">
        <v>2483</v>
      </c>
      <c r="E69" s="161" t="s">
        <v>2484</v>
      </c>
      <c r="F69" s="164" t="s">
        <v>2305</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2409</v>
      </c>
      <c r="B70" s="154" t="s">
        <v>2067</v>
      </c>
      <c r="C70" s="155" t="s">
        <v>2485</v>
      </c>
      <c r="D70" s="158" t="s">
        <v>2486</v>
      </c>
      <c r="E70" s="161" t="s">
        <v>2487</v>
      </c>
      <c r="F70" s="164" t="s">
        <v>2301</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2409</v>
      </c>
      <c r="B71" s="154" t="s">
        <v>2067</v>
      </c>
      <c r="C71" s="155" t="s">
        <v>2488</v>
      </c>
      <c r="D71" s="158" t="s">
        <v>2489</v>
      </c>
      <c r="E71" s="161" t="s">
        <v>2490</v>
      </c>
      <c r="F71" s="164" t="s">
        <v>2301</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2409</v>
      </c>
      <c r="B72" s="154" t="s">
        <v>2067</v>
      </c>
      <c r="C72" s="155" t="s">
        <v>2491</v>
      </c>
      <c r="D72" s="158" t="s">
        <v>2492</v>
      </c>
      <c r="E72" s="161" t="s">
        <v>2493</v>
      </c>
      <c r="F72" s="164" t="s">
        <v>2301</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2409</v>
      </c>
      <c r="B73" s="154" t="s">
        <v>2067</v>
      </c>
      <c r="C73" s="155" t="s">
        <v>2494</v>
      </c>
      <c r="D73" s="158" t="s">
        <v>2495</v>
      </c>
      <c r="E73" s="161" t="s">
        <v>2496</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2409</v>
      </c>
      <c r="B74" s="154" t="s">
        <v>2067</v>
      </c>
      <c r="C74" s="155" t="s">
        <v>2497</v>
      </c>
      <c r="D74" s="158" t="s">
        <v>2498</v>
      </c>
      <c r="E74" s="161" t="s">
        <v>2499</v>
      </c>
      <c r="F74" s="164" t="s">
        <v>2305</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2409</v>
      </c>
      <c r="B75" s="154" t="s">
        <v>2067</v>
      </c>
      <c r="C75" s="155" t="s">
        <v>2500</v>
      </c>
      <c r="D75" s="158" t="s">
        <v>2501</v>
      </c>
      <c r="E75" s="161" t="s">
        <v>2502</v>
      </c>
      <c r="F75" s="164" t="s">
        <v>2315</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2409</v>
      </c>
      <c r="B76" s="154" t="s">
        <v>2067</v>
      </c>
      <c r="C76" s="155" t="s">
        <v>2503</v>
      </c>
      <c r="D76" s="158" t="s">
        <v>2504</v>
      </c>
      <c r="E76" s="161" t="s">
        <v>2505</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2409</v>
      </c>
      <c r="B77" s="153" t="s">
        <v>2337</v>
      </c>
      <c r="C77" s="151" t="s">
        <v>2506</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2409</v>
      </c>
      <c r="B78" s="154" t="s">
        <v>2337</v>
      </c>
      <c r="C78" s="155" t="s">
        <v>2507</v>
      </c>
      <c r="D78" s="158" t="s">
        <v>2508</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2409</v>
      </c>
      <c r="B79" s="154" t="s">
        <v>2337</v>
      </c>
      <c r="C79" s="155" t="s">
        <v>2509</v>
      </c>
      <c r="D79" s="158" t="s">
        <v>2510</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2409</v>
      </c>
      <c r="B80" s="154" t="s">
        <v>2337</v>
      </c>
      <c r="C80" s="155" t="s">
        <v>2511</v>
      </c>
      <c r="D80" s="158" t="s">
        <v>2512</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2409</v>
      </c>
      <c r="B81" s="153" t="s">
        <v>2265</v>
      </c>
      <c r="C81" s="151" t="s">
        <v>2513</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2409</v>
      </c>
      <c r="B82" s="154" t="s">
        <v>2265</v>
      </c>
      <c r="C82" s="155" t="s">
        <v>2514</v>
      </c>
      <c r="D82" s="158" t="s">
        <v>2515</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2409</v>
      </c>
      <c r="B83" s="154" t="s">
        <v>2265</v>
      </c>
      <c r="C83" s="155" t="s">
        <v>2516</v>
      </c>
      <c r="D83" s="158" t="s">
        <v>2517</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2409</v>
      </c>
      <c r="B84" s="154" t="s">
        <v>2265</v>
      </c>
      <c r="C84" s="155" t="s">
        <v>2518</v>
      </c>
      <c r="D84" s="158" t="s">
        <v>2519</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2409</v>
      </c>
      <c r="B85" s="154" t="s">
        <v>2265</v>
      </c>
      <c r="C85" s="155" t="s">
        <v>2520</v>
      </c>
      <c r="D85" s="158" t="s">
        <v>2521</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2409</v>
      </c>
      <c r="B86" s="154" t="s">
        <v>2265</v>
      </c>
      <c r="C86" s="155" t="s">
        <v>2522</v>
      </c>
      <c r="D86" s="158" t="s">
        <v>2523</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2524</v>
      </c>
      <c r="B87" s="152" t="s">
        <v>21</v>
      </c>
      <c r="C87" s="150" t="s">
        <v>2525</v>
      </c>
      <c r="D87" s="156" t="s">
        <v>2526</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2524</v>
      </c>
      <c r="B88" s="153" t="s">
        <v>2527</v>
      </c>
      <c r="C88" s="151" t="s">
        <v>2528</v>
      </c>
      <c r="D88" s="157" t="s">
        <v>2529</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2524</v>
      </c>
      <c r="B89" s="154" t="s">
        <v>2527</v>
      </c>
      <c r="C89" s="155" t="s">
        <v>2530</v>
      </c>
      <c r="D89" s="158" t="s">
        <v>2531</v>
      </c>
      <c r="E89" s="161" t="s">
        <v>2532</v>
      </c>
      <c r="F89" s="164" t="s">
        <v>2301</v>
      </c>
      <c r="G89" s="167">
        <f>IF(COUNTIF(H89:AU89,"&lt;&gt;")=0,"",SUMPRODUCT(((Recommendations[ImplStatus]="Implemented")+(Recommendations[ImplStatus]="Compensated"))*ISNUMBER(MATCH(Recommendations[Id],H89:AU89,0)))/COUNTIF(H89:AU89,"&lt;&gt;"))</f>
        <v>0</v>
      </c>
      <c r="H89" s="170" t="s">
        <v>210</v>
      </c>
      <c r="I89" s="170" t="s">
        <v>320</v>
      </c>
      <c r="J89" s="170" t="s">
        <v>325</v>
      </c>
      <c r="K89" s="170" t="s">
        <v>330</v>
      </c>
      <c r="L89" s="170" t="s">
        <v>335</v>
      </c>
      <c r="M89" s="170" t="s">
        <v>339</v>
      </c>
      <c r="N89" s="170" t="s">
        <v>343</v>
      </c>
      <c r="O89" s="170" t="s">
        <v>348</v>
      </c>
      <c r="P89" s="170" t="s">
        <v>353</v>
      </c>
      <c r="Q89" s="170" t="s">
        <v>373</v>
      </c>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70"/>
      <c r="AO89" s="170"/>
      <c r="AP89" s="170"/>
      <c r="AQ89" s="170"/>
      <c r="AR89" s="170"/>
      <c r="AS89" s="170"/>
      <c r="AT89" s="170"/>
      <c r="AU89" s="184"/>
    </row>
    <row r="90" spans="1:47" ht="60" customHeight="1" x14ac:dyDescent="0.35">
      <c r="A90" s="180" t="s">
        <v>2524</v>
      </c>
      <c r="B90" s="154" t="s">
        <v>2527</v>
      </c>
      <c r="C90" s="155" t="s">
        <v>2533</v>
      </c>
      <c r="D90" s="158" t="s">
        <v>2534</v>
      </c>
      <c r="E90" s="161" t="s">
        <v>2535</v>
      </c>
      <c r="F90" s="164" t="s">
        <v>2305</v>
      </c>
      <c r="G90" s="167" t="str">
        <f>IF(COUNTIF(H90:AU90,"&lt;&gt;")=0,"",SUMPRODUCT(((Recommendations[ImplStatus]="Implemented")+(Recommendations[ImplStatus]="Compensated"))*ISNUMBER(MATCH(Recommendations[Id],H90:AU90,0)))/COUNTIF(H90:AU90,"&lt;&gt;"))</f>
        <v/>
      </c>
      <c r="H90" s="170"/>
      <c r="I90" s="170"/>
      <c r="J90" s="170"/>
      <c r="K90" s="170"/>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2524</v>
      </c>
      <c r="B91" s="154" t="s">
        <v>2527</v>
      </c>
      <c r="C91" s="155" t="s">
        <v>2536</v>
      </c>
      <c r="D91" s="158" t="s">
        <v>2537</v>
      </c>
      <c r="E91" s="161" t="s">
        <v>2538</v>
      </c>
      <c r="F91" s="164" t="s">
        <v>2301</v>
      </c>
      <c r="G91" s="167">
        <f>IF(COUNTIF(H91:AU91,"&lt;&gt;")=0,"",SUMPRODUCT(((Recommendations[ImplStatus]="Implemented")+(Recommendations[ImplStatus]="Compensated"))*ISNUMBER(MATCH(Recommendations[Id],H91:AU91,0)))/COUNTIF(H91:AU91,"&lt;&gt;"))</f>
        <v>0</v>
      </c>
      <c r="H91" s="170" t="s">
        <v>133</v>
      </c>
      <c r="I91" s="170" t="s">
        <v>137</v>
      </c>
      <c r="J91" s="170" t="s">
        <v>147</v>
      </c>
      <c r="K91" s="170" t="s">
        <v>152</v>
      </c>
      <c r="L91" s="170" t="s">
        <v>270</v>
      </c>
      <c r="M91" s="170" t="s">
        <v>290</v>
      </c>
      <c r="N91" s="170" t="s">
        <v>305</v>
      </c>
      <c r="O91" s="170" t="s">
        <v>310</v>
      </c>
      <c r="P91" s="170" t="s">
        <v>358</v>
      </c>
      <c r="Q91" s="170" t="s">
        <v>368</v>
      </c>
      <c r="R91" s="170" t="s">
        <v>378</v>
      </c>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2524</v>
      </c>
      <c r="B92" s="154" t="s">
        <v>2527</v>
      </c>
      <c r="C92" s="155" t="s">
        <v>2539</v>
      </c>
      <c r="D92" s="158" t="s">
        <v>2540</v>
      </c>
      <c r="E92" s="161" t="s">
        <v>2541</v>
      </c>
      <c r="F92" s="164" t="s">
        <v>2301</v>
      </c>
      <c r="G92" s="167">
        <f>IF(COUNTIF(H92:AU92,"&lt;&gt;")=0,"",SUMPRODUCT(((Recommendations[ImplStatus]="Implemented")+(Recommendations[ImplStatus]="Compensated"))*ISNUMBER(MATCH(Recommendations[Id],H92:AU92,0)))/COUNTIF(H92:AU92,"&lt;&gt;"))</f>
        <v>0</v>
      </c>
      <c r="H92" s="170" t="s">
        <v>30</v>
      </c>
      <c r="I92" s="170" t="s">
        <v>85</v>
      </c>
      <c r="J92" s="170" t="s">
        <v>133</v>
      </c>
      <c r="K92" s="170" t="s">
        <v>137</v>
      </c>
      <c r="L92" s="170" t="s">
        <v>157</v>
      </c>
      <c r="M92" s="170" t="s">
        <v>162</v>
      </c>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2524</v>
      </c>
      <c r="B93" s="154" t="s">
        <v>2527</v>
      </c>
      <c r="C93" s="155" t="s">
        <v>2542</v>
      </c>
      <c r="D93" s="158" t="s">
        <v>2543</v>
      </c>
      <c r="E93" s="161" t="s">
        <v>2544</v>
      </c>
      <c r="F93" s="164" t="s">
        <v>2301</v>
      </c>
      <c r="G93" s="167">
        <f>IF(COUNTIF(H93:AU93,"&lt;&gt;")=0,"",SUMPRODUCT(((Recommendations[ImplStatus]="Implemented")+(Recommendations[ImplStatus]="Compensated"))*ISNUMBER(MATCH(Recommendations[Id],H93:AU93,0)))/COUNTIF(H93:AU93,"&lt;&gt;"))</f>
        <v>0</v>
      </c>
      <c r="H93" s="170" t="s">
        <v>178</v>
      </c>
      <c r="I93" s="170" t="s">
        <v>183</v>
      </c>
      <c r="J93" s="170" t="s">
        <v>186</v>
      </c>
      <c r="K93" s="170" t="s">
        <v>189</v>
      </c>
      <c r="L93" s="170" t="s">
        <v>192</v>
      </c>
      <c r="M93" s="170" t="s">
        <v>195</v>
      </c>
      <c r="N93" s="170" t="s">
        <v>200</v>
      </c>
      <c r="O93" s="170" t="s">
        <v>205</v>
      </c>
      <c r="P93" s="170" t="s">
        <v>215</v>
      </c>
      <c r="Q93" s="170"/>
      <c r="R93" s="170"/>
      <c r="S93" s="170"/>
      <c r="T93" s="170"/>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70"/>
      <c r="AT93" s="170"/>
      <c r="AU93" s="184"/>
    </row>
    <row r="94" spans="1:47" ht="60" customHeight="1" x14ac:dyDescent="0.35">
      <c r="A94" s="180" t="s">
        <v>2524</v>
      </c>
      <c r="B94" s="154" t="s">
        <v>2527</v>
      </c>
      <c r="C94" s="155" t="s">
        <v>2545</v>
      </c>
      <c r="D94" s="158" t="s">
        <v>2546</v>
      </c>
      <c r="E94" s="161" t="s">
        <v>2547</v>
      </c>
      <c r="F94" s="164" t="s">
        <v>2305</v>
      </c>
      <c r="G94" s="167" t="str">
        <f>IF(COUNTIF(H94:AU94,"&lt;&gt;")=0,"",SUMPRODUCT(((Recommendations[ImplStatus]="Implemented")+(Recommendations[ImplStatus]="Compensated"))*ISNUMBER(MATCH(Recommendations[Id],H94:AU94,0)))/COUNTIF(H94:AU94,"&lt;&gt;"))</f>
        <v/>
      </c>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2524</v>
      </c>
      <c r="B95" s="153" t="s">
        <v>2548</v>
      </c>
      <c r="C95" s="151" t="s">
        <v>2549</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2524</v>
      </c>
      <c r="B96" s="154" t="s">
        <v>2548</v>
      </c>
      <c r="C96" s="155" t="s">
        <v>2550</v>
      </c>
      <c r="D96" s="158" t="s">
        <v>2551</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2524</v>
      </c>
      <c r="B97" s="154" t="s">
        <v>2548</v>
      </c>
      <c r="C97" s="155" t="s">
        <v>2552</v>
      </c>
      <c r="D97" s="158" t="s">
        <v>2553</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2524</v>
      </c>
      <c r="B98" s="154" t="s">
        <v>2548</v>
      </c>
      <c r="C98" s="155" t="s">
        <v>2554</v>
      </c>
      <c r="D98" s="158" t="s">
        <v>2555</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2524</v>
      </c>
      <c r="B99" s="154" t="s">
        <v>2548</v>
      </c>
      <c r="C99" s="155" t="s">
        <v>2556</v>
      </c>
      <c r="D99" s="158" t="s">
        <v>2557</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2524</v>
      </c>
      <c r="B100" s="154" t="s">
        <v>2548</v>
      </c>
      <c r="C100" s="155" t="s">
        <v>2558</v>
      </c>
      <c r="D100" s="158" t="s">
        <v>2559</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2524</v>
      </c>
      <c r="B101" s="154" t="s">
        <v>2548</v>
      </c>
      <c r="C101" s="155" t="s">
        <v>2560</v>
      </c>
      <c r="D101" s="158" t="s">
        <v>2561</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2524</v>
      </c>
      <c r="B102" s="154" t="s">
        <v>2548</v>
      </c>
      <c r="C102" s="155" t="s">
        <v>2562</v>
      </c>
      <c r="D102" s="158" t="s">
        <v>2563</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2524</v>
      </c>
      <c r="B103" s="153" t="s">
        <v>1708</v>
      </c>
      <c r="C103" s="151" t="s">
        <v>2564</v>
      </c>
      <c r="D103" s="157" t="s">
        <v>2565</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2524</v>
      </c>
      <c r="B104" s="154" t="s">
        <v>1708</v>
      </c>
      <c r="C104" s="155" t="s">
        <v>2566</v>
      </c>
      <c r="D104" s="158" t="s">
        <v>2567</v>
      </c>
      <c r="E104" s="161" t="s">
        <v>2568</v>
      </c>
      <c r="F104" s="164" t="s">
        <v>2301</v>
      </c>
      <c r="G104" s="167" t="str">
        <f>IF(COUNTIF(H104:AU104,"&lt;&gt;")=0,"",SUMPRODUCT(((Recommendations[ImplStatus]="Implemented")+(Recommendations[ImplStatus]="Compensated"))*ISNUMBER(MATCH(Recommendations[Id],H104:AU104,0)))/COUNTIF(H104:AU104,"&lt;&gt;"))</f>
        <v/>
      </c>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2524</v>
      </c>
      <c r="B105" s="154" t="s">
        <v>1708</v>
      </c>
      <c r="C105" s="155" t="s">
        <v>2569</v>
      </c>
      <c r="D105" s="158" t="s">
        <v>2570</v>
      </c>
      <c r="E105" s="161" t="s">
        <v>2571</v>
      </c>
      <c r="F105" s="164" t="s">
        <v>2305</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2524</v>
      </c>
      <c r="B106" s="154" t="s">
        <v>1708</v>
      </c>
      <c r="C106" s="155" t="s">
        <v>2572</v>
      </c>
      <c r="D106" s="158" t="s">
        <v>2573</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2524</v>
      </c>
      <c r="B107" s="154" t="s">
        <v>1708</v>
      </c>
      <c r="C107" s="155" t="s">
        <v>2574</v>
      </c>
      <c r="D107" s="158" t="s">
        <v>2575</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2524</v>
      </c>
      <c r="B108" s="154" t="s">
        <v>1708</v>
      </c>
      <c r="C108" s="155" t="s">
        <v>2576</v>
      </c>
      <c r="D108" s="158" t="s">
        <v>2577</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2524</v>
      </c>
      <c r="B109" s="153" t="s">
        <v>2578</v>
      </c>
      <c r="C109" s="151" t="s">
        <v>2579</v>
      </c>
      <c r="D109" s="157" t="s">
        <v>2580</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2524</v>
      </c>
      <c r="B110" s="154" t="s">
        <v>2578</v>
      </c>
      <c r="C110" s="155" t="s">
        <v>2581</v>
      </c>
      <c r="D110" s="158" t="s">
        <v>2582</v>
      </c>
      <c r="E110" s="161" t="s">
        <v>2583</v>
      </c>
      <c r="F110" s="164" t="s">
        <v>2301</v>
      </c>
      <c r="G110" s="167" t="str">
        <f>IF(COUNTIF(H110:AU110,"&lt;&gt;")=0,"",SUMPRODUCT(((Recommendations[ImplStatus]="Implemented")+(Recommendations[ImplStatus]="Compensated"))*ISNUMBER(MATCH(Recommendations[Id],H110:AU110,0)))/COUNTIF(H110:AU110,"&lt;&gt;"))</f>
        <v/>
      </c>
      <c r="H110" s="170"/>
      <c r="I110" s="170"/>
      <c r="J110" s="170"/>
      <c r="K110" s="170"/>
      <c r="L110" s="170"/>
      <c r="M110" s="170"/>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2524</v>
      </c>
      <c r="B111" s="154" t="s">
        <v>2578</v>
      </c>
      <c r="C111" s="155" t="s">
        <v>2584</v>
      </c>
      <c r="D111" s="158" t="s">
        <v>2585</v>
      </c>
      <c r="E111" s="161" t="s">
        <v>2586</v>
      </c>
      <c r="F111" s="164" t="s">
        <v>2301</v>
      </c>
      <c r="G111" s="167">
        <f>IF(COUNTIF(H111:AU111,"&lt;&gt;")=0,"",SUMPRODUCT(((Recommendations[ImplStatus]="Implemented")+(Recommendations[ImplStatus]="Compensated"))*ISNUMBER(MATCH(Recommendations[Id],H111:AU111,0)))/COUNTIF(H111:AU111,"&lt;&gt;"))</f>
        <v>0</v>
      </c>
      <c r="H111" s="170" t="s">
        <v>14</v>
      </c>
      <c r="I111" s="170" t="s">
        <v>147</v>
      </c>
      <c r="J111" s="170" t="s">
        <v>152</v>
      </c>
      <c r="K111" s="170" t="s">
        <v>310</v>
      </c>
      <c r="L111" s="170" t="s">
        <v>358</v>
      </c>
      <c r="M111" s="170" t="s">
        <v>368</v>
      </c>
      <c r="N111" s="170" t="s">
        <v>378</v>
      </c>
      <c r="O111" s="170"/>
      <c r="P111" s="170"/>
      <c r="Q111" s="170"/>
      <c r="R111" s="170"/>
      <c r="S111" s="170"/>
      <c r="T111" s="170"/>
      <c r="U111" s="170"/>
      <c r="V111" s="170"/>
      <c r="W111" s="170"/>
      <c r="X111" s="170"/>
      <c r="Y111" s="170"/>
      <c r="Z111" s="170"/>
      <c r="AA111" s="170"/>
      <c r="AB111" s="170"/>
      <c r="AC111" s="170"/>
      <c r="AD111" s="170"/>
      <c r="AE111" s="170"/>
      <c r="AF111" s="170"/>
      <c r="AG111" s="170"/>
      <c r="AH111" s="170"/>
      <c r="AI111" s="170"/>
      <c r="AJ111" s="170"/>
      <c r="AK111" s="170"/>
      <c r="AL111" s="170"/>
      <c r="AM111" s="170"/>
      <c r="AN111" s="170"/>
      <c r="AO111" s="170"/>
      <c r="AP111" s="170"/>
      <c r="AQ111" s="170"/>
      <c r="AR111" s="170"/>
      <c r="AS111" s="170"/>
      <c r="AT111" s="170"/>
      <c r="AU111" s="184"/>
    </row>
    <row r="112" spans="1:47" ht="60" customHeight="1" x14ac:dyDescent="0.35">
      <c r="A112" s="180" t="s">
        <v>2524</v>
      </c>
      <c r="B112" s="154" t="s">
        <v>2578</v>
      </c>
      <c r="C112" s="155" t="s">
        <v>2587</v>
      </c>
      <c r="D112" s="158" t="s">
        <v>2588</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2524</v>
      </c>
      <c r="B113" s="154" t="s">
        <v>2578</v>
      </c>
      <c r="C113" s="155" t="s">
        <v>2589</v>
      </c>
      <c r="D113" s="158" t="s">
        <v>2590</v>
      </c>
      <c r="E113" s="161"/>
      <c r="F113" s="164" t="s">
        <v>21</v>
      </c>
      <c r="G113" s="167" t="str">
        <f>IF(COUNTIF(H113:AU113,"&lt;&gt;")=0,"",SUMPRODUCT(((Recommendations[ImplStatus]="Implemented")+(Recommendations[ImplStatus]="Compensated"))*ISNUMBER(MATCH(Recommendations[Id],H113:AU113,0)))/COUNTIF(H113:AU113,"&lt;&gt;"))</f>
        <v/>
      </c>
      <c r="H113" s="170"/>
      <c r="I113" s="170"/>
      <c r="J113" s="170"/>
      <c r="K113" s="170"/>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2524</v>
      </c>
      <c r="B114" s="154" t="s">
        <v>2578</v>
      </c>
      <c r="C114" s="155" t="s">
        <v>2591</v>
      </c>
      <c r="D114" s="158" t="s">
        <v>2592</v>
      </c>
      <c r="E114" s="161"/>
      <c r="F114" s="164" t="s">
        <v>21</v>
      </c>
      <c r="G114" s="167" t="str">
        <f>IF(COUNTIF(H114:AU114,"&lt;&gt;")=0,"",SUMPRODUCT(((Recommendations[ImplStatus]="Implemented")+(Recommendations[ImplStatus]="Compensated"))*ISNUMBER(MATCH(Recommendations[Id],H114:AU114,0)))/COUNTIF(H114:AU114,"&lt;&gt;"))</f>
        <v/>
      </c>
      <c r="H114" s="170"/>
      <c r="I114" s="170"/>
      <c r="J114" s="170"/>
      <c r="K114" s="170"/>
      <c r="L114" s="170"/>
      <c r="M114" s="170"/>
      <c r="N114" s="170"/>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2524</v>
      </c>
      <c r="B115" s="154" t="s">
        <v>2578</v>
      </c>
      <c r="C115" s="155" t="s">
        <v>2593</v>
      </c>
      <c r="D115" s="158" t="s">
        <v>2594</v>
      </c>
      <c r="E115" s="161"/>
      <c r="F115" s="164" t="s">
        <v>21</v>
      </c>
      <c r="G115" s="167">
        <f>IF(COUNTIF(H115:AU115,"&lt;&gt;")=0,"",SUMPRODUCT(((Recommendations[ImplStatus]="Implemented")+(Recommendations[ImplStatus]="Compensated"))*ISNUMBER(MATCH(Recommendations[Id],H115:AU115,0)))/COUNTIF(H115:AU115,"&lt;&gt;"))</f>
        <v>0</v>
      </c>
      <c r="H115" s="170" t="s">
        <v>363</v>
      </c>
      <c r="I115" s="170"/>
      <c r="J115" s="170"/>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2524</v>
      </c>
      <c r="B116" s="154" t="s">
        <v>2578</v>
      </c>
      <c r="C116" s="155" t="s">
        <v>2595</v>
      </c>
      <c r="D116" s="158" t="s">
        <v>2596</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2524</v>
      </c>
      <c r="B117" s="154" t="s">
        <v>2578</v>
      </c>
      <c r="C117" s="155" t="s">
        <v>2597</v>
      </c>
      <c r="D117" s="158" t="s">
        <v>2598</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2524</v>
      </c>
      <c r="B118" s="154" t="s">
        <v>2578</v>
      </c>
      <c r="C118" s="155" t="s">
        <v>2599</v>
      </c>
      <c r="D118" s="158" t="s">
        <v>2600</v>
      </c>
      <c r="E118" s="161" t="s">
        <v>2601</v>
      </c>
      <c r="F118" s="164" t="s">
        <v>2301</v>
      </c>
      <c r="G118" s="167" t="str">
        <f>IF(COUNTIF(H118:AU118,"&lt;&gt;")=0,"",SUMPRODUCT(((Recommendations[ImplStatus]="Implemented")+(Recommendations[ImplStatus]="Compensated"))*ISNUMBER(MATCH(Recommendations[Id],H118:AU118,0)))/COUNTIF(H118:AU118,"&lt;&gt;"))</f>
        <v/>
      </c>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2524</v>
      </c>
      <c r="B119" s="154" t="s">
        <v>2578</v>
      </c>
      <c r="C119" s="155" t="s">
        <v>2602</v>
      </c>
      <c r="D119" s="158" t="s">
        <v>2603</v>
      </c>
      <c r="E119" s="161" t="s">
        <v>2604</v>
      </c>
      <c r="F119" s="164" t="s">
        <v>2301</v>
      </c>
      <c r="G119" s="167">
        <f>IF(COUNTIF(H119:AU119,"&lt;&gt;")=0,"",SUMPRODUCT(((Recommendations[ImplStatus]="Implemented")+(Recommendations[ImplStatus]="Compensated"))*ISNUMBER(MATCH(Recommendations[Id],H119:AU119,0)))/COUNTIF(H119:AU119,"&lt;&gt;"))</f>
        <v>0</v>
      </c>
      <c r="H119" s="170" t="s">
        <v>285</v>
      </c>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2524</v>
      </c>
      <c r="B120" s="153" t="s">
        <v>2605</v>
      </c>
      <c r="C120" s="151" t="s">
        <v>2606</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2524</v>
      </c>
      <c r="B121" s="154" t="s">
        <v>2605</v>
      </c>
      <c r="C121" s="155" t="s">
        <v>2607</v>
      </c>
      <c r="D121" s="158" t="s">
        <v>2608</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2524</v>
      </c>
      <c r="B122" s="154" t="s">
        <v>2605</v>
      </c>
      <c r="C122" s="155" t="s">
        <v>2609</v>
      </c>
      <c r="D122" s="158" t="s">
        <v>2610</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2524</v>
      </c>
      <c r="B123" s="154" t="s">
        <v>2605</v>
      </c>
      <c r="C123" s="155" t="s">
        <v>2611</v>
      </c>
      <c r="D123" s="158" t="s">
        <v>2612</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2524</v>
      </c>
      <c r="B124" s="154" t="s">
        <v>2605</v>
      </c>
      <c r="C124" s="155" t="s">
        <v>2613</v>
      </c>
      <c r="D124" s="158" t="s">
        <v>2614</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2524</v>
      </c>
      <c r="B125" s="154" t="s">
        <v>2605</v>
      </c>
      <c r="C125" s="155" t="s">
        <v>2615</v>
      </c>
      <c r="D125" s="158" t="s">
        <v>2616</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2524</v>
      </c>
      <c r="B126" s="154" t="s">
        <v>2605</v>
      </c>
      <c r="C126" s="155" t="s">
        <v>2617</v>
      </c>
      <c r="D126" s="158" t="s">
        <v>2618</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2524</v>
      </c>
      <c r="B127" s="154" t="s">
        <v>2605</v>
      </c>
      <c r="C127" s="155" t="s">
        <v>2619</v>
      </c>
      <c r="D127" s="158" t="s">
        <v>2620</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2524</v>
      </c>
      <c r="B128" s="154" t="s">
        <v>2605</v>
      </c>
      <c r="C128" s="155" t="s">
        <v>2621</v>
      </c>
      <c r="D128" s="158" t="s">
        <v>2622</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2524</v>
      </c>
      <c r="B129" s="154" t="s">
        <v>2605</v>
      </c>
      <c r="C129" s="155" t="s">
        <v>2623</v>
      </c>
      <c r="D129" s="158" t="s">
        <v>2624</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2524</v>
      </c>
      <c r="B130" s="154" t="s">
        <v>2605</v>
      </c>
      <c r="C130" s="155" t="s">
        <v>2625</v>
      </c>
      <c r="D130" s="158" t="s">
        <v>2626</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2524</v>
      </c>
      <c r="B131" s="154" t="s">
        <v>2605</v>
      </c>
      <c r="C131" s="155" t="s">
        <v>2627</v>
      </c>
      <c r="D131" s="158" t="s">
        <v>2628</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2524</v>
      </c>
      <c r="B132" s="154" t="s">
        <v>2605</v>
      </c>
      <c r="C132" s="155" t="s">
        <v>2629</v>
      </c>
      <c r="D132" s="158" t="s">
        <v>2630</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2524</v>
      </c>
      <c r="B133" s="153" t="s">
        <v>2631</v>
      </c>
      <c r="C133" s="151" t="s">
        <v>2632</v>
      </c>
      <c r="D133" s="157" t="s">
        <v>2633</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2524</v>
      </c>
      <c r="B134" s="154" t="s">
        <v>2631</v>
      </c>
      <c r="C134" s="155" t="s">
        <v>2634</v>
      </c>
      <c r="D134" s="158" t="s">
        <v>2635</v>
      </c>
      <c r="E134" s="161" t="s">
        <v>2636</v>
      </c>
      <c r="F134" s="164" t="s">
        <v>2305</v>
      </c>
      <c r="G134" s="167">
        <f>IF(COUNTIF(H134:AU134,"&lt;&gt;")=0,"",SUMPRODUCT(((Recommendations[ImplStatus]="Implemented")+(Recommendations[ImplStatus]="Compensated"))*ISNUMBER(MATCH(Recommendations[Id],H134:AU134,0)))/COUNTIF(H134:AU134,"&lt;&gt;"))</f>
        <v>0</v>
      </c>
      <c r="H134" s="170" t="s">
        <v>25</v>
      </c>
      <c r="I134" s="170" t="s">
        <v>49</v>
      </c>
      <c r="J134" s="170" t="s">
        <v>61</v>
      </c>
      <c r="K134" s="170" t="s">
        <v>71</v>
      </c>
      <c r="L134" s="170" t="s">
        <v>80</v>
      </c>
      <c r="M134" s="170" t="s">
        <v>142</v>
      </c>
      <c r="N134" s="170" t="s">
        <v>167</v>
      </c>
      <c r="O134" s="170" t="s">
        <v>173</v>
      </c>
      <c r="P134" s="170" t="s">
        <v>250</v>
      </c>
      <c r="Q134" s="170" t="s">
        <v>383</v>
      </c>
      <c r="R134" s="170"/>
      <c r="S134" s="170"/>
      <c r="T134" s="170"/>
      <c r="U134" s="170"/>
      <c r="V134" s="170"/>
      <c r="W134" s="170"/>
      <c r="X134" s="170"/>
      <c r="Y134" s="170"/>
      <c r="Z134" s="170"/>
      <c r="AA134" s="170"/>
      <c r="AB134" s="170"/>
      <c r="AC134" s="170"/>
      <c r="AD134" s="170"/>
      <c r="AE134" s="170"/>
      <c r="AF134" s="170"/>
      <c r="AG134" s="170"/>
      <c r="AH134" s="170"/>
      <c r="AI134" s="170"/>
      <c r="AJ134" s="170"/>
      <c r="AK134" s="170"/>
      <c r="AL134" s="170"/>
      <c r="AM134" s="170"/>
      <c r="AN134" s="170"/>
      <c r="AO134" s="170"/>
      <c r="AP134" s="170"/>
      <c r="AQ134" s="170"/>
      <c r="AR134" s="170"/>
      <c r="AS134" s="170"/>
      <c r="AT134" s="170"/>
      <c r="AU134" s="184"/>
    </row>
    <row r="135" spans="1:47" ht="60" customHeight="1" x14ac:dyDescent="0.35">
      <c r="A135" s="180" t="s">
        <v>2524</v>
      </c>
      <c r="B135" s="154" t="s">
        <v>2631</v>
      </c>
      <c r="C135" s="155" t="s">
        <v>2637</v>
      </c>
      <c r="D135" s="158" t="s">
        <v>2638</v>
      </c>
      <c r="E135" s="161" t="s">
        <v>2639</v>
      </c>
      <c r="F135" s="164" t="s">
        <v>2305</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2524</v>
      </c>
      <c r="B136" s="154" t="s">
        <v>2631</v>
      </c>
      <c r="C136" s="155" t="s">
        <v>2640</v>
      </c>
      <c r="D136" s="158" t="s">
        <v>2641</v>
      </c>
      <c r="E136" s="161" t="s">
        <v>2642</v>
      </c>
      <c r="F136" s="164" t="s">
        <v>2301</v>
      </c>
      <c r="G136" s="167" t="str">
        <f>IF(COUNTIF(H136:AU136,"&lt;&gt;")=0,"",SUMPRODUCT(((Recommendations[ImplStatus]="Implemented")+(Recommendations[ImplStatus]="Compensated"))*ISNUMBER(MATCH(Recommendations[Id],H136:AU136,0)))/COUNTIF(H136:AU136,"&lt;&gt;"))</f>
        <v/>
      </c>
      <c r="H136" s="170"/>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2524</v>
      </c>
      <c r="B137" s="154" t="s">
        <v>2631</v>
      </c>
      <c r="C137" s="155" t="s">
        <v>2643</v>
      </c>
      <c r="D137" s="158" t="s">
        <v>2644</v>
      </c>
      <c r="E137" s="161" t="s">
        <v>2645</v>
      </c>
      <c r="F137" s="164" t="s">
        <v>21</v>
      </c>
      <c r="G137" s="167">
        <f>IF(COUNTIF(H137:AU137,"&lt;&gt;")=0,"",SUMPRODUCT(((Recommendations[ImplStatus]="Implemented")+(Recommendations[ImplStatus]="Compensated"))*ISNUMBER(MATCH(Recommendations[Id],H137:AU137,0)))/COUNTIF(H137:AU137,"&lt;&gt;"))</f>
        <v>0</v>
      </c>
      <c r="H137" s="170" t="s">
        <v>387</v>
      </c>
      <c r="I137" s="170"/>
      <c r="J137" s="170"/>
      <c r="K137" s="170"/>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2524</v>
      </c>
      <c r="B138" s="153" t="s">
        <v>1941</v>
      </c>
      <c r="C138" s="151" t="s">
        <v>2646</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2524</v>
      </c>
      <c r="B139" s="154" t="s">
        <v>1941</v>
      </c>
      <c r="C139" s="155" t="s">
        <v>2647</v>
      </c>
      <c r="D139" s="158" t="s">
        <v>2648</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2524</v>
      </c>
      <c r="B140" s="154" t="s">
        <v>1941</v>
      </c>
      <c r="C140" s="155" t="s">
        <v>2649</v>
      </c>
      <c r="D140" s="158" t="s">
        <v>2650</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2524</v>
      </c>
      <c r="B141" s="153" t="s">
        <v>2651</v>
      </c>
      <c r="C141" s="151" t="s">
        <v>2652</v>
      </c>
      <c r="D141" s="157" t="s">
        <v>2653</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2524</v>
      </c>
      <c r="B142" s="154" t="s">
        <v>2651</v>
      </c>
      <c r="C142" s="155" t="s">
        <v>2654</v>
      </c>
      <c r="D142" s="158" t="s">
        <v>2655</v>
      </c>
      <c r="E142" s="161" t="s">
        <v>2656</v>
      </c>
      <c r="F142" s="164" t="s">
        <v>2301</v>
      </c>
      <c r="G142" s="167" t="str">
        <f>IF(COUNTIF(H142:AU142,"&lt;&gt;")=0,"",SUMPRODUCT(((Recommendations[ImplStatus]="Implemented")+(Recommendations[ImplStatus]="Compensated"))*ISNUMBER(MATCH(Recommendations[Id],H142:AU142,0)))/COUNTIF(H142:AU142,"&lt;&gt;"))</f>
        <v/>
      </c>
      <c r="H142" s="170"/>
      <c r="I142" s="170"/>
      <c r="J142" s="170"/>
      <c r="K142" s="170"/>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c r="AT142" s="170"/>
      <c r="AU142" s="184"/>
    </row>
    <row r="143" spans="1:47" ht="60" customHeight="1" x14ac:dyDescent="0.35">
      <c r="A143" s="180" t="s">
        <v>2524</v>
      </c>
      <c r="B143" s="154" t="s">
        <v>2651</v>
      </c>
      <c r="C143" s="155" t="s">
        <v>2657</v>
      </c>
      <c r="D143" s="158" t="s">
        <v>2658</v>
      </c>
      <c r="E143" s="161" t="s">
        <v>2659</v>
      </c>
      <c r="F143" s="164" t="s">
        <v>2301</v>
      </c>
      <c r="G143" s="167">
        <f>IF(COUNTIF(H143:AU143,"&lt;&gt;")=0,"",SUMPRODUCT(((Recommendations[ImplStatus]="Implemented")+(Recommendations[ImplStatus]="Compensated"))*ISNUMBER(MATCH(Recommendations[Id],H143:AU143,0)))/COUNTIF(H143:AU143,"&lt;&gt;"))</f>
        <v>0</v>
      </c>
      <c r="H143" s="170" t="s">
        <v>265</v>
      </c>
      <c r="I143" s="170" t="s">
        <v>275</v>
      </c>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2524</v>
      </c>
      <c r="B144" s="154" t="s">
        <v>2651</v>
      </c>
      <c r="C144" s="155" t="s">
        <v>2660</v>
      </c>
      <c r="D144" s="158" t="s">
        <v>2661</v>
      </c>
      <c r="E144" s="161" t="s">
        <v>2662</v>
      </c>
      <c r="F144" s="164" t="s">
        <v>2305</v>
      </c>
      <c r="G144" s="167" t="str">
        <f>IF(COUNTIF(H144:AU144,"&lt;&gt;")=0,"",SUMPRODUCT(((Recommendations[ImplStatus]="Implemented")+(Recommendations[ImplStatus]="Compensated"))*ISNUMBER(MATCH(Recommendations[Id],H144:AU144,0)))/COUNTIF(H144:AU144,"&lt;&gt;"))</f>
        <v/>
      </c>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2524</v>
      </c>
      <c r="B145" s="154" t="s">
        <v>2651</v>
      </c>
      <c r="C145" s="155" t="s">
        <v>2663</v>
      </c>
      <c r="D145" s="158" t="s">
        <v>2664</v>
      </c>
      <c r="E145" s="161" t="s">
        <v>2665</v>
      </c>
      <c r="F145" s="164" t="s">
        <v>2301</v>
      </c>
      <c r="G145" s="167">
        <f>IF(COUNTIF(H145:AU145,"&lt;&gt;")=0,"",SUMPRODUCT(((Recommendations[ImplStatus]="Implemented")+(Recommendations[ImplStatus]="Compensated"))*ISNUMBER(MATCH(Recommendations[Id],H145:AU145,0)))/COUNTIF(H145:AU145,"&lt;&gt;"))</f>
        <v>0</v>
      </c>
      <c r="H145" s="170" t="s">
        <v>295</v>
      </c>
      <c r="I145" s="170" t="s">
        <v>300</v>
      </c>
      <c r="J145" s="170"/>
      <c r="K145" s="170"/>
      <c r="L145" s="170"/>
      <c r="M145" s="170"/>
      <c r="N145" s="170"/>
      <c r="O145" s="170"/>
      <c r="P145" s="170"/>
      <c r="Q145" s="170"/>
      <c r="R145" s="170"/>
      <c r="S145" s="170"/>
      <c r="T145" s="170"/>
      <c r="U145" s="170"/>
      <c r="V145" s="170"/>
      <c r="W145" s="170"/>
      <c r="X145" s="170"/>
      <c r="Y145" s="170"/>
      <c r="Z145" s="170"/>
      <c r="AA145" s="170"/>
      <c r="AB145" s="170"/>
      <c r="AC145" s="170"/>
      <c r="AD145" s="170"/>
      <c r="AE145" s="170"/>
      <c r="AF145" s="170"/>
      <c r="AG145" s="170"/>
      <c r="AH145" s="170"/>
      <c r="AI145" s="170"/>
      <c r="AJ145" s="170"/>
      <c r="AK145" s="170"/>
      <c r="AL145" s="170"/>
      <c r="AM145" s="170"/>
      <c r="AN145" s="170"/>
      <c r="AO145" s="170"/>
      <c r="AP145" s="170"/>
      <c r="AQ145" s="170"/>
      <c r="AR145" s="170"/>
      <c r="AS145" s="170"/>
      <c r="AT145" s="170"/>
      <c r="AU145" s="184"/>
    </row>
    <row r="146" spans="1:47" ht="60" customHeight="1" x14ac:dyDescent="0.35">
      <c r="A146" s="180" t="s">
        <v>2524</v>
      </c>
      <c r="B146" s="154" t="s">
        <v>2651</v>
      </c>
      <c r="C146" s="155" t="s">
        <v>2666</v>
      </c>
      <c r="D146" s="158" t="s">
        <v>2667</v>
      </c>
      <c r="E146" s="161" t="s">
        <v>2668</v>
      </c>
      <c r="F146" s="164" t="s">
        <v>2301</v>
      </c>
      <c r="G146" s="167" t="str">
        <f>IF(COUNTIF(H146:AU146,"&lt;&gt;")=0,"",SUMPRODUCT(((Recommendations[ImplStatus]="Implemented")+(Recommendations[ImplStatus]="Compensated"))*ISNUMBER(MATCH(Recommendations[Id],H146:AU146,0)))/COUNTIF(H146:AU146,"&lt;&gt;"))</f>
        <v/>
      </c>
      <c r="H146" s="170"/>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2524</v>
      </c>
      <c r="B147" s="154" t="s">
        <v>2651</v>
      </c>
      <c r="C147" s="155" t="s">
        <v>2669</v>
      </c>
      <c r="D147" s="158" t="s">
        <v>2670</v>
      </c>
      <c r="E147" s="161" t="s">
        <v>2671</v>
      </c>
      <c r="F147" s="164" t="s">
        <v>2301</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2524</v>
      </c>
      <c r="B148" s="153" t="s">
        <v>2672</v>
      </c>
      <c r="C148" s="151" t="s">
        <v>2673</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2524</v>
      </c>
      <c r="B149" s="154" t="s">
        <v>2672</v>
      </c>
      <c r="C149" s="155" t="s">
        <v>2674</v>
      </c>
      <c r="D149" s="158" t="s">
        <v>2675</v>
      </c>
      <c r="E149" s="161"/>
      <c r="F149" s="164" t="s">
        <v>21</v>
      </c>
      <c r="G149" s="167">
        <f>IF(COUNTIF(H149:AU149,"&lt;&gt;")=0,"",SUMPRODUCT(((Recommendations[ImplStatus]="Implemented")+(Recommendations[ImplStatus]="Compensated"))*ISNUMBER(MATCH(Recommendations[Id],H149:AU149,0)))/COUNTIF(H149:AU149,"&lt;&gt;"))</f>
        <v>0</v>
      </c>
      <c r="H149" s="170" t="s">
        <v>90</v>
      </c>
      <c r="I149" s="170" t="s">
        <v>95</v>
      </c>
      <c r="J149" s="170" t="s">
        <v>110</v>
      </c>
      <c r="K149" s="170" t="s">
        <v>113</v>
      </c>
      <c r="L149" s="170" t="s">
        <v>123</v>
      </c>
      <c r="M149" s="170" t="s">
        <v>178</v>
      </c>
      <c r="N149" s="170" t="s">
        <v>183</v>
      </c>
      <c r="O149" s="170" t="s">
        <v>186</v>
      </c>
      <c r="P149" s="170" t="s">
        <v>189</v>
      </c>
      <c r="Q149" s="170" t="s">
        <v>192</v>
      </c>
      <c r="R149" s="170" t="s">
        <v>200</v>
      </c>
      <c r="S149" s="170" t="s">
        <v>205</v>
      </c>
      <c r="T149" s="170" t="s">
        <v>220</v>
      </c>
      <c r="U149" s="170" t="s">
        <v>225</v>
      </c>
      <c r="V149" s="170" t="s">
        <v>228</v>
      </c>
      <c r="W149" s="170" t="s">
        <v>231</v>
      </c>
      <c r="X149" s="170" t="s">
        <v>233</v>
      </c>
      <c r="Y149" s="170" t="s">
        <v>235</v>
      </c>
      <c r="Z149" s="170" t="s">
        <v>237</v>
      </c>
      <c r="AA149" s="170" t="s">
        <v>241</v>
      </c>
      <c r="AB149" s="170" t="s">
        <v>246</v>
      </c>
      <c r="AC149" s="170" t="s">
        <v>255</v>
      </c>
      <c r="AD149" s="170" t="s">
        <v>260</v>
      </c>
      <c r="AE149" s="170" t="s">
        <v>280</v>
      </c>
      <c r="AF149" s="170" t="s">
        <v>315</v>
      </c>
      <c r="AG149" s="170" t="s">
        <v>392</v>
      </c>
      <c r="AH149" s="170" t="s">
        <v>397</v>
      </c>
      <c r="AI149" s="170" t="s">
        <v>402</v>
      </c>
      <c r="AJ149" s="170"/>
      <c r="AK149" s="170"/>
      <c r="AL149" s="170"/>
      <c r="AM149" s="170"/>
      <c r="AN149" s="170"/>
      <c r="AO149" s="170"/>
      <c r="AP149" s="170"/>
      <c r="AQ149" s="170"/>
      <c r="AR149" s="170"/>
      <c r="AS149" s="170"/>
      <c r="AT149" s="170"/>
      <c r="AU149" s="184"/>
    </row>
    <row r="150" spans="1:47" ht="60" customHeight="1" x14ac:dyDescent="0.35">
      <c r="A150" s="180" t="s">
        <v>2524</v>
      </c>
      <c r="B150" s="154" t="s">
        <v>2672</v>
      </c>
      <c r="C150" s="155" t="s">
        <v>2676</v>
      </c>
      <c r="D150" s="158" t="s">
        <v>2677</v>
      </c>
      <c r="E150" s="161"/>
      <c r="F150" s="164" t="s">
        <v>21</v>
      </c>
      <c r="G150" s="167" t="str">
        <f>IF(COUNTIF(H150:AU150,"&lt;&gt;")=0,"",SUMPRODUCT(((Recommendations[ImplStatus]="Implemented")+(Recommendations[ImplStatus]="Compensated"))*ISNUMBER(MATCH(Recommendations[Id],H150:AU150,0)))/COUNTIF(H150:AU150,"&lt;&gt;"))</f>
        <v/>
      </c>
      <c r="H150" s="170"/>
      <c r="I150" s="170"/>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2524</v>
      </c>
      <c r="B151" s="154" t="s">
        <v>2672</v>
      </c>
      <c r="C151" s="155" t="s">
        <v>2678</v>
      </c>
      <c r="D151" s="158" t="s">
        <v>2679</v>
      </c>
      <c r="E151" s="161"/>
      <c r="F151" s="164" t="s">
        <v>21</v>
      </c>
      <c r="G151" s="167" t="str">
        <f>IF(COUNTIF(H151:AU151,"&lt;&gt;")=0,"",SUMPRODUCT(((Recommendations[ImplStatus]="Implemented")+(Recommendations[ImplStatus]="Compensated"))*ISNUMBER(MATCH(Recommendations[Id],H151:AU151,0)))/COUNTIF(H151:AU151,"&lt;&gt;"))</f>
        <v/>
      </c>
      <c r="H151" s="170"/>
      <c r="I151" s="170"/>
      <c r="J151" s="170"/>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2524</v>
      </c>
      <c r="B152" s="154" t="s">
        <v>2672</v>
      </c>
      <c r="C152" s="155" t="s">
        <v>2680</v>
      </c>
      <c r="D152" s="158" t="s">
        <v>2681</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2524</v>
      </c>
      <c r="B153" s="154" t="s">
        <v>2672</v>
      </c>
      <c r="C153" s="155" t="s">
        <v>2682</v>
      </c>
      <c r="D153" s="158" t="s">
        <v>2683</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2684</v>
      </c>
      <c r="B154" s="152" t="s">
        <v>21</v>
      </c>
      <c r="C154" s="150" t="s">
        <v>2685</v>
      </c>
      <c r="D154" s="156" t="s">
        <v>2686</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2684</v>
      </c>
      <c r="B155" s="153" t="s">
        <v>2687</v>
      </c>
      <c r="C155" s="151" t="s">
        <v>2688</v>
      </c>
      <c r="D155" s="157" t="s">
        <v>2689</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2684</v>
      </c>
      <c r="B156" s="154" t="s">
        <v>2687</v>
      </c>
      <c r="C156" s="155" t="s">
        <v>2690</v>
      </c>
      <c r="D156" s="158" t="s">
        <v>2691</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2684</v>
      </c>
      <c r="B157" s="154" t="s">
        <v>2687</v>
      </c>
      <c r="C157" s="155" t="s">
        <v>2692</v>
      </c>
      <c r="D157" s="158" t="s">
        <v>2693</v>
      </c>
      <c r="E157" s="161" t="s">
        <v>2694</v>
      </c>
      <c r="F157" s="164" t="s">
        <v>2301</v>
      </c>
      <c r="G157" s="167" t="str">
        <f>IF(COUNTIF(H157:AU157,"&lt;&gt;")=0,"",SUMPRODUCT(((Recommendations[ImplStatus]="Implemented")+(Recommendations[ImplStatus]="Compensated"))*ISNUMBER(MATCH(Recommendations[Id],H157:AU157,0)))/COUNTIF(H157:AU157,"&lt;&gt;"))</f>
        <v/>
      </c>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2684</v>
      </c>
      <c r="B158" s="154" t="s">
        <v>2687</v>
      </c>
      <c r="C158" s="155" t="s">
        <v>2695</v>
      </c>
      <c r="D158" s="158" t="s">
        <v>2696</v>
      </c>
      <c r="E158" s="161" t="s">
        <v>2697</v>
      </c>
      <c r="F158" s="164" t="s">
        <v>2301</v>
      </c>
      <c r="G158" s="167">
        <f>IF(COUNTIF(H158:AU158,"&lt;&gt;")=0,"",SUMPRODUCT(((Recommendations[ImplStatus]="Implemented")+(Recommendations[ImplStatus]="Compensated"))*ISNUMBER(MATCH(Recommendations[Id],H158:AU158,0)))/COUNTIF(H158:AU158,"&lt;&gt;"))</f>
        <v>0</v>
      </c>
      <c r="H158" s="170" t="s">
        <v>90</v>
      </c>
      <c r="I158" s="170" t="s">
        <v>95</v>
      </c>
      <c r="J158" s="170" t="s">
        <v>110</v>
      </c>
      <c r="K158" s="170" t="s">
        <v>113</v>
      </c>
      <c r="L158" s="170" t="s">
        <v>123</v>
      </c>
      <c r="M158" s="170" t="s">
        <v>225</v>
      </c>
      <c r="N158" s="170" t="s">
        <v>228</v>
      </c>
      <c r="O158" s="170" t="s">
        <v>231</v>
      </c>
      <c r="P158" s="170" t="s">
        <v>233</v>
      </c>
      <c r="Q158" s="170" t="s">
        <v>235</v>
      </c>
      <c r="R158" s="170" t="s">
        <v>237</v>
      </c>
      <c r="S158" s="170" t="s">
        <v>241</v>
      </c>
      <c r="T158" s="170" t="s">
        <v>246</v>
      </c>
      <c r="U158" s="170" t="s">
        <v>260</v>
      </c>
      <c r="V158" s="170" t="s">
        <v>280</v>
      </c>
      <c r="W158" s="170" t="s">
        <v>392</v>
      </c>
      <c r="X158" s="170" t="s">
        <v>402</v>
      </c>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2684</v>
      </c>
      <c r="B159" s="154" t="s">
        <v>2687</v>
      </c>
      <c r="C159" s="155" t="s">
        <v>2698</v>
      </c>
      <c r="D159" s="158" t="s">
        <v>2699</v>
      </c>
      <c r="E159" s="161" t="s">
        <v>2700</v>
      </c>
      <c r="F159" s="164" t="s">
        <v>2301</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2684</v>
      </c>
      <c r="B160" s="154" t="s">
        <v>2687</v>
      </c>
      <c r="C160" s="155" t="s">
        <v>2701</v>
      </c>
      <c r="D160" s="158" t="s">
        <v>2702</v>
      </c>
      <c r="E160" s="161"/>
      <c r="F160" s="164" t="s">
        <v>21</v>
      </c>
      <c r="G160" s="167" t="str">
        <f>IF(COUNTIF(H160:AU160,"&lt;&gt;")=0,"",SUMPRODUCT(((Recommendations[ImplStatus]="Implemented")+(Recommendations[ImplStatus]="Compensated"))*ISNUMBER(MATCH(Recommendations[Id],H160:AU160,0)))/COUNTIF(H160:AU160,"&lt;&gt;"))</f>
        <v/>
      </c>
      <c r="H160" s="170"/>
      <c r="I160" s="170"/>
      <c r="J160" s="170"/>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2684</v>
      </c>
      <c r="B161" s="154" t="s">
        <v>2687</v>
      </c>
      <c r="C161" s="155" t="s">
        <v>2703</v>
      </c>
      <c r="D161" s="158" t="s">
        <v>2704</v>
      </c>
      <c r="E161" s="161" t="s">
        <v>2705</v>
      </c>
      <c r="F161" s="164" t="s">
        <v>2301</v>
      </c>
      <c r="G161" s="167">
        <f>IF(COUNTIF(H161:AU161,"&lt;&gt;")=0,"",SUMPRODUCT(((Recommendations[ImplStatus]="Implemented")+(Recommendations[ImplStatus]="Compensated"))*ISNUMBER(MATCH(Recommendations[Id],H161:AU161,0)))/COUNTIF(H161:AU161,"&lt;&gt;"))</f>
        <v>0</v>
      </c>
      <c r="H161" s="170" t="s">
        <v>66</v>
      </c>
      <c r="I161" s="170" t="s">
        <v>100</v>
      </c>
      <c r="J161" s="170" t="s">
        <v>105</v>
      </c>
      <c r="K161" s="170" t="s">
        <v>118</v>
      </c>
      <c r="L161" s="170"/>
      <c r="M161" s="170"/>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2684</v>
      </c>
      <c r="B162" s="154" t="s">
        <v>2687</v>
      </c>
      <c r="C162" s="155" t="s">
        <v>2706</v>
      </c>
      <c r="D162" s="158" t="s">
        <v>2707</v>
      </c>
      <c r="E162" s="161" t="s">
        <v>2708</v>
      </c>
      <c r="F162" s="164" t="s">
        <v>2301</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2684</v>
      </c>
      <c r="B163" s="154" t="s">
        <v>2687</v>
      </c>
      <c r="C163" s="155" t="s">
        <v>2709</v>
      </c>
      <c r="D163" s="158" t="s">
        <v>2710</v>
      </c>
      <c r="E163" s="161" t="s">
        <v>2711</v>
      </c>
      <c r="F163" s="164" t="s">
        <v>2301</v>
      </c>
      <c r="G163" s="167" t="str">
        <f>IF(COUNTIF(H163:AU163,"&lt;&gt;")=0,"",SUMPRODUCT(((Recommendations[ImplStatus]="Implemented")+(Recommendations[ImplStatus]="Compensated"))*ISNUMBER(MATCH(Recommendations[Id],H163:AU163,0)))/COUNTIF(H163:AU163,"&lt;&gt;"))</f>
        <v/>
      </c>
      <c r="H163" s="170"/>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2684</v>
      </c>
      <c r="B164" s="153" t="s">
        <v>2105</v>
      </c>
      <c r="C164" s="151" t="s">
        <v>2712</v>
      </c>
      <c r="D164" s="157" t="s">
        <v>2713</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2684</v>
      </c>
      <c r="B165" s="154" t="s">
        <v>2105</v>
      </c>
      <c r="C165" s="155" t="s">
        <v>2714</v>
      </c>
      <c r="D165" s="158" t="s">
        <v>2715</v>
      </c>
      <c r="E165" s="161" t="s">
        <v>2716</v>
      </c>
      <c r="F165" s="164" t="s">
        <v>2301</v>
      </c>
      <c r="G165" s="167">
        <f>IF(COUNTIF(H165:AU165,"&lt;&gt;")=0,"",SUMPRODUCT(((Recommendations[ImplStatus]="Implemented")+(Recommendations[ImplStatus]="Compensated"))*ISNUMBER(MATCH(Recommendations[Id],H165:AU165,0)))/COUNTIF(H165:AU165,"&lt;&gt;"))</f>
        <v>0</v>
      </c>
      <c r="H165" s="170" t="s">
        <v>30</v>
      </c>
      <c r="I165" s="170" t="s">
        <v>35</v>
      </c>
      <c r="J165" s="170" t="s">
        <v>40</v>
      </c>
      <c r="K165" s="170" t="s">
        <v>45</v>
      </c>
      <c r="L165" s="170" t="s">
        <v>55</v>
      </c>
      <c r="M165" s="170" t="s">
        <v>75</v>
      </c>
      <c r="N165" s="170" t="s">
        <v>85</v>
      </c>
      <c r="O165" s="170" t="s">
        <v>128</v>
      </c>
      <c r="P165" s="170" t="s">
        <v>157</v>
      </c>
      <c r="Q165" s="170" t="s">
        <v>162</v>
      </c>
      <c r="R165" s="170" t="s">
        <v>387</v>
      </c>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2684</v>
      </c>
      <c r="B166" s="154" t="s">
        <v>2105</v>
      </c>
      <c r="C166" s="155" t="s">
        <v>2717</v>
      </c>
      <c r="D166" s="158" t="s">
        <v>2718</v>
      </c>
      <c r="E166" s="161" t="s">
        <v>2719</v>
      </c>
      <c r="F166" s="164" t="s">
        <v>2301</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2684</v>
      </c>
      <c r="B167" s="154" t="s">
        <v>2105</v>
      </c>
      <c r="C167" s="155" t="s">
        <v>2720</v>
      </c>
      <c r="D167" s="158" t="s">
        <v>2721</v>
      </c>
      <c r="E167" s="161" t="s">
        <v>2722</v>
      </c>
      <c r="F167" s="164" t="s">
        <v>2301</v>
      </c>
      <c r="G167" s="167" t="str">
        <f>IF(COUNTIF(H167:AU167,"&lt;&gt;")=0,"",SUMPRODUCT(((Recommendations[ImplStatus]="Implemented")+(Recommendations[ImplStatus]="Compensated"))*ISNUMBER(MATCH(Recommendations[Id],H167:AU167,0)))/COUNTIF(H167:AU167,"&lt;&gt;"))</f>
        <v/>
      </c>
      <c r="H167" s="170"/>
      <c r="I167" s="170"/>
      <c r="J167" s="170"/>
      <c r="K167" s="170"/>
      <c r="L167" s="170"/>
      <c r="M167" s="170"/>
      <c r="N167" s="170"/>
      <c r="O167" s="170"/>
      <c r="P167" s="170"/>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170"/>
      <c r="AM167" s="170"/>
      <c r="AN167" s="170"/>
      <c r="AO167" s="170"/>
      <c r="AP167" s="170"/>
      <c r="AQ167" s="170"/>
      <c r="AR167" s="170"/>
      <c r="AS167" s="170"/>
      <c r="AT167" s="170"/>
      <c r="AU167" s="184"/>
    </row>
    <row r="168" spans="1:47" ht="60" customHeight="1" x14ac:dyDescent="0.35">
      <c r="A168" s="180" t="s">
        <v>2684</v>
      </c>
      <c r="B168" s="154" t="s">
        <v>2105</v>
      </c>
      <c r="C168" s="155" t="s">
        <v>2723</v>
      </c>
      <c r="D168" s="158" t="s">
        <v>2724</v>
      </c>
      <c r="E168" s="161"/>
      <c r="F168" s="164" t="s">
        <v>21</v>
      </c>
      <c r="G168" s="167">
        <f>IF(COUNTIF(H168:AU168,"&lt;&gt;")=0,"",SUMPRODUCT(((Recommendations[ImplStatus]="Implemented")+(Recommendations[ImplStatus]="Compensated"))*ISNUMBER(MATCH(Recommendations[Id],H168:AU168,0)))/COUNTIF(H168:AU168,"&lt;&gt;"))</f>
        <v>0</v>
      </c>
      <c r="H168" s="170" t="s">
        <v>35</v>
      </c>
      <c r="I168" s="170" t="s">
        <v>40</v>
      </c>
      <c r="J168" s="170" t="s">
        <v>45</v>
      </c>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2684</v>
      </c>
      <c r="B169" s="154" t="s">
        <v>2105</v>
      </c>
      <c r="C169" s="155" t="s">
        <v>2725</v>
      </c>
      <c r="D169" s="158" t="s">
        <v>2726</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2684</v>
      </c>
      <c r="B170" s="154" t="s">
        <v>2105</v>
      </c>
      <c r="C170" s="155" t="s">
        <v>2727</v>
      </c>
      <c r="D170" s="158" t="s">
        <v>2728</v>
      </c>
      <c r="E170" s="161" t="s">
        <v>2729</v>
      </c>
      <c r="F170" s="164" t="s">
        <v>2315</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2684</v>
      </c>
      <c r="B171" s="154" t="s">
        <v>2105</v>
      </c>
      <c r="C171" s="155" t="s">
        <v>2730</v>
      </c>
      <c r="D171" s="158" t="s">
        <v>2731</v>
      </c>
      <c r="E171" s="161"/>
      <c r="F171" s="164" t="s">
        <v>21</v>
      </c>
      <c r="G171" s="167" t="str">
        <f>IF(COUNTIF(H171:AU171,"&lt;&gt;")=0,"",SUMPRODUCT(((Recommendations[ImplStatus]="Implemented")+(Recommendations[ImplStatus]="Compensated"))*ISNUMBER(MATCH(Recommendations[Id],H171:AU171,0)))/COUNTIF(H171:AU171,"&lt;&gt;"))</f>
        <v/>
      </c>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2684</v>
      </c>
      <c r="B172" s="154" t="s">
        <v>2105</v>
      </c>
      <c r="C172" s="155" t="s">
        <v>2732</v>
      </c>
      <c r="D172" s="158" t="s">
        <v>2733</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2684</v>
      </c>
      <c r="B173" s="154" t="s">
        <v>2105</v>
      </c>
      <c r="C173" s="155" t="s">
        <v>2734</v>
      </c>
      <c r="D173" s="158" t="s">
        <v>2735</v>
      </c>
      <c r="E173" s="161" t="s">
        <v>2736</v>
      </c>
      <c r="F173" s="164" t="s">
        <v>2301</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2684</v>
      </c>
      <c r="B174" s="153" t="s">
        <v>2737</v>
      </c>
      <c r="C174" s="151" t="s">
        <v>2738</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2684</v>
      </c>
      <c r="B175" s="154" t="s">
        <v>2737</v>
      </c>
      <c r="C175" s="155" t="s">
        <v>2739</v>
      </c>
      <c r="D175" s="158" t="s">
        <v>2740</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2684</v>
      </c>
      <c r="B176" s="154" t="s">
        <v>2737</v>
      </c>
      <c r="C176" s="155" t="s">
        <v>2741</v>
      </c>
      <c r="D176" s="158" t="s">
        <v>2742</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2684</v>
      </c>
      <c r="B177" s="154" t="s">
        <v>2737</v>
      </c>
      <c r="C177" s="155" t="s">
        <v>2743</v>
      </c>
      <c r="D177" s="158" t="s">
        <v>2744</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2684</v>
      </c>
      <c r="B178" s="154" t="s">
        <v>2737</v>
      </c>
      <c r="C178" s="155" t="s">
        <v>2745</v>
      </c>
      <c r="D178" s="158" t="s">
        <v>2746</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2684</v>
      </c>
      <c r="B179" s="154" t="s">
        <v>2737</v>
      </c>
      <c r="C179" s="155" t="s">
        <v>2747</v>
      </c>
      <c r="D179" s="158" t="s">
        <v>2748</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2749</v>
      </c>
      <c r="B180" s="152" t="s">
        <v>21</v>
      </c>
      <c r="C180" s="150" t="s">
        <v>2750</v>
      </c>
      <c r="D180" s="156" t="s">
        <v>2751</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2749</v>
      </c>
      <c r="B181" s="153" t="s">
        <v>2752</v>
      </c>
      <c r="C181" s="151" t="s">
        <v>2753</v>
      </c>
      <c r="D181" s="157" t="s">
        <v>2754</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2749</v>
      </c>
      <c r="B182" s="154" t="s">
        <v>2752</v>
      </c>
      <c r="C182" s="155" t="s">
        <v>2755</v>
      </c>
      <c r="D182" s="158" t="s">
        <v>2756</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2749</v>
      </c>
      <c r="B183" s="154" t="s">
        <v>2752</v>
      </c>
      <c r="C183" s="155" t="s">
        <v>2757</v>
      </c>
      <c r="D183" s="158" t="s">
        <v>2758</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2749</v>
      </c>
      <c r="B184" s="154" t="s">
        <v>2752</v>
      </c>
      <c r="C184" s="155" t="s">
        <v>2759</v>
      </c>
      <c r="D184" s="158" t="s">
        <v>2760</v>
      </c>
      <c r="E184" s="161" t="s">
        <v>2761</v>
      </c>
      <c r="F184" s="164" t="s">
        <v>2301</v>
      </c>
      <c r="G184" s="167" t="str">
        <f>IF(COUNTIF(H184:AU184,"&lt;&gt;")=0,"",SUMPRODUCT(((Recommendations[ImplStatus]="Implemented")+(Recommendations[ImplStatus]="Compensated"))*ISNUMBER(MATCH(Recommendations[Id],H184:AU184,0)))/COUNTIF(H184:AU184,"&lt;&gt;"))</f>
        <v/>
      </c>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2749</v>
      </c>
      <c r="B185" s="154" t="s">
        <v>2752</v>
      </c>
      <c r="C185" s="155" t="s">
        <v>2762</v>
      </c>
      <c r="D185" s="158" t="s">
        <v>2763</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2749</v>
      </c>
      <c r="B186" s="154" t="s">
        <v>2752</v>
      </c>
      <c r="C186" s="155" t="s">
        <v>2764</v>
      </c>
      <c r="D186" s="158" t="s">
        <v>2765</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2749</v>
      </c>
      <c r="B187" s="154" t="s">
        <v>2752</v>
      </c>
      <c r="C187" s="155" t="s">
        <v>2766</v>
      </c>
      <c r="D187" s="158" t="s">
        <v>2767</v>
      </c>
      <c r="E187" s="161" t="s">
        <v>2768</v>
      </c>
      <c r="F187" s="164" t="s">
        <v>2301</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2749</v>
      </c>
      <c r="B188" s="154" t="s">
        <v>2752</v>
      </c>
      <c r="C188" s="155" t="s">
        <v>2769</v>
      </c>
      <c r="D188" s="158" t="s">
        <v>2770</v>
      </c>
      <c r="E188" s="161" t="s">
        <v>2771</v>
      </c>
      <c r="F188" s="164" t="s">
        <v>2301</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2749</v>
      </c>
      <c r="B189" s="154" t="s">
        <v>2752</v>
      </c>
      <c r="C189" s="155" t="s">
        <v>2772</v>
      </c>
      <c r="D189" s="158" t="s">
        <v>2773</v>
      </c>
      <c r="E189" s="161" t="s">
        <v>2774</v>
      </c>
      <c r="F189" s="164" t="s">
        <v>2301</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2749</v>
      </c>
      <c r="B190" s="153" t="s">
        <v>2775</v>
      </c>
      <c r="C190" s="151" t="s">
        <v>2776</v>
      </c>
      <c r="D190" s="157" t="s">
        <v>2777</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2749</v>
      </c>
      <c r="B191" s="154" t="s">
        <v>2775</v>
      </c>
      <c r="C191" s="155" t="s">
        <v>2778</v>
      </c>
      <c r="D191" s="158" t="s">
        <v>2779</v>
      </c>
      <c r="E191" s="161"/>
      <c r="F191" s="164" t="s">
        <v>21</v>
      </c>
      <c r="G191" s="167">
        <f>IF(COUNTIF(H191:AU191,"&lt;&gt;")=0,"",SUMPRODUCT(((Recommendations[ImplStatus]="Implemented")+(Recommendations[ImplStatus]="Compensated"))*ISNUMBER(MATCH(Recommendations[Id],H191:AU191,0)))/COUNTIF(H191:AU191,"&lt;&gt;"))</f>
        <v>0</v>
      </c>
      <c r="H191" s="170" t="s">
        <v>66</v>
      </c>
      <c r="I191" s="170" t="s">
        <v>100</v>
      </c>
      <c r="J191" s="170" t="s">
        <v>105</v>
      </c>
      <c r="K191" s="170" t="s">
        <v>118</v>
      </c>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2749</v>
      </c>
      <c r="B192" s="154" t="s">
        <v>2775</v>
      </c>
      <c r="C192" s="155" t="s">
        <v>2780</v>
      </c>
      <c r="D192" s="158" t="s">
        <v>2781</v>
      </c>
      <c r="E192" s="161" t="s">
        <v>2782</v>
      </c>
      <c r="F192" s="164" t="s">
        <v>2305</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2749</v>
      </c>
      <c r="B193" s="154" t="s">
        <v>2775</v>
      </c>
      <c r="C193" s="155" t="s">
        <v>2783</v>
      </c>
      <c r="D193" s="158" t="s">
        <v>2784</v>
      </c>
      <c r="E193" s="161" t="s">
        <v>2785</v>
      </c>
      <c r="F193" s="164" t="s">
        <v>2305</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2749</v>
      </c>
      <c r="B194" s="154" t="s">
        <v>2775</v>
      </c>
      <c r="C194" s="155" t="s">
        <v>2786</v>
      </c>
      <c r="D194" s="158" t="s">
        <v>2787</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2749</v>
      </c>
      <c r="B195" s="154" t="s">
        <v>2775</v>
      </c>
      <c r="C195" s="155" t="s">
        <v>2788</v>
      </c>
      <c r="D195" s="158" t="s">
        <v>2789</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2749</v>
      </c>
      <c r="B196" s="153" t="s">
        <v>2790</v>
      </c>
      <c r="C196" s="151" t="s">
        <v>2791</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2749</v>
      </c>
      <c r="B197" s="154" t="s">
        <v>2790</v>
      </c>
      <c r="C197" s="155" t="s">
        <v>2792</v>
      </c>
      <c r="D197" s="158" t="s">
        <v>2793</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2749</v>
      </c>
      <c r="B198" s="154" t="s">
        <v>2790</v>
      </c>
      <c r="C198" s="155" t="s">
        <v>2794</v>
      </c>
      <c r="D198" s="158" t="s">
        <v>2795</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2749</v>
      </c>
      <c r="B199" s="153" t="s">
        <v>2796</v>
      </c>
      <c r="C199" s="151" t="s">
        <v>2797</v>
      </c>
      <c r="D199" s="157" t="s">
        <v>2798</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2749</v>
      </c>
      <c r="B200" s="154" t="s">
        <v>2796</v>
      </c>
      <c r="C200" s="155" t="s">
        <v>2799</v>
      </c>
      <c r="D200" s="158" t="s">
        <v>2800</v>
      </c>
      <c r="E200" s="161" t="s">
        <v>2801</v>
      </c>
      <c r="F200" s="164" t="s">
        <v>2315</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2749</v>
      </c>
      <c r="B201" s="154" t="s">
        <v>2796</v>
      </c>
      <c r="C201" s="155" t="s">
        <v>2802</v>
      </c>
      <c r="D201" s="158" t="s">
        <v>2803</v>
      </c>
      <c r="E201" s="161" t="s">
        <v>2804</v>
      </c>
      <c r="F201" s="164" t="s">
        <v>2301</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2749</v>
      </c>
      <c r="B202" s="154" t="s">
        <v>2796</v>
      </c>
      <c r="C202" s="155" t="s">
        <v>2805</v>
      </c>
      <c r="D202" s="158" t="s">
        <v>2806</v>
      </c>
      <c r="E202" s="161" t="s">
        <v>2807</v>
      </c>
      <c r="F202" s="164" t="s">
        <v>2301</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2749</v>
      </c>
      <c r="B203" s="154" t="s">
        <v>2796</v>
      </c>
      <c r="C203" s="155" t="s">
        <v>2808</v>
      </c>
      <c r="D203" s="158" t="s">
        <v>2809</v>
      </c>
      <c r="E203" s="161" t="s">
        <v>2810</v>
      </c>
      <c r="F203" s="164" t="s">
        <v>2301</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2749</v>
      </c>
      <c r="B204" s="154" t="s">
        <v>2796</v>
      </c>
      <c r="C204" s="155" t="s">
        <v>2811</v>
      </c>
      <c r="D204" s="158" t="s">
        <v>2812</v>
      </c>
      <c r="E204" s="161" t="s">
        <v>2813</v>
      </c>
      <c r="F204" s="164" t="s">
        <v>2301</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2749</v>
      </c>
      <c r="B205" s="153" t="s">
        <v>2814</v>
      </c>
      <c r="C205" s="151" t="s">
        <v>2815</v>
      </c>
      <c r="D205" s="157" t="s">
        <v>2816</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2749</v>
      </c>
      <c r="B206" s="154" t="s">
        <v>2814</v>
      </c>
      <c r="C206" s="155" t="s">
        <v>2817</v>
      </c>
      <c r="D206" s="158" t="s">
        <v>2818</v>
      </c>
      <c r="E206" s="161" t="s">
        <v>2819</v>
      </c>
      <c r="F206" s="164" t="s">
        <v>2305</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2749</v>
      </c>
      <c r="B207" s="154" t="s">
        <v>2814</v>
      </c>
      <c r="C207" s="155" t="s">
        <v>2820</v>
      </c>
      <c r="D207" s="158" t="s">
        <v>2821</v>
      </c>
      <c r="E207" s="161" t="s">
        <v>2822</v>
      </c>
      <c r="F207" s="164" t="s">
        <v>2305</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2749</v>
      </c>
      <c r="B208" s="154" t="s">
        <v>2814</v>
      </c>
      <c r="C208" s="155" t="s">
        <v>2823</v>
      </c>
      <c r="D208" s="158" t="s">
        <v>2824</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2749</v>
      </c>
      <c r="B209" s="153" t="s">
        <v>2825</v>
      </c>
      <c r="C209" s="151" t="s">
        <v>2826</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2749</v>
      </c>
      <c r="B210" s="154" t="s">
        <v>2825</v>
      </c>
      <c r="C210" s="155" t="s">
        <v>2827</v>
      </c>
      <c r="D210" s="158" t="s">
        <v>2828</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2829</v>
      </c>
      <c r="B211" s="152" t="s">
        <v>21</v>
      </c>
      <c r="C211" s="150" t="s">
        <v>2830</v>
      </c>
      <c r="D211" s="156" t="s">
        <v>2831</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2829</v>
      </c>
      <c r="B212" s="153" t="s">
        <v>2832</v>
      </c>
      <c r="C212" s="151" t="s">
        <v>2833</v>
      </c>
      <c r="D212" s="157" t="s">
        <v>2834</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2829</v>
      </c>
      <c r="B213" s="154" t="s">
        <v>2832</v>
      </c>
      <c r="C213" s="155" t="s">
        <v>2835</v>
      </c>
      <c r="D213" s="158" t="s">
        <v>2836</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2829</v>
      </c>
      <c r="B214" s="154" t="s">
        <v>2832</v>
      </c>
      <c r="C214" s="155" t="s">
        <v>2837</v>
      </c>
      <c r="D214" s="158" t="s">
        <v>2838</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2829</v>
      </c>
      <c r="B215" s="154" t="s">
        <v>2832</v>
      </c>
      <c r="C215" s="155" t="s">
        <v>2839</v>
      </c>
      <c r="D215" s="158" t="s">
        <v>2840</v>
      </c>
      <c r="E215" s="161" t="s">
        <v>2841</v>
      </c>
      <c r="F215" s="164" t="s">
        <v>2305</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2829</v>
      </c>
      <c r="B216" s="154" t="s">
        <v>2832</v>
      </c>
      <c r="C216" s="155" t="s">
        <v>2842</v>
      </c>
      <c r="D216" s="158" t="s">
        <v>2843</v>
      </c>
      <c r="E216" s="161" t="s">
        <v>2844</v>
      </c>
      <c r="F216" s="164" t="s">
        <v>2301</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2829</v>
      </c>
      <c r="B217" s="153" t="s">
        <v>2790</v>
      </c>
      <c r="C217" s="151" t="s">
        <v>2845</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2829</v>
      </c>
      <c r="B218" s="154" t="s">
        <v>2790</v>
      </c>
      <c r="C218" s="155" t="s">
        <v>2846</v>
      </c>
      <c r="D218" s="158" t="s">
        <v>2847</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2829</v>
      </c>
      <c r="B219" s="154" t="s">
        <v>2790</v>
      </c>
      <c r="C219" s="155" t="s">
        <v>2848</v>
      </c>
      <c r="D219" s="158" t="s">
        <v>2849</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2829</v>
      </c>
      <c r="B220" s="153" t="s">
        <v>2850</v>
      </c>
      <c r="C220" s="151" t="s">
        <v>2851</v>
      </c>
      <c r="D220" s="157" t="s">
        <v>2852</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2829</v>
      </c>
      <c r="B221" s="154" t="s">
        <v>2850</v>
      </c>
      <c r="C221" s="155" t="s">
        <v>2853</v>
      </c>
      <c r="D221" s="158" t="s">
        <v>2854</v>
      </c>
      <c r="E221" s="161" t="s">
        <v>2855</v>
      </c>
      <c r="F221" s="164" t="s">
        <v>2301</v>
      </c>
      <c r="G221" s="167">
        <f>IF(COUNTIF(H221:AU221,"&lt;&gt;")=0,"",SUMPRODUCT(((Recommendations[ImplStatus]="Implemented")+(Recommendations[ImplStatus]="Compensated"))*ISNUMBER(MATCH(Recommendations[Id],H221:AU221,0)))/COUNTIF(H221:AU221,"&lt;&gt;"))</f>
        <v>0</v>
      </c>
      <c r="H221" s="170" t="s">
        <v>285</v>
      </c>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2829</v>
      </c>
      <c r="B222" s="154" t="s">
        <v>2850</v>
      </c>
      <c r="C222" s="155" t="s">
        <v>2856</v>
      </c>
      <c r="D222" s="158" t="s">
        <v>2857</v>
      </c>
      <c r="E222" s="161" t="s">
        <v>2858</v>
      </c>
      <c r="F222" s="164" t="s">
        <v>2301</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2829</v>
      </c>
      <c r="B223" s="154" t="s">
        <v>2850</v>
      </c>
      <c r="C223" s="155" t="s">
        <v>2859</v>
      </c>
      <c r="D223" s="158" t="s">
        <v>2860</v>
      </c>
      <c r="E223" s="161" t="s">
        <v>2861</v>
      </c>
      <c r="F223" s="164" t="s">
        <v>2301</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2829</v>
      </c>
      <c r="B224" s="154" t="s">
        <v>2850</v>
      </c>
      <c r="C224" s="155" t="s">
        <v>2862</v>
      </c>
      <c r="D224" s="158" t="s">
        <v>2863</v>
      </c>
      <c r="E224" s="161" t="s">
        <v>2864</v>
      </c>
      <c r="F224" s="164" t="s">
        <v>2301</v>
      </c>
      <c r="G224" s="167" t="str">
        <f>IF(COUNTIF(H224:AU224,"&lt;&gt;")=0,"",SUMPRODUCT(((Recommendations[ImplStatus]="Implemented")+(Recommendations[ImplStatus]="Compensated"))*ISNUMBER(MATCH(Recommendations[Id],H224:AU224,0)))/COUNTIF(H224:AU224,"&lt;&gt;"))</f>
        <v/>
      </c>
      <c r="H224" s="170"/>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2829</v>
      </c>
      <c r="B225" s="154" t="s">
        <v>2850</v>
      </c>
      <c r="C225" s="155" t="s">
        <v>2865</v>
      </c>
      <c r="D225" s="158" t="s">
        <v>2866</v>
      </c>
      <c r="E225" s="161" t="s">
        <v>2867</v>
      </c>
      <c r="F225" s="164" t="s">
        <v>2301</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2829</v>
      </c>
      <c r="B226" s="171" t="s">
        <v>2850</v>
      </c>
      <c r="C226" s="172" t="s">
        <v>2868</v>
      </c>
      <c r="D226" s="173" t="s">
        <v>2869</v>
      </c>
      <c r="E226" s="174" t="s">
        <v>2870</v>
      </c>
      <c r="F226" s="175" t="s">
        <v>2301</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407</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IFERROR(INDEX('Recommendations'!$H$2:$H$84, MATCH(H2,'Recommendations'!$A$2:$A$84,0))="Implemented", FALSE))</xm:f>
            <x14:dxf>
              <font>
                <color rgb="FF000000"/>
              </font>
              <fill>
                <patternFill>
                  <bgColor rgb="FF3C7D22"/>
                </patternFill>
              </fill>
            </x14:dxf>
          </x14:cfRule>
          <x14:cfRule type="expression" priority="2" id="{00000000-000E-0000-0700-000002000000}">
            <xm:f>AND(H2&lt;&gt;"", IFERROR(INDEX('Recommendations'!$H$2:$H$84, MATCH(H2,'Recommendations'!$A$2:$A$84,0))="Compensated", FALSE))</xm:f>
            <x14:dxf>
              <font>
                <color rgb="FF000000"/>
              </font>
              <fill>
                <patternFill>
                  <bgColor rgb="FFC6E0B4"/>
                </patternFill>
              </fill>
            </x14:dxf>
          </x14:cfRule>
          <x14:cfRule type="expression" priority="3" id="{00000000-000E-0000-0700-000003000000}">
            <xm:f>AND(H2&lt;&gt;"", IFERROR(INDEX('Recommendations'!$H$2:$H$84, MATCH(H2,'Recommendations'!$A$2:$A$84,0))="Testing", FALSE))</xm:f>
            <x14:dxf>
              <font>
                <color rgb="FF000000"/>
              </font>
              <fill>
                <patternFill>
                  <bgColor rgb="FFFFC000"/>
                </patternFill>
              </fill>
            </x14:dxf>
          </x14:cfRule>
          <x14:cfRule type="expression" priority="4" id="{00000000-000E-0000-0700-000004000000}">
            <xm:f>AND(H2&lt;&gt;"", IFERROR(INDEX('Recommendations'!$H$2:$H$84, MATCH(H2,'Recommendations'!$A$2:$A$84,0))="Failed", FALSE))</xm:f>
            <x14:dxf>
              <font>
                <color rgb="FF000000"/>
              </font>
              <fill>
                <patternFill>
                  <bgColor rgb="FFD82891"/>
                </patternFill>
              </fill>
            </x14:dxf>
          </x14:cfRule>
          <x14:cfRule type="expression" priority="5" id="{00000000-000E-0000-0700-000005000000}">
            <xm:f>AND(H2&lt;&gt;"", IFERROR(INDEX('Recommendations'!$H$2:$H$84, MATCH(H2,'Recommendations'!$A$2:$A$84,0))="Risk Accepted", FALSE))</xm:f>
            <x14:dxf>
              <font>
                <color rgb="FF000000"/>
              </font>
              <fill>
                <patternFill>
                  <bgColor rgb="FFD9D9D9"/>
                </patternFill>
              </fill>
            </x14:dxf>
          </x14:cfRule>
          <x14:cfRule type="expression" priority="6" id="{00000000-000E-0000-0700-000006000000}">
            <xm:f>AND(H2&lt;&gt;"", IFERROR(INDEX('Recommendations'!$H$2:$H$84, MATCH(H2,'Recommendations'!$A$2:$A$84,0))="N/A",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2288</v>
      </c>
      <c r="B1" s="210" t="s">
        <v>2871</v>
      </c>
      <c r="C1" s="210" t="s">
        <v>2872</v>
      </c>
      <c r="D1" s="210" t="s">
        <v>2873</v>
      </c>
      <c r="E1" s="210" t="s">
        <v>1597</v>
      </c>
      <c r="F1" s="210" t="s">
        <v>656</v>
      </c>
      <c r="G1" s="210" t="s">
        <v>657</v>
      </c>
      <c r="H1" s="210" t="s">
        <v>658</v>
      </c>
      <c r="I1" s="210" t="s">
        <v>659</v>
      </c>
      <c r="J1" s="210" t="s">
        <v>660</v>
      </c>
      <c r="K1" s="210" t="s">
        <v>661</v>
      </c>
      <c r="L1" s="210" t="s">
        <v>662</v>
      </c>
      <c r="M1" s="210" t="s">
        <v>663</v>
      </c>
      <c r="N1" s="210" t="s">
        <v>664</v>
      </c>
      <c r="O1" s="210" t="s">
        <v>665</v>
      </c>
      <c r="P1" s="210" t="s">
        <v>666</v>
      </c>
      <c r="Q1" s="210" t="s">
        <v>667</v>
      </c>
      <c r="R1" s="210" t="s">
        <v>668</v>
      </c>
      <c r="S1" s="210" t="s">
        <v>669</v>
      </c>
      <c r="T1" s="210" t="s">
        <v>670</v>
      </c>
      <c r="U1" s="210" t="s">
        <v>671</v>
      </c>
      <c r="V1" s="210" t="s">
        <v>672</v>
      </c>
      <c r="W1" s="210" t="s">
        <v>673</v>
      </c>
      <c r="X1" s="210" t="s">
        <v>674</v>
      </c>
      <c r="Y1" s="210" t="s">
        <v>675</v>
      </c>
      <c r="Z1" s="210" t="s">
        <v>676</v>
      </c>
      <c r="AA1" s="210" t="s">
        <v>677</v>
      </c>
      <c r="AB1" s="210" t="s">
        <v>678</v>
      </c>
      <c r="AC1" s="210" t="s">
        <v>679</v>
      </c>
      <c r="AD1" s="210" t="s">
        <v>680</v>
      </c>
      <c r="AE1" s="210" t="s">
        <v>681</v>
      </c>
      <c r="AF1" s="210" t="s">
        <v>682</v>
      </c>
      <c r="AG1" s="210" t="s">
        <v>683</v>
      </c>
      <c r="AH1" s="210" t="s">
        <v>684</v>
      </c>
      <c r="AI1" s="210" t="s">
        <v>685</v>
      </c>
      <c r="AJ1" s="210" t="s">
        <v>686</v>
      </c>
      <c r="AK1" s="210" t="s">
        <v>687</v>
      </c>
      <c r="AL1" s="210" t="s">
        <v>688</v>
      </c>
      <c r="AM1" s="210" t="s">
        <v>689</v>
      </c>
      <c r="AN1" s="210" t="s">
        <v>690</v>
      </c>
      <c r="AO1" s="210" t="s">
        <v>691</v>
      </c>
      <c r="AP1" s="210" t="s">
        <v>692</v>
      </c>
      <c r="AQ1" s="210" t="s">
        <v>693</v>
      </c>
      <c r="AR1" s="210" t="s">
        <v>694</v>
      </c>
      <c r="AS1" s="210" t="s">
        <v>695</v>
      </c>
      <c r="AT1" s="211" t="s">
        <v>696</v>
      </c>
    </row>
    <row r="2" spans="1:46" ht="60" customHeight="1" outlineLevel="1" x14ac:dyDescent="0.35">
      <c r="A2" s="203" t="s">
        <v>497</v>
      </c>
      <c r="B2" s="189" t="s">
        <v>2874</v>
      </c>
      <c r="C2" s="189"/>
      <c r="D2" s="192" t="s">
        <v>2875</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497</v>
      </c>
      <c r="B3" s="190" t="s">
        <v>2874</v>
      </c>
      <c r="C3" s="191" t="s">
        <v>2876</v>
      </c>
      <c r="D3" s="193" t="s">
        <v>2877</v>
      </c>
      <c r="E3" s="193" t="s">
        <v>2878</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497</v>
      </c>
      <c r="B4" s="190" t="s">
        <v>2874</v>
      </c>
      <c r="C4" s="191" t="s">
        <v>2879</v>
      </c>
      <c r="D4" s="193" t="s">
        <v>2880</v>
      </c>
      <c r="E4" s="193" t="s">
        <v>2881</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497</v>
      </c>
      <c r="B5" s="190" t="s">
        <v>2874</v>
      </c>
      <c r="C5" s="191" t="s">
        <v>2882</v>
      </c>
      <c r="D5" s="193" t="s">
        <v>2883</v>
      </c>
      <c r="E5" s="193" t="s">
        <v>2884</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497</v>
      </c>
      <c r="B6" s="190" t="s">
        <v>2874</v>
      </c>
      <c r="C6" s="191" t="s">
        <v>2885</v>
      </c>
      <c r="D6" s="193" t="s">
        <v>2886</v>
      </c>
      <c r="E6" s="193" t="s">
        <v>2887</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497</v>
      </c>
      <c r="B7" s="190" t="s">
        <v>2874</v>
      </c>
      <c r="C7" s="191" t="s">
        <v>2888</v>
      </c>
      <c r="D7" s="193" t="s">
        <v>2889</v>
      </c>
      <c r="E7" s="193" t="s">
        <v>2890</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497</v>
      </c>
      <c r="B8" s="190" t="s">
        <v>2874</v>
      </c>
      <c r="C8" s="191" t="s">
        <v>2891</v>
      </c>
      <c r="D8" s="193" t="s">
        <v>2892</v>
      </c>
      <c r="E8" s="193" t="s">
        <v>2893</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497</v>
      </c>
      <c r="B9" s="190" t="s">
        <v>2874</v>
      </c>
      <c r="C9" s="191" t="s">
        <v>2894</v>
      </c>
      <c r="D9" s="193" t="s">
        <v>2895</v>
      </c>
      <c r="E9" s="193" t="s">
        <v>2896</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497</v>
      </c>
      <c r="B10" s="190" t="s">
        <v>2874</v>
      </c>
      <c r="C10" s="191" t="s">
        <v>2897</v>
      </c>
      <c r="D10" s="193" t="s">
        <v>2898</v>
      </c>
      <c r="E10" s="193" t="s">
        <v>2899</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497</v>
      </c>
      <c r="B11" s="190" t="s">
        <v>2874</v>
      </c>
      <c r="C11" s="191" t="s">
        <v>2900</v>
      </c>
      <c r="D11" s="193" t="s">
        <v>2901</v>
      </c>
      <c r="E11" s="193" t="s">
        <v>2902</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497</v>
      </c>
      <c r="B12" s="190" t="s">
        <v>2874</v>
      </c>
      <c r="C12" s="191" t="s">
        <v>2903</v>
      </c>
      <c r="D12" s="193" t="s">
        <v>2904</v>
      </c>
      <c r="E12" s="193" t="s">
        <v>2905</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497</v>
      </c>
      <c r="B13" s="190" t="s">
        <v>2874</v>
      </c>
      <c r="C13" s="191" t="s">
        <v>2906</v>
      </c>
      <c r="D13" s="193" t="s">
        <v>2907</v>
      </c>
      <c r="E13" s="193" t="s">
        <v>2908</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497</v>
      </c>
      <c r="B14" s="190" t="s">
        <v>2874</v>
      </c>
      <c r="C14" s="191" t="s">
        <v>2909</v>
      </c>
      <c r="D14" s="193" t="s">
        <v>2910</v>
      </c>
      <c r="E14" s="193" t="s">
        <v>2911</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497</v>
      </c>
      <c r="B15" s="190" t="s">
        <v>2874</v>
      </c>
      <c r="C15" s="191" t="s">
        <v>2912</v>
      </c>
      <c r="D15" s="193" t="s">
        <v>2913</v>
      </c>
      <c r="E15" s="193" t="s">
        <v>2914</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497</v>
      </c>
      <c r="B16" s="190" t="s">
        <v>2874</v>
      </c>
      <c r="C16" s="191" t="s">
        <v>2915</v>
      </c>
      <c r="D16" s="193" t="s">
        <v>2916</v>
      </c>
      <c r="E16" s="193" t="s">
        <v>2917</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497</v>
      </c>
      <c r="B17" s="190" t="s">
        <v>2874</v>
      </c>
      <c r="C17" s="191" t="s">
        <v>2918</v>
      </c>
      <c r="D17" s="193" t="s">
        <v>2919</v>
      </c>
      <c r="E17" s="193" t="s">
        <v>2920</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497</v>
      </c>
      <c r="B18" s="190" t="s">
        <v>2874</v>
      </c>
      <c r="C18" s="191" t="s">
        <v>2921</v>
      </c>
      <c r="D18" s="193" t="s">
        <v>2922</v>
      </c>
      <c r="E18" s="193" t="s">
        <v>2923</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497</v>
      </c>
      <c r="B19" s="189" t="s">
        <v>2924</v>
      </c>
      <c r="C19" s="189"/>
      <c r="D19" s="192" t="s">
        <v>2925</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497</v>
      </c>
      <c r="B20" s="190" t="s">
        <v>2924</v>
      </c>
      <c r="C20" s="191" t="s">
        <v>2926</v>
      </c>
      <c r="D20" s="193" t="s">
        <v>2927</v>
      </c>
      <c r="E20" s="193" t="s">
        <v>2928</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497</v>
      </c>
      <c r="B21" s="190" t="s">
        <v>2924</v>
      </c>
      <c r="C21" s="191" t="s">
        <v>2929</v>
      </c>
      <c r="D21" s="193" t="s">
        <v>2930</v>
      </c>
      <c r="E21" s="193" t="s">
        <v>2931</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497</v>
      </c>
      <c r="B22" s="190" t="s">
        <v>2924</v>
      </c>
      <c r="C22" s="191" t="s">
        <v>2932</v>
      </c>
      <c r="D22" s="193" t="s">
        <v>2933</v>
      </c>
      <c r="E22" s="193" t="s">
        <v>2934</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497</v>
      </c>
      <c r="B23" s="190" t="s">
        <v>2924</v>
      </c>
      <c r="C23" s="191" t="s">
        <v>2935</v>
      </c>
      <c r="D23" s="193" t="s">
        <v>2936</v>
      </c>
      <c r="E23" s="193" t="s">
        <v>2937</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497</v>
      </c>
      <c r="B24" s="190" t="s">
        <v>2924</v>
      </c>
      <c r="C24" s="191" t="s">
        <v>2938</v>
      </c>
      <c r="D24" s="193" t="s">
        <v>2939</v>
      </c>
      <c r="E24" s="193" t="s">
        <v>2940</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497</v>
      </c>
      <c r="B25" s="190" t="s">
        <v>2924</v>
      </c>
      <c r="C25" s="191" t="s">
        <v>2941</v>
      </c>
      <c r="D25" s="193" t="s">
        <v>2942</v>
      </c>
      <c r="E25" s="193" t="s">
        <v>2943</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497</v>
      </c>
      <c r="B26" s="190" t="s">
        <v>2924</v>
      </c>
      <c r="C26" s="191" t="s">
        <v>2944</v>
      </c>
      <c r="D26" s="193" t="s">
        <v>2945</v>
      </c>
      <c r="E26" s="193" t="s">
        <v>2946</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497</v>
      </c>
      <c r="B27" s="190" t="s">
        <v>2924</v>
      </c>
      <c r="C27" s="191" t="s">
        <v>2947</v>
      </c>
      <c r="D27" s="193" t="s">
        <v>2948</v>
      </c>
      <c r="E27" s="193" t="s">
        <v>2949</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497</v>
      </c>
      <c r="B28" s="190" t="s">
        <v>2924</v>
      </c>
      <c r="C28" s="191" t="s">
        <v>2950</v>
      </c>
      <c r="D28" s="193" t="s">
        <v>2951</v>
      </c>
      <c r="E28" s="193" t="s">
        <v>2952</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497</v>
      </c>
      <c r="B29" s="190" t="s">
        <v>2924</v>
      </c>
      <c r="C29" s="191" t="s">
        <v>2953</v>
      </c>
      <c r="D29" s="193" t="s">
        <v>2954</v>
      </c>
      <c r="E29" s="193" t="s">
        <v>2955</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497</v>
      </c>
      <c r="B30" s="190" t="s">
        <v>2924</v>
      </c>
      <c r="C30" s="191" t="s">
        <v>2956</v>
      </c>
      <c r="D30" s="193" t="s">
        <v>2957</v>
      </c>
      <c r="E30" s="193" t="s">
        <v>2958</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497</v>
      </c>
      <c r="B31" s="190" t="s">
        <v>2924</v>
      </c>
      <c r="C31" s="191" t="s">
        <v>2959</v>
      </c>
      <c r="D31" s="193" t="s">
        <v>2960</v>
      </c>
      <c r="E31" s="193" t="s">
        <v>2961</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2962</v>
      </c>
      <c r="B32" s="189"/>
      <c r="C32" s="189"/>
      <c r="D32" s="192" t="s">
        <v>2963</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2962</v>
      </c>
      <c r="B33" s="190"/>
      <c r="C33" s="191" t="s">
        <v>2964</v>
      </c>
      <c r="D33" s="193" t="s">
        <v>2965</v>
      </c>
      <c r="E33" s="193" t="s">
        <v>2966</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2962</v>
      </c>
      <c r="B34" s="190"/>
      <c r="C34" s="191" t="s">
        <v>2967</v>
      </c>
      <c r="D34" s="193" t="s">
        <v>2968</v>
      </c>
      <c r="E34" s="193" t="s">
        <v>2969</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2962</v>
      </c>
      <c r="B35" s="190"/>
      <c r="C35" s="191" t="s">
        <v>2970</v>
      </c>
      <c r="D35" s="193" t="s">
        <v>2971</v>
      </c>
      <c r="E35" s="193" t="s">
        <v>2972</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2962</v>
      </c>
      <c r="B36" s="189" t="s">
        <v>2973</v>
      </c>
      <c r="C36" s="189"/>
      <c r="D36" s="192" t="s">
        <v>2974</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2962</v>
      </c>
      <c r="B37" s="190" t="s">
        <v>2973</v>
      </c>
      <c r="C37" s="191" t="s">
        <v>2975</v>
      </c>
      <c r="D37" s="193" t="s">
        <v>2976</v>
      </c>
      <c r="E37" s="193" t="s">
        <v>2977</v>
      </c>
      <c r="F37" s="195">
        <f>IF(COUNTIF(G37:AT37,"&lt;&gt;")=0,"",SUMPRODUCT(((Recommendations[ImplStatus]="Implemented")+(Recommendations[ImplStatus]="Compensated"))*ISNUMBER(MATCH(Recommendations[Id],G37:AT37,0)))/COUNTIF(G37:AT37,"&lt;&gt;"))</f>
        <v>0</v>
      </c>
      <c r="G37" s="197" t="s">
        <v>178</v>
      </c>
      <c r="H37" s="197" t="s">
        <v>183</v>
      </c>
      <c r="I37" s="197" t="s">
        <v>186</v>
      </c>
      <c r="J37" s="197" t="s">
        <v>189</v>
      </c>
      <c r="K37" s="197" t="s">
        <v>192</v>
      </c>
      <c r="L37" s="197" t="s">
        <v>195</v>
      </c>
      <c r="M37" s="197" t="s">
        <v>215</v>
      </c>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2962</v>
      </c>
      <c r="B38" s="190" t="s">
        <v>2973</v>
      </c>
      <c r="C38" s="191" t="s">
        <v>2978</v>
      </c>
      <c r="D38" s="193" t="s">
        <v>2979</v>
      </c>
      <c r="E38" s="193" t="s">
        <v>2980</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2962</v>
      </c>
      <c r="B39" s="190" t="s">
        <v>2973</v>
      </c>
      <c r="C39" s="191" t="s">
        <v>2981</v>
      </c>
      <c r="D39" s="193" t="s">
        <v>2982</v>
      </c>
      <c r="E39" s="193" t="s">
        <v>2983</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2962</v>
      </c>
      <c r="B40" s="190" t="s">
        <v>2973</v>
      </c>
      <c r="C40" s="191" t="s">
        <v>2984</v>
      </c>
      <c r="D40" s="193" t="s">
        <v>2985</v>
      </c>
      <c r="E40" s="193" t="s">
        <v>2986</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2962</v>
      </c>
      <c r="B41" s="190" t="s">
        <v>2973</v>
      </c>
      <c r="C41" s="191" t="s">
        <v>2987</v>
      </c>
      <c r="D41" s="193" t="s">
        <v>2988</v>
      </c>
      <c r="E41" s="193" t="s">
        <v>2989</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2962</v>
      </c>
      <c r="B42" s="190" t="s">
        <v>2973</v>
      </c>
      <c r="C42" s="191" t="s">
        <v>2990</v>
      </c>
      <c r="D42" s="193" t="s">
        <v>2991</v>
      </c>
      <c r="E42" s="193" t="s">
        <v>2992</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2962</v>
      </c>
      <c r="B43" s="190" t="s">
        <v>2973</v>
      </c>
      <c r="C43" s="191" t="s">
        <v>2993</v>
      </c>
      <c r="D43" s="193" t="s">
        <v>2994</v>
      </c>
      <c r="E43" s="193" t="s">
        <v>2995</v>
      </c>
      <c r="F43" s="195">
        <f>IF(COUNTIF(G43:AT43,"&lt;&gt;")=0,"",SUMPRODUCT(((Recommendations[ImplStatus]="Implemented")+(Recommendations[ImplStatus]="Compensated"))*ISNUMBER(MATCH(Recommendations[Id],G43:AT43,0)))/COUNTIF(G43:AT43,"&lt;&gt;"))</f>
        <v>0</v>
      </c>
      <c r="G43" s="197" t="s">
        <v>320</v>
      </c>
      <c r="H43" s="197" t="s">
        <v>325</v>
      </c>
      <c r="I43" s="197" t="s">
        <v>330</v>
      </c>
      <c r="J43" s="197" t="s">
        <v>335</v>
      </c>
      <c r="K43" s="197" t="s">
        <v>339</v>
      </c>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2962</v>
      </c>
      <c r="B44" s="190" t="s">
        <v>2973</v>
      </c>
      <c r="C44" s="191" t="s">
        <v>2996</v>
      </c>
      <c r="D44" s="193" t="s">
        <v>2997</v>
      </c>
      <c r="E44" s="193" t="s">
        <v>2998</v>
      </c>
      <c r="F44" s="195">
        <f>IF(COUNTIF(G44:AT44,"&lt;&gt;")=0,"",SUMPRODUCT(((Recommendations[ImplStatus]="Implemented")+(Recommendations[ImplStatus]="Compensated"))*ISNUMBER(MATCH(Recommendations[Id],G44:AT44,0)))/COUNTIF(G44:AT44,"&lt;&gt;"))</f>
        <v>0</v>
      </c>
      <c r="G44" s="197" t="s">
        <v>320</v>
      </c>
      <c r="H44" s="197" t="s">
        <v>325</v>
      </c>
      <c r="I44" s="197" t="s">
        <v>330</v>
      </c>
      <c r="J44" s="197" t="s">
        <v>335</v>
      </c>
      <c r="K44" s="197" t="s">
        <v>339</v>
      </c>
      <c r="L44" s="197" t="s">
        <v>343</v>
      </c>
      <c r="M44" s="197" t="s">
        <v>353</v>
      </c>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2962</v>
      </c>
      <c r="B45" s="190" t="s">
        <v>2973</v>
      </c>
      <c r="C45" s="191" t="s">
        <v>2999</v>
      </c>
      <c r="D45" s="193" t="s">
        <v>3000</v>
      </c>
      <c r="E45" s="193" t="s">
        <v>3001</v>
      </c>
      <c r="F45" s="195">
        <f>IF(COUNTIF(G45:AT45,"&lt;&gt;")=0,"",SUMPRODUCT(((Recommendations[ImplStatus]="Implemented")+(Recommendations[ImplStatus]="Compensated"))*ISNUMBER(MATCH(Recommendations[Id],G45:AT45,0)))/COUNTIF(G45:AT45,"&lt;&gt;"))</f>
        <v>0</v>
      </c>
      <c r="G45" s="197" t="s">
        <v>210</v>
      </c>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2962</v>
      </c>
      <c r="B46" s="190" t="s">
        <v>2973</v>
      </c>
      <c r="C46" s="191" t="s">
        <v>3002</v>
      </c>
      <c r="D46" s="193" t="s">
        <v>3003</v>
      </c>
      <c r="E46" s="193" t="s">
        <v>3004</v>
      </c>
      <c r="F46" s="195">
        <f>IF(COUNTIF(G46:AT46,"&lt;&gt;")=0,"",SUMPRODUCT(((Recommendations[ImplStatus]="Implemented")+(Recommendations[ImplStatus]="Compensated"))*ISNUMBER(MATCH(Recommendations[Id],G46:AT46,0)))/COUNTIF(G46:AT46,"&lt;&gt;"))</f>
        <v>0</v>
      </c>
      <c r="G46" s="197" t="s">
        <v>373</v>
      </c>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2962</v>
      </c>
      <c r="B47" s="190" t="s">
        <v>2973</v>
      </c>
      <c r="C47" s="191" t="s">
        <v>3005</v>
      </c>
      <c r="D47" s="193" t="s">
        <v>3006</v>
      </c>
      <c r="E47" s="193" t="s">
        <v>3007</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2962</v>
      </c>
      <c r="B48" s="190" t="s">
        <v>2973</v>
      </c>
      <c r="C48" s="191" t="s">
        <v>3008</v>
      </c>
      <c r="D48" s="193" t="s">
        <v>3009</v>
      </c>
      <c r="E48" s="193" t="s">
        <v>3010</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2962</v>
      </c>
      <c r="B49" s="190" t="s">
        <v>2973</v>
      </c>
      <c r="C49" s="191" t="s">
        <v>3011</v>
      </c>
      <c r="D49" s="193" t="s">
        <v>3012</v>
      </c>
      <c r="E49" s="193" t="s">
        <v>3013</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2962</v>
      </c>
      <c r="B50" s="190" t="s">
        <v>2973</v>
      </c>
      <c r="C50" s="191" t="s">
        <v>3014</v>
      </c>
      <c r="D50" s="193" t="s">
        <v>3015</v>
      </c>
      <c r="E50" s="193" t="s">
        <v>3016</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2962</v>
      </c>
      <c r="B51" s="189" t="s">
        <v>3017</v>
      </c>
      <c r="C51" s="189"/>
      <c r="D51" s="192" t="s">
        <v>3018</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2962</v>
      </c>
      <c r="B52" s="190" t="s">
        <v>3017</v>
      </c>
      <c r="C52" s="191" t="s">
        <v>3019</v>
      </c>
      <c r="D52" s="193" t="s">
        <v>3020</v>
      </c>
      <c r="E52" s="193" t="s">
        <v>3021</v>
      </c>
      <c r="F52" s="195">
        <f>IF(COUNTIF(G52:AT52,"&lt;&gt;")=0,"",SUMPRODUCT(((Recommendations[ImplStatus]="Implemented")+(Recommendations[ImplStatus]="Compensated"))*ISNUMBER(MATCH(Recommendations[Id],G52:AT52,0)))/COUNTIF(G52:AT52,"&lt;&gt;"))</f>
        <v>0</v>
      </c>
      <c r="G52" s="197" t="s">
        <v>270</v>
      </c>
      <c r="H52" s="197" t="s">
        <v>305</v>
      </c>
      <c r="I52" s="197"/>
      <c r="J52" s="197"/>
      <c r="K52" s="197"/>
      <c r="L52" s="197"/>
      <c r="M52" s="197"/>
      <c r="N52" s="197"/>
      <c r="O52" s="197"/>
      <c r="P52" s="197"/>
      <c r="Q52" s="197"/>
      <c r="R52" s="197"/>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207"/>
    </row>
    <row r="53" spans="1:46" ht="60" customHeight="1" x14ac:dyDescent="0.35">
      <c r="A53" s="204" t="s">
        <v>2962</v>
      </c>
      <c r="B53" s="190" t="s">
        <v>3017</v>
      </c>
      <c r="C53" s="191" t="s">
        <v>3022</v>
      </c>
      <c r="D53" s="193" t="s">
        <v>3023</v>
      </c>
      <c r="E53" s="193" t="s">
        <v>3024</v>
      </c>
      <c r="F53" s="195">
        <f>IF(COUNTIF(G53:AT53,"&lt;&gt;")=0,"",SUMPRODUCT(((Recommendations[ImplStatus]="Implemented")+(Recommendations[ImplStatus]="Compensated"))*ISNUMBER(MATCH(Recommendations[Id],G53:AT53,0)))/COUNTIF(G53:AT53,"&lt;&gt;"))</f>
        <v>0</v>
      </c>
      <c r="G53" s="197" t="s">
        <v>305</v>
      </c>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2962</v>
      </c>
      <c r="B54" s="190" t="s">
        <v>3017</v>
      </c>
      <c r="C54" s="191" t="s">
        <v>3025</v>
      </c>
      <c r="D54" s="193" t="s">
        <v>3026</v>
      </c>
      <c r="E54" s="193" t="s">
        <v>3027</v>
      </c>
      <c r="F54" s="195" t="str">
        <f>IF(COUNTIF(G54:AT54,"&lt;&gt;")=0,"",SUMPRODUCT(((Recommendations[ImplStatus]="Implemented")+(Recommendations[ImplStatus]="Compensated"))*ISNUMBER(MATCH(Recommendations[Id],G54:AT54,0)))/COUNTIF(G54:AT54,"&lt;&gt;"))</f>
        <v/>
      </c>
      <c r="G54" s="197"/>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2962</v>
      </c>
      <c r="B55" s="190" t="s">
        <v>3017</v>
      </c>
      <c r="C55" s="191" t="s">
        <v>3028</v>
      </c>
      <c r="D55" s="193" t="s">
        <v>3029</v>
      </c>
      <c r="E55" s="193" t="s">
        <v>3030</v>
      </c>
      <c r="F55" s="195">
        <f>IF(COUNTIF(G55:AT55,"&lt;&gt;")=0,"",SUMPRODUCT(((Recommendations[ImplStatus]="Implemented")+(Recommendations[ImplStatus]="Compensated"))*ISNUMBER(MATCH(Recommendations[Id],G55:AT55,0)))/COUNTIF(G55:AT55,"&lt;&gt;"))</f>
        <v>0</v>
      </c>
      <c r="G55" s="197" t="s">
        <v>200</v>
      </c>
      <c r="H55" s="197" t="s">
        <v>205</v>
      </c>
      <c r="I55" s="197" t="s">
        <v>225</v>
      </c>
      <c r="J55" s="197" t="s">
        <v>228</v>
      </c>
      <c r="K55" s="197" t="s">
        <v>231</v>
      </c>
      <c r="L55" s="197" t="s">
        <v>235</v>
      </c>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2962</v>
      </c>
      <c r="B56" s="190" t="s">
        <v>3017</v>
      </c>
      <c r="C56" s="191" t="s">
        <v>3031</v>
      </c>
      <c r="D56" s="193" t="s">
        <v>3032</v>
      </c>
      <c r="E56" s="193" t="s">
        <v>3033</v>
      </c>
      <c r="F56" s="195" t="str">
        <f>IF(COUNTIF(G56:AT56,"&lt;&gt;")=0,"",SUMPRODUCT(((Recommendations[ImplStatus]="Implemented")+(Recommendations[ImplStatus]="Compensated"))*ISNUMBER(MATCH(Recommendations[Id],G56:AT56,0)))/COUNTIF(G56:AT56,"&lt;&gt;"))</f>
        <v/>
      </c>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2962</v>
      </c>
      <c r="B57" s="190" t="s">
        <v>3017</v>
      </c>
      <c r="C57" s="191" t="s">
        <v>3034</v>
      </c>
      <c r="D57" s="193" t="s">
        <v>3035</v>
      </c>
      <c r="E57" s="193" t="s">
        <v>3036</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2962</v>
      </c>
      <c r="B58" s="190" t="s">
        <v>3017</v>
      </c>
      <c r="C58" s="191" t="s">
        <v>3037</v>
      </c>
      <c r="D58" s="193" t="s">
        <v>3038</v>
      </c>
      <c r="E58" s="193" t="s">
        <v>3039</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2962</v>
      </c>
      <c r="B59" s="190" t="s">
        <v>3017</v>
      </c>
      <c r="C59" s="191" t="s">
        <v>3040</v>
      </c>
      <c r="D59" s="193" t="s">
        <v>3041</v>
      </c>
      <c r="E59" s="193" t="s">
        <v>3042</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2962</v>
      </c>
      <c r="B60" s="190" t="s">
        <v>3043</v>
      </c>
      <c r="C60" s="191" t="s">
        <v>3044</v>
      </c>
      <c r="D60" s="193" t="s">
        <v>3045</v>
      </c>
      <c r="E60" s="193" t="s">
        <v>3046</v>
      </c>
      <c r="F60" s="195" t="str">
        <f>IF(COUNTIF(G60:AT60,"&lt;&gt;")=0,"",SUMPRODUCT(((Recommendations[ImplStatus]="Implemented")+(Recommendations[ImplStatus]="Compensated"))*ISNUMBER(MATCH(Recommendations[Id],G60:AT60,0)))/COUNTIF(G60:AT60,"&lt;&gt;"))</f>
        <v/>
      </c>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2962</v>
      </c>
      <c r="B61" s="190" t="s">
        <v>3043</v>
      </c>
      <c r="C61" s="191" t="s">
        <v>3047</v>
      </c>
      <c r="D61" s="193" t="s">
        <v>3048</v>
      </c>
      <c r="E61" s="193" t="s">
        <v>3049</v>
      </c>
      <c r="F61" s="195" t="str">
        <f>IF(COUNTIF(G61:AT61,"&lt;&gt;")=0,"",SUMPRODUCT(((Recommendations[ImplStatus]="Implemented")+(Recommendations[ImplStatus]="Compensated"))*ISNUMBER(MATCH(Recommendations[Id],G61:AT61,0)))/COUNTIF(G61:AT61,"&lt;&gt;"))</f>
        <v/>
      </c>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2962</v>
      </c>
      <c r="B62" s="189" t="s">
        <v>3050</v>
      </c>
      <c r="C62" s="189"/>
      <c r="D62" s="192" t="s">
        <v>3051</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2962</v>
      </c>
      <c r="B63" s="190" t="s">
        <v>3050</v>
      </c>
      <c r="C63" s="191" t="s">
        <v>3052</v>
      </c>
      <c r="D63" s="193" t="s">
        <v>3053</v>
      </c>
      <c r="E63" s="193" t="s">
        <v>3054</v>
      </c>
      <c r="F63" s="195">
        <f>IF(COUNTIF(G63:AT63,"&lt;&gt;")=0,"",SUMPRODUCT(((Recommendations[ImplStatus]="Implemented")+(Recommendations[ImplStatus]="Compensated"))*ISNUMBER(MATCH(Recommendations[Id],G63:AT63,0)))/COUNTIF(G63:AT63,"&lt;&gt;"))</f>
        <v>0</v>
      </c>
      <c r="G63" s="197" t="s">
        <v>30</v>
      </c>
      <c r="H63" s="197" t="s">
        <v>85</v>
      </c>
      <c r="I63" s="197" t="s">
        <v>157</v>
      </c>
      <c r="J63" s="197" t="s">
        <v>162</v>
      </c>
      <c r="K63" s="197" t="s">
        <v>265</v>
      </c>
      <c r="L63" s="197" t="s">
        <v>275</v>
      </c>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2962</v>
      </c>
      <c r="B64" s="190" t="s">
        <v>3050</v>
      </c>
      <c r="C64" s="191" t="s">
        <v>3055</v>
      </c>
      <c r="D64" s="193" t="s">
        <v>3056</v>
      </c>
      <c r="E64" s="193" t="s">
        <v>3057</v>
      </c>
      <c r="F64" s="195">
        <f>IF(COUNTIF(G64:AT64,"&lt;&gt;")=0,"",SUMPRODUCT(((Recommendations[ImplStatus]="Implemented")+(Recommendations[ImplStatus]="Compensated"))*ISNUMBER(MATCH(Recommendations[Id],G64:AT64,0)))/COUNTIF(G64:AT64,"&lt;&gt;"))</f>
        <v>0</v>
      </c>
      <c r="G64" s="197" t="s">
        <v>295</v>
      </c>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2962</v>
      </c>
      <c r="B65" s="190" t="s">
        <v>3050</v>
      </c>
      <c r="C65" s="191" t="s">
        <v>3058</v>
      </c>
      <c r="D65" s="193" t="s">
        <v>3059</v>
      </c>
      <c r="E65" s="193" t="s">
        <v>3060</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2962</v>
      </c>
      <c r="B66" s="190" t="s">
        <v>3050</v>
      </c>
      <c r="C66" s="191" t="s">
        <v>3061</v>
      </c>
      <c r="D66" s="193" t="s">
        <v>3062</v>
      </c>
      <c r="E66" s="193" t="s">
        <v>3063</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2962</v>
      </c>
      <c r="B67" s="190" t="s">
        <v>3050</v>
      </c>
      <c r="C67" s="191" t="s">
        <v>3064</v>
      </c>
      <c r="D67" s="193" t="s">
        <v>3065</v>
      </c>
      <c r="E67" s="193" t="s">
        <v>3066</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2962</v>
      </c>
      <c r="B68" s="190" t="s">
        <v>3050</v>
      </c>
      <c r="C68" s="191" t="s">
        <v>3067</v>
      </c>
      <c r="D68" s="193" t="s">
        <v>3068</v>
      </c>
      <c r="E68" s="193" t="s">
        <v>3069</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2962</v>
      </c>
      <c r="B69" s="190" t="s">
        <v>3050</v>
      </c>
      <c r="C69" s="191" t="s">
        <v>3070</v>
      </c>
      <c r="D69" s="193" t="s">
        <v>3071</v>
      </c>
      <c r="E69" s="193" t="s">
        <v>3072</v>
      </c>
      <c r="F69" s="195">
        <f>IF(COUNTIF(G69:AT69,"&lt;&gt;")=0,"",SUMPRODUCT(((Recommendations[ImplStatus]="Implemented")+(Recommendations[ImplStatus]="Compensated"))*ISNUMBER(MATCH(Recommendations[Id],G69:AT69,0)))/COUNTIF(G69:AT69,"&lt;&gt;"))</f>
        <v>0</v>
      </c>
      <c r="G69" s="197" t="s">
        <v>35</v>
      </c>
      <c r="H69" s="197" t="s">
        <v>40</v>
      </c>
      <c r="I69" s="197" t="s">
        <v>45</v>
      </c>
      <c r="J69" s="197" t="s">
        <v>90</v>
      </c>
      <c r="K69" s="197" t="s">
        <v>95</v>
      </c>
      <c r="L69" s="197" t="s">
        <v>110</v>
      </c>
      <c r="M69" s="197" t="s">
        <v>113</v>
      </c>
      <c r="N69" s="197" t="s">
        <v>123</v>
      </c>
      <c r="O69" s="197" t="s">
        <v>225</v>
      </c>
      <c r="P69" s="197" t="s">
        <v>228</v>
      </c>
      <c r="Q69" s="197" t="s">
        <v>231</v>
      </c>
      <c r="R69" s="197" t="s">
        <v>233</v>
      </c>
      <c r="S69" s="197" t="s">
        <v>235</v>
      </c>
      <c r="T69" s="197" t="s">
        <v>237</v>
      </c>
      <c r="U69" s="197" t="s">
        <v>241</v>
      </c>
      <c r="V69" s="197" t="s">
        <v>246</v>
      </c>
      <c r="W69" s="197" t="s">
        <v>260</v>
      </c>
      <c r="X69" s="197" t="s">
        <v>280</v>
      </c>
      <c r="Y69" s="197" t="s">
        <v>392</v>
      </c>
      <c r="Z69" s="197" t="s">
        <v>402</v>
      </c>
      <c r="AA69" s="197"/>
      <c r="AB69" s="197"/>
      <c r="AC69" s="197"/>
      <c r="AD69" s="197"/>
      <c r="AE69" s="197"/>
      <c r="AF69" s="197"/>
      <c r="AG69" s="197"/>
      <c r="AH69" s="197"/>
      <c r="AI69" s="197"/>
      <c r="AJ69" s="197"/>
      <c r="AK69" s="197"/>
      <c r="AL69" s="197"/>
      <c r="AM69" s="197"/>
      <c r="AN69" s="197"/>
      <c r="AO69" s="197"/>
      <c r="AP69" s="197"/>
      <c r="AQ69" s="197"/>
      <c r="AR69" s="197"/>
      <c r="AS69" s="197"/>
      <c r="AT69" s="207"/>
    </row>
    <row r="70" spans="1:46" ht="60" customHeight="1" x14ac:dyDescent="0.35">
      <c r="A70" s="204" t="s">
        <v>2962</v>
      </c>
      <c r="B70" s="190" t="s">
        <v>3050</v>
      </c>
      <c r="C70" s="191" t="s">
        <v>3073</v>
      </c>
      <c r="D70" s="193" t="s">
        <v>3074</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2962</v>
      </c>
      <c r="B71" s="190" t="s">
        <v>3050</v>
      </c>
      <c r="C71" s="191" t="s">
        <v>3075</v>
      </c>
      <c r="D71" s="193" t="s">
        <v>3076</v>
      </c>
      <c r="E71" s="193" t="s">
        <v>3077</v>
      </c>
      <c r="F71" s="195" t="str">
        <f>IF(COUNTIF(G71:AT71,"&lt;&gt;")=0,"",SUMPRODUCT(((Recommendations[ImplStatus]="Implemented")+(Recommendations[ImplStatus]="Compensated"))*ISNUMBER(MATCH(Recommendations[Id],G71:AT71,0)))/COUNTIF(G71:AT71,"&lt;&gt;"))</f>
        <v/>
      </c>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2962</v>
      </c>
      <c r="B72" s="190" t="s">
        <v>3050</v>
      </c>
      <c r="C72" s="191" t="s">
        <v>3078</v>
      </c>
      <c r="D72" s="193" t="s">
        <v>3079</v>
      </c>
      <c r="E72" s="193" t="s">
        <v>3080</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2962</v>
      </c>
      <c r="B73" s="190" t="s">
        <v>3050</v>
      </c>
      <c r="C73" s="191" t="s">
        <v>3081</v>
      </c>
      <c r="D73" s="193" t="s">
        <v>3082</v>
      </c>
      <c r="E73" s="193" t="s">
        <v>3083</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2962</v>
      </c>
      <c r="B74" s="190" t="s">
        <v>3050</v>
      </c>
      <c r="C74" s="191" t="s">
        <v>3084</v>
      </c>
      <c r="D74" s="193" t="s">
        <v>3085</v>
      </c>
      <c r="E74" s="193" t="s">
        <v>3086</v>
      </c>
      <c r="F74" s="195">
        <f>IF(COUNTIF(G74:AT74,"&lt;&gt;")=0,"",SUMPRODUCT(((Recommendations[ImplStatus]="Implemented")+(Recommendations[ImplStatus]="Compensated"))*ISNUMBER(MATCH(Recommendations[Id],G74:AT74,0)))/COUNTIF(G74:AT74,"&lt;&gt;"))</f>
        <v>0</v>
      </c>
      <c r="G74" s="197" t="s">
        <v>387</v>
      </c>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2962</v>
      </c>
      <c r="B75" s="190" t="s">
        <v>3050</v>
      </c>
      <c r="C75" s="191" t="s">
        <v>3087</v>
      </c>
      <c r="D75" s="193" t="s">
        <v>3088</v>
      </c>
      <c r="E75" s="193" t="s">
        <v>3089</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2962</v>
      </c>
      <c r="B76" s="190" t="s">
        <v>3050</v>
      </c>
      <c r="C76" s="191" t="s">
        <v>3090</v>
      </c>
      <c r="D76" s="193" t="s">
        <v>3091</v>
      </c>
      <c r="E76" s="193" t="s">
        <v>3092</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2962</v>
      </c>
      <c r="B77" s="190" t="s">
        <v>3050</v>
      </c>
      <c r="C77" s="191" t="s">
        <v>3093</v>
      </c>
      <c r="D77" s="193" t="s">
        <v>3094</v>
      </c>
      <c r="E77" s="193" t="s">
        <v>3095</v>
      </c>
      <c r="F77" s="195">
        <f>IF(COUNTIF(G77:AT77,"&lt;&gt;")=0,"",SUMPRODUCT(((Recommendations[ImplStatus]="Implemented")+(Recommendations[ImplStatus]="Compensated"))*ISNUMBER(MATCH(Recommendations[Id],G77:AT77,0)))/COUNTIF(G77:AT77,"&lt;&gt;"))</f>
        <v>0</v>
      </c>
      <c r="G77" s="197" t="s">
        <v>49</v>
      </c>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2962</v>
      </c>
      <c r="B78" s="190" t="s">
        <v>3050</v>
      </c>
      <c r="C78" s="191" t="s">
        <v>3096</v>
      </c>
      <c r="D78" s="193" t="s">
        <v>3097</v>
      </c>
      <c r="E78" s="193" t="s">
        <v>3098</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2962</v>
      </c>
      <c r="B79" s="189" t="s">
        <v>3050</v>
      </c>
      <c r="C79" s="189"/>
      <c r="D79" s="192" t="s">
        <v>3099</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3100</v>
      </c>
      <c r="B80" s="190"/>
      <c r="C80" s="191" t="s">
        <v>3101</v>
      </c>
      <c r="D80" s="193" t="s">
        <v>3102</v>
      </c>
      <c r="E80" s="193" t="s">
        <v>3103</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3100</v>
      </c>
      <c r="B81" s="190"/>
      <c r="C81" s="191" t="s">
        <v>3104</v>
      </c>
      <c r="D81" s="193" t="s">
        <v>3105</v>
      </c>
      <c r="E81" s="193" t="s">
        <v>3106</v>
      </c>
      <c r="F81" s="195">
        <f>IF(COUNTIF(G81:AT81,"&lt;&gt;")=0,"",SUMPRODUCT(((Recommendations[ImplStatus]="Implemented")+(Recommendations[ImplStatus]="Compensated"))*ISNUMBER(MATCH(Recommendations[Id],G81:AT81,0)))/COUNTIF(G81:AT81,"&lt;&gt;"))</f>
        <v>0</v>
      </c>
      <c r="G81" s="197" t="s">
        <v>133</v>
      </c>
      <c r="H81" s="197" t="s">
        <v>137</v>
      </c>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3100</v>
      </c>
      <c r="B82" s="190"/>
      <c r="C82" s="191" t="s">
        <v>3107</v>
      </c>
      <c r="D82" s="193" t="s">
        <v>3108</v>
      </c>
      <c r="E82" s="193" t="s">
        <v>3109</v>
      </c>
      <c r="F82" s="195">
        <f>IF(COUNTIF(G82:AT82,"&lt;&gt;")=0,"",SUMPRODUCT(((Recommendations[ImplStatus]="Implemented")+(Recommendations[ImplStatus]="Compensated"))*ISNUMBER(MATCH(Recommendations[Id],G82:AT82,0)))/COUNTIF(G82:AT82,"&lt;&gt;"))</f>
        <v>0</v>
      </c>
      <c r="G82" s="197" t="s">
        <v>14</v>
      </c>
      <c r="H82" s="197" t="s">
        <v>147</v>
      </c>
      <c r="I82" s="197" t="s">
        <v>152</v>
      </c>
      <c r="J82" s="197" t="s">
        <v>310</v>
      </c>
      <c r="K82" s="197" t="s">
        <v>358</v>
      </c>
      <c r="L82" s="197" t="s">
        <v>368</v>
      </c>
      <c r="M82" s="197" t="s">
        <v>378</v>
      </c>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3100</v>
      </c>
      <c r="B83" s="190"/>
      <c r="C83" s="191" t="s">
        <v>3110</v>
      </c>
      <c r="D83" s="193" t="s">
        <v>3111</v>
      </c>
      <c r="E83" s="193" t="s">
        <v>3112</v>
      </c>
      <c r="F83" s="195" t="str">
        <f>IF(COUNTIF(G83:AT83,"&lt;&gt;")=0,"",SUMPRODUCT(((Recommendations[ImplStatus]="Implemented")+(Recommendations[ImplStatus]="Compensated"))*ISNUMBER(MATCH(Recommendations[Id],G83:AT83,0)))/COUNTIF(G83:AT83,"&lt;&gt;"))</f>
        <v/>
      </c>
      <c r="G83" s="197"/>
      <c r="H83" s="197"/>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3100</v>
      </c>
      <c r="B84" s="189"/>
      <c r="C84" s="189"/>
      <c r="D84" s="192" t="s">
        <v>3113</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3114</v>
      </c>
      <c r="B85" s="190"/>
      <c r="C85" s="191" t="s">
        <v>3115</v>
      </c>
      <c r="D85" s="193" t="s">
        <v>3116</v>
      </c>
      <c r="E85" s="193" t="s">
        <v>3117</v>
      </c>
      <c r="F85" s="195" t="str">
        <f>IF(COUNTIF(G85:AT85,"&lt;&gt;")=0,"",SUMPRODUCT(((Recommendations[ImplStatus]="Implemented")+(Recommendations[ImplStatus]="Compensated"))*ISNUMBER(MATCH(Recommendations[Id],G85:AT85,0)))/COUNTIF(G85:AT85,"&lt;&gt;"))</f>
        <v/>
      </c>
      <c r="G85" s="197"/>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3114</v>
      </c>
      <c r="B86" s="190"/>
      <c r="C86" s="191" t="s">
        <v>3118</v>
      </c>
      <c r="D86" s="193" t="s">
        <v>3119</v>
      </c>
      <c r="E86" s="193" t="s">
        <v>3120</v>
      </c>
      <c r="F86" s="195" t="str">
        <f>IF(COUNTIF(G86:AT86,"&lt;&gt;")=0,"",SUMPRODUCT(((Recommendations[ImplStatus]="Implemented")+(Recommendations[ImplStatus]="Compensated"))*ISNUMBER(MATCH(Recommendations[Id],G86:AT86,0)))/COUNTIF(G86:AT86,"&lt;&gt;"))</f>
        <v/>
      </c>
      <c r="G86" s="197"/>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3114</v>
      </c>
      <c r="B87" s="190"/>
      <c r="C87" s="191" t="s">
        <v>3121</v>
      </c>
      <c r="D87" s="193" t="s">
        <v>3122</v>
      </c>
      <c r="E87" s="193" t="s">
        <v>3123</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3114</v>
      </c>
      <c r="B88" s="190"/>
      <c r="C88" s="191" t="s">
        <v>3124</v>
      </c>
      <c r="D88" s="193" t="s">
        <v>3125</v>
      </c>
      <c r="E88" s="193" t="s">
        <v>3126</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3114</v>
      </c>
      <c r="B89" s="190"/>
      <c r="C89" s="191" t="s">
        <v>3127</v>
      </c>
      <c r="D89" s="193" t="s">
        <v>3128</v>
      </c>
      <c r="E89" s="193" t="s">
        <v>3129</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3114</v>
      </c>
      <c r="B90" s="189" t="s">
        <v>3130</v>
      </c>
      <c r="C90" s="189"/>
      <c r="D90" s="192" t="s">
        <v>3131</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3114</v>
      </c>
      <c r="B91" s="190" t="s">
        <v>3130</v>
      </c>
      <c r="C91" s="191" t="s">
        <v>3132</v>
      </c>
      <c r="D91" s="193" t="s">
        <v>3133</v>
      </c>
      <c r="E91" s="193" t="s">
        <v>3134</v>
      </c>
      <c r="F91" s="195" t="str">
        <f>IF(COUNTIF(G91:AT91,"&lt;&gt;")=0,"",SUMPRODUCT(((Recommendations[ImplStatus]="Implemented")+(Recommendations[ImplStatus]="Compensated"))*ISNUMBER(MATCH(Recommendations[Id],G91:AT91,0)))/COUNTIF(G91:AT91,"&lt;&gt;"))</f>
        <v/>
      </c>
      <c r="G91" s="197"/>
      <c r="H91" s="197"/>
      <c r="I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3114</v>
      </c>
      <c r="B92" s="190" t="s">
        <v>3130</v>
      </c>
      <c r="C92" s="191" t="s">
        <v>3135</v>
      </c>
      <c r="D92" s="193" t="s">
        <v>3136</v>
      </c>
      <c r="E92" s="193" t="s">
        <v>3137</v>
      </c>
      <c r="F92" s="195" t="str">
        <f>IF(COUNTIF(G92:AT92,"&lt;&gt;")=0,"",SUMPRODUCT(((Recommendations[ImplStatus]="Implemented")+(Recommendations[ImplStatus]="Compensated"))*ISNUMBER(MATCH(Recommendations[Id],G92:AT92,0)))/COUNTIF(G92:AT92,"&lt;&gt;"))</f>
        <v/>
      </c>
      <c r="G92" s="197"/>
      <c r="H92" s="197"/>
      <c r="I92" s="197"/>
      <c r="J92" s="197"/>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3130</v>
      </c>
      <c r="C93" s="191" t="s">
        <v>3138</v>
      </c>
      <c r="D93" s="193" t="s">
        <v>3139</v>
      </c>
      <c r="E93" s="193" t="s">
        <v>3140</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3130</v>
      </c>
      <c r="C94" s="191" t="s">
        <v>3141</v>
      </c>
      <c r="D94" s="193" t="s">
        <v>3142</v>
      </c>
      <c r="E94" s="193" t="s">
        <v>3143</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3130</v>
      </c>
      <c r="C95" s="191" t="s">
        <v>3144</v>
      </c>
      <c r="D95" s="193" t="s">
        <v>3145</v>
      </c>
      <c r="E95" s="193" t="s">
        <v>3146</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3130</v>
      </c>
      <c r="C96" s="191" t="s">
        <v>3147</v>
      </c>
      <c r="D96" s="193" t="s">
        <v>3148</v>
      </c>
      <c r="E96" s="193" t="s">
        <v>3149</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3130</v>
      </c>
      <c r="C97" s="191" t="s">
        <v>3150</v>
      </c>
      <c r="D97" s="193" t="s">
        <v>3151</v>
      </c>
      <c r="E97" s="193" t="s">
        <v>3152</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3130</v>
      </c>
      <c r="C98" s="191" t="s">
        <v>3153</v>
      </c>
      <c r="D98" s="193" t="s">
        <v>3154</v>
      </c>
      <c r="E98" s="193" t="s">
        <v>3155</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3156</v>
      </c>
      <c r="C99" s="189"/>
      <c r="D99" s="192" t="s">
        <v>3157</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3156</v>
      </c>
      <c r="C100" s="191" t="s">
        <v>3158</v>
      </c>
      <c r="D100" s="193" t="s">
        <v>3159</v>
      </c>
      <c r="E100" s="193" t="s">
        <v>3160</v>
      </c>
      <c r="F100" s="195" t="str">
        <f>IF(COUNTIF(G100:AT100,"&lt;&gt;")=0,"",SUMPRODUCT(((Recommendations[ImplStatus]="Implemented")+(Recommendations[ImplStatus]="Compensated"))*ISNUMBER(MATCH(Recommendations[Id],G100:AT100,0)))/COUNTIF(G100:AT100,"&lt;&gt;"))</f>
        <v/>
      </c>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3156</v>
      </c>
      <c r="C101" s="191" t="s">
        <v>3161</v>
      </c>
      <c r="D101" s="193" t="s">
        <v>3162</v>
      </c>
      <c r="E101" s="193" t="s">
        <v>3163</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3156</v>
      </c>
      <c r="C102" s="191" t="s">
        <v>3164</v>
      </c>
      <c r="D102" s="193" t="s">
        <v>3165</v>
      </c>
      <c r="E102" s="193" t="s">
        <v>3166</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3156</v>
      </c>
      <c r="C103" s="191" t="s">
        <v>3167</v>
      </c>
      <c r="D103" s="193" t="s">
        <v>3168</v>
      </c>
      <c r="E103" s="193" t="s">
        <v>3169</v>
      </c>
      <c r="F103" s="195" t="str">
        <f>IF(COUNTIF(G103:AT103,"&lt;&gt;")=0,"",SUMPRODUCT(((Recommendations[ImplStatus]="Implemented")+(Recommendations[ImplStatus]="Compensated"))*ISNUMBER(MATCH(Recommendations[Id],G103:AT103,0)))/COUNTIF(G103:AT103,"&lt;&gt;"))</f>
        <v/>
      </c>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3156</v>
      </c>
      <c r="C104" s="199" t="s">
        <v>3170</v>
      </c>
      <c r="D104" s="200" t="s">
        <v>3171</v>
      </c>
      <c r="E104" s="200" t="s">
        <v>3172</v>
      </c>
      <c r="F104" s="201" t="str">
        <f>IF(COUNTIF(G104:AT104,"&lt;&gt;")=0,"",SUMPRODUCT(((Recommendations[ImplStatus]="Implemented")+(Recommendations[ImplStatus]="Compensated"))*ISNUMBER(MATCH(Recommendations[Id],G104:AT104,0)))/COUNTIF(G104:AT104,"&lt;&gt;"))</f>
        <v/>
      </c>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407</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IFERROR(INDEX('Recommendations'!$H$2:$H$84, MATCH(G2,'Recommendations'!$A$2:$A$84,0))="Implemented", FALSE))</xm:f>
            <x14:dxf>
              <font>
                <color rgb="FF000000"/>
              </font>
              <fill>
                <patternFill>
                  <bgColor rgb="FF3C7D22"/>
                </patternFill>
              </fill>
            </x14:dxf>
          </x14:cfRule>
          <x14:cfRule type="expression" priority="2" id="{00000000-000E-0000-0800-000002000000}">
            <xm:f>AND(G2&lt;&gt;"", IFERROR(INDEX('Recommendations'!$H$2:$H$84, MATCH(G2,'Recommendations'!$A$2:$A$84,0))="Compensated", FALSE))</xm:f>
            <x14:dxf>
              <font>
                <color rgb="FF000000"/>
              </font>
              <fill>
                <patternFill>
                  <bgColor rgb="FFC6E0B4"/>
                </patternFill>
              </fill>
            </x14:dxf>
          </x14:cfRule>
          <x14:cfRule type="expression" priority="3" id="{00000000-000E-0000-0800-000003000000}">
            <xm:f>AND(G2&lt;&gt;"", IFERROR(INDEX('Recommendations'!$H$2:$H$84, MATCH(G2,'Recommendations'!$A$2:$A$84,0))="Testing", FALSE))</xm:f>
            <x14:dxf>
              <font>
                <color rgb="FF000000"/>
              </font>
              <fill>
                <patternFill>
                  <bgColor rgb="FFFFC000"/>
                </patternFill>
              </fill>
            </x14:dxf>
          </x14:cfRule>
          <x14:cfRule type="expression" priority="4" id="{00000000-000E-0000-0800-000004000000}">
            <xm:f>AND(G2&lt;&gt;"", IFERROR(INDEX('Recommendations'!$H$2:$H$84, MATCH(G2,'Recommendations'!$A$2:$A$84,0))="Failed", FALSE))</xm:f>
            <x14:dxf>
              <font>
                <color rgb="FF000000"/>
              </font>
              <fill>
                <patternFill>
                  <bgColor rgb="FFD82891"/>
                </patternFill>
              </fill>
            </x14:dxf>
          </x14:cfRule>
          <x14:cfRule type="expression" priority="5" id="{00000000-000E-0000-0800-000005000000}">
            <xm:f>AND(G2&lt;&gt;"", IFERROR(INDEX('Recommendations'!$H$2:$H$84, MATCH(G2,'Recommendations'!$A$2:$A$84,0))="Risk Accepted", FALSE))</xm:f>
            <x14:dxf>
              <font>
                <color rgb="FF000000"/>
              </font>
              <fill>
                <patternFill>
                  <bgColor rgb="FFD9D9D9"/>
                </patternFill>
              </fill>
            </x14:dxf>
          </x14:cfRule>
          <x14:cfRule type="expression" priority="6" id="{00000000-000E-0000-0800-000006000000}">
            <xm:f>AND(G2&lt;&gt;"", IFERROR(INDEX('Recommendations'!$H$2:$H$84, MATCH(G2,'Recommendations'!$A$2:$A$84,0))="N/A",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Cisco ISE Security Technical Implementation Guide - SHGIR</dc:title>
  <dc:subject>Generated on: 2026-06-08 11:11:57</dc:subject>
  <dc:creator>Anicet Fopa Tchoffo</dc:creator>
  <cp:keywords>Baseline;Hardening;DISA;STIG</cp:keywords>
  <dc:description>Baseline Developed By: Cisco Systems and Defense Information Systems Agency (DISA) for the US DoD</dc:description>
  <cp:lastModifiedBy>Anicet Fopa Tchoffo</cp:lastModifiedBy>
  <dcterms:modified xsi:type="dcterms:W3CDTF">2026-06-08T10:12:09Z</dcterms:modified>
  <cp:category>DISA-STIG</cp:category>
  <cp:contentStatus>Draft</cp:contentStatus>
</cp:coreProperties>
</file>